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6.xml" ContentType="application/vnd.openxmlformats-officedocument.drawing+xml"/>
  <Override PartName="/xl/comments9.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105" yWindow="30" windowWidth="18120" windowHeight="7380" tabRatio="882" activeTab="3"/>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Normal kWh" sheetId="29" r:id="rId8"/>
    <sheet name="7.1. Weather Normal KW Customer" sheetId="46" r:id="rId9"/>
    <sheet name="7.2. Weather Sensitive" sheetId="59" r:id="rId10"/>
    <sheet name="8.1. Loblaws KW Regression" sheetId="57" state="hidden" r:id="rId11"/>
    <sheet name="8. Normalized LF" sheetId="32" r:id="rId12"/>
    <sheet name="9. CDM Adjustment" sheetId="42" r:id="rId13"/>
    <sheet name="9.1 CDM Allocation" sheetId="53" r:id="rId14"/>
    <sheet name="10. Final Load Forecast" sheetId="51" r:id="rId15"/>
    <sheet name="11. Analysis_Tables" sheetId="38" r:id="rId16"/>
    <sheet name="12. Analysis_Normalized LF" sheetId="47" r:id="rId17"/>
    <sheet name="X.1.CDM Calculation" sheetId="55" r:id="rId18"/>
    <sheet name="X.2.CDM Data Extraction" sheetId="54" r:id="rId19"/>
    <sheet name="X.3. Loss Factor" sheetId="58" r:id="rId20"/>
    <sheet name="X.4. CPI Constructed Variable" sheetId="61" r:id="rId21"/>
    <sheet name="X.5. Tables for Exhibit" sheetId="60" r:id="rId22"/>
    <sheet name="X.6. Tables for Exhibits" sheetId="62" r:id="rId23"/>
  </sheets>
  <definedNames>
    <definedName name="AllVariables">'5.Variables'!$B$114:$B$119</definedName>
    <definedName name="_xlnm.Print_Area" localSheetId="4">'5.Variables'!$A$1:$Z$126</definedName>
    <definedName name="_xlnm.Print_Area" localSheetId="11">'8. Normalized LF'!$A$1:$P$56</definedName>
    <definedName name="_xlnm.Print_Area" localSheetId="17">'X.1.CDM Calculation'!$A$4:$G$15</definedName>
    <definedName name="_xlnm.Print_Area" localSheetId="18">'X.2.CDM Data Extraction'!$A$1:$M$68</definedName>
    <definedName name="Variable1">'5.Variables'!$B$10</definedName>
    <definedName name="Variable2">'5.Variables'!$B$33</definedName>
    <definedName name="Variable3">'5.Variables'!$B$56</definedName>
    <definedName name="Variable5">'5.Variables'!$B$84</definedName>
    <definedName name="Variable6">'5.Variables'!$B$98</definedName>
  </definedNames>
  <calcPr calcId="145621"/>
</workbook>
</file>

<file path=xl/calcChain.xml><?xml version="1.0" encoding="utf-8"?>
<calcChain xmlns="http://schemas.openxmlformats.org/spreadsheetml/2006/main">
  <c r="C28" i="6" l="1"/>
  <c r="C29" i="6" l="1"/>
  <c r="I60" i="54" l="1"/>
  <c r="P130" i="4" l="1"/>
  <c r="U30" i="4" l="1"/>
  <c r="U29" i="4"/>
  <c r="U28" i="4"/>
  <c r="U27" i="4"/>
  <c r="U26" i="4"/>
  <c r="U25" i="4"/>
  <c r="F25" i="61" l="1"/>
  <c r="G25" i="61"/>
  <c r="H25" i="61"/>
  <c r="I25" i="61"/>
  <c r="J25" i="61"/>
  <c r="K25" i="61"/>
  <c r="L25" i="61"/>
  <c r="M25" i="61"/>
  <c r="N25" i="61"/>
  <c r="O25" i="61"/>
  <c r="P25" i="61"/>
  <c r="Q25" i="61"/>
  <c r="R25" i="61"/>
  <c r="S25" i="61"/>
  <c r="T25" i="61"/>
  <c r="U25" i="61"/>
  <c r="V25" i="61"/>
  <c r="W25" i="61"/>
  <c r="X25" i="61"/>
  <c r="Y25" i="61"/>
  <c r="Z25" i="61"/>
  <c r="AA25" i="61"/>
  <c r="AB25" i="61"/>
  <c r="AC25" i="61"/>
  <c r="AD25" i="61"/>
  <c r="AE25" i="61"/>
  <c r="AF25" i="61"/>
  <c r="AG25" i="61"/>
  <c r="AH25" i="61"/>
  <c r="AI25" i="61"/>
  <c r="AJ25" i="61"/>
  <c r="AK25" i="61"/>
  <c r="AL25" i="61"/>
  <c r="AM25" i="61"/>
  <c r="AN25" i="61"/>
  <c r="AO25" i="61"/>
  <c r="AP25" i="61"/>
  <c r="AQ25" i="61"/>
  <c r="AR25" i="61"/>
  <c r="AS25" i="61"/>
  <c r="AT25" i="61"/>
  <c r="AU25" i="61"/>
  <c r="AV25" i="61"/>
  <c r="AW25" i="61"/>
  <c r="AX25" i="61"/>
  <c r="AY25" i="61"/>
  <c r="AZ25" i="61"/>
  <c r="BA25" i="61"/>
  <c r="BB25" i="61"/>
  <c r="BC25" i="61"/>
  <c r="BD25" i="61"/>
  <c r="BE25" i="61"/>
  <c r="BF25" i="61"/>
  <c r="BG25" i="61"/>
  <c r="BH25" i="61"/>
  <c r="BI25" i="61"/>
  <c r="BJ25" i="61"/>
  <c r="BK25" i="61"/>
  <c r="BL25" i="61"/>
  <c r="BM25" i="61"/>
  <c r="BN25" i="61"/>
  <c r="BO25" i="61"/>
  <c r="BP25" i="61"/>
  <c r="BQ25" i="61"/>
  <c r="BR25" i="61"/>
  <c r="BS25" i="61"/>
  <c r="BT25" i="61"/>
  <c r="BU25" i="61"/>
  <c r="BV25" i="61"/>
  <c r="BW25" i="61"/>
  <c r="BX25" i="61"/>
  <c r="BY25" i="61"/>
  <c r="BZ25" i="61"/>
  <c r="CA25" i="61"/>
  <c r="CB25" i="61"/>
  <c r="CC25" i="61"/>
  <c r="CD25" i="61"/>
  <c r="CE25" i="61"/>
  <c r="CF25" i="61"/>
  <c r="CG25" i="61"/>
  <c r="CH25" i="61"/>
  <c r="CI25" i="61"/>
  <c r="CJ25" i="61"/>
  <c r="CK25" i="61"/>
  <c r="CL25" i="61"/>
  <c r="CM25" i="61"/>
  <c r="CN25" i="61"/>
  <c r="CO25" i="61"/>
  <c r="CP25" i="61"/>
  <c r="CQ25" i="61"/>
  <c r="CR25" i="61"/>
  <c r="CS25" i="61"/>
  <c r="CT25" i="61"/>
  <c r="CU25" i="61"/>
  <c r="CV25" i="61"/>
  <c r="CW25" i="61"/>
  <c r="CX25" i="61"/>
  <c r="CY25" i="61"/>
  <c r="CZ25" i="61"/>
  <c r="DA25" i="61"/>
  <c r="DB25" i="61"/>
  <c r="DC25" i="61"/>
  <c r="DD25" i="61"/>
  <c r="DE25" i="61"/>
  <c r="DF25" i="61"/>
  <c r="DG25" i="61"/>
  <c r="DH25" i="61"/>
  <c r="DI25" i="61"/>
  <c r="DJ25" i="61"/>
  <c r="DK25" i="61"/>
  <c r="DL25" i="61"/>
  <c r="DM25" i="61"/>
  <c r="DN25" i="61"/>
  <c r="DO25" i="61"/>
  <c r="DP25" i="61"/>
  <c r="DQ25" i="61"/>
  <c r="DR25" i="61"/>
  <c r="DS25" i="61"/>
  <c r="DT25" i="61"/>
  <c r="E25" i="61"/>
  <c r="E30" i="61"/>
  <c r="E22" i="61"/>
  <c r="E29" i="61"/>
  <c r="E28" i="61"/>
  <c r="E27" i="61"/>
  <c r="D37" i="59"/>
  <c r="D36" i="59"/>
  <c r="D35" i="59"/>
  <c r="D34" i="59"/>
  <c r="D33" i="59"/>
  <c r="C82" i="59"/>
  <c r="D32" i="59"/>
  <c r="D40" i="59"/>
  <c r="D39" i="59"/>
  <c r="D38" i="59"/>
  <c r="C86" i="59" s="1"/>
  <c r="I57" i="54"/>
  <c r="I52" i="54"/>
  <c r="I50" i="54"/>
  <c r="I49" i="54"/>
  <c r="M40" i="59"/>
  <c r="I58" i="54"/>
  <c r="M38" i="59" s="1"/>
  <c r="M55" i="59"/>
  <c r="M54" i="59"/>
  <c r="M53" i="59"/>
  <c r="M52" i="59"/>
  <c r="M37" i="59"/>
  <c r="H57" i="54"/>
  <c r="H51" i="54"/>
  <c r="H52" i="54"/>
  <c r="D55" i="59"/>
  <c r="D54" i="59"/>
  <c r="D53" i="59"/>
  <c r="D52" i="59"/>
  <c r="D51" i="59"/>
  <c r="D50" i="59"/>
  <c r="D49" i="59"/>
  <c r="D48" i="59"/>
  <c r="M53" i="54"/>
  <c r="L53" i="54"/>
  <c r="K53" i="54"/>
  <c r="J53" i="54"/>
  <c r="I53" i="54"/>
  <c r="K54" i="54"/>
  <c r="L54" i="54"/>
  <c r="M54" i="54" s="1"/>
  <c r="M58" i="54"/>
  <c r="H58" i="54"/>
  <c r="C57" i="54"/>
  <c r="D57" i="54"/>
  <c r="L52" i="54"/>
  <c r="M52" i="54"/>
  <c r="M51" i="54"/>
  <c r="L51" i="54"/>
  <c r="M50" i="54"/>
  <c r="L50" i="54"/>
  <c r="L49" i="54"/>
  <c r="K52" i="54"/>
  <c r="K51" i="54"/>
  <c r="K50" i="54"/>
  <c r="J52" i="54"/>
  <c r="J51" i="54"/>
  <c r="J50" i="54"/>
  <c r="I51" i="54"/>
  <c r="H53" i="54"/>
  <c r="G52" i="54"/>
  <c r="G53" i="54"/>
  <c r="G51" i="54"/>
  <c r="F52" i="54"/>
  <c r="F53" i="54"/>
  <c r="F51" i="54"/>
  <c r="E52" i="54"/>
  <c r="E53" i="54"/>
  <c r="E51" i="54"/>
  <c r="D52" i="54"/>
  <c r="D53" i="54"/>
  <c r="D51" i="54"/>
  <c r="E57" i="54"/>
  <c r="E50" i="54"/>
  <c r="C79" i="59"/>
  <c r="F116" i="55"/>
  <c r="F117" i="55"/>
  <c r="F118" i="55"/>
  <c r="F119" i="55"/>
  <c r="F120" i="55"/>
  <c r="F121" i="55"/>
  <c r="F122" i="55"/>
  <c r="F123" i="55"/>
  <c r="F124" i="55"/>
  <c r="F125" i="55"/>
  <c r="F126" i="55"/>
  <c r="F115" i="55"/>
  <c r="F104" i="55"/>
  <c r="F105" i="55"/>
  <c r="F106" i="55"/>
  <c r="F107" i="55"/>
  <c r="F108" i="55"/>
  <c r="F109" i="55"/>
  <c r="F110" i="55"/>
  <c r="F111" i="55"/>
  <c r="F112" i="55"/>
  <c r="F113" i="55"/>
  <c r="F114" i="55"/>
  <c r="F103" i="55"/>
  <c r="B12" i="55"/>
  <c r="N37" i="54"/>
  <c r="J49" i="54"/>
  <c r="B103" i="55" l="1"/>
  <c r="B11" i="55"/>
  <c r="E12" i="55" s="1"/>
  <c r="I32" i="54"/>
  <c r="F92" i="55"/>
  <c r="F93" i="55"/>
  <c r="F94" i="55"/>
  <c r="F95" i="55"/>
  <c r="F96" i="55"/>
  <c r="F97" i="55"/>
  <c r="F98" i="55"/>
  <c r="F99" i="55"/>
  <c r="F100" i="55"/>
  <c r="F101" i="55"/>
  <c r="F102" i="55"/>
  <c r="F91" i="55"/>
  <c r="H50" i="54"/>
  <c r="H49" i="54"/>
  <c r="F80" i="55"/>
  <c r="F81" i="55"/>
  <c r="F82" i="55"/>
  <c r="F83" i="55"/>
  <c r="F84" i="55"/>
  <c r="F85" i="55"/>
  <c r="F86" i="55"/>
  <c r="F87" i="55"/>
  <c r="F88" i="55"/>
  <c r="F89" i="55"/>
  <c r="F90" i="55"/>
  <c r="F79" i="55"/>
  <c r="F68" i="55"/>
  <c r="F69" i="55"/>
  <c r="F70" i="55"/>
  <c r="F71" i="55"/>
  <c r="F72" i="55"/>
  <c r="F73" i="55"/>
  <c r="F74" i="55"/>
  <c r="F75" i="55"/>
  <c r="F76" i="55"/>
  <c r="F77" i="55"/>
  <c r="F78" i="55"/>
  <c r="F67" i="55"/>
  <c r="F56" i="55"/>
  <c r="F57" i="55"/>
  <c r="F58" i="55"/>
  <c r="F59" i="55"/>
  <c r="F60" i="55"/>
  <c r="F61" i="55"/>
  <c r="F62" i="55"/>
  <c r="F63" i="55"/>
  <c r="F64" i="55"/>
  <c r="F65" i="55"/>
  <c r="F66" i="55"/>
  <c r="F55" i="55"/>
  <c r="F44" i="55"/>
  <c r="F45" i="55"/>
  <c r="F46" i="55"/>
  <c r="F47" i="55"/>
  <c r="F48" i="55"/>
  <c r="F49" i="55"/>
  <c r="F50" i="55"/>
  <c r="F51" i="55"/>
  <c r="F52" i="55"/>
  <c r="F53" i="55"/>
  <c r="F54" i="55"/>
  <c r="F43" i="55"/>
  <c r="F32" i="55"/>
  <c r="F33" i="55"/>
  <c r="F34" i="55"/>
  <c r="F35" i="55"/>
  <c r="F36" i="55"/>
  <c r="F37" i="55"/>
  <c r="F38" i="55"/>
  <c r="F39" i="55"/>
  <c r="F40" i="55"/>
  <c r="F41" i="55"/>
  <c r="F42" i="55"/>
  <c r="F31" i="55"/>
  <c r="B91" i="55" l="1"/>
  <c r="U7" i="47"/>
  <c r="U8" i="47"/>
  <c r="U9" i="47"/>
  <c r="U10" i="47"/>
  <c r="U12" i="47"/>
  <c r="U13" i="47"/>
  <c r="U14" i="47"/>
  <c r="V6" i="47"/>
  <c r="K49" i="54" l="1"/>
  <c r="I66" i="54"/>
  <c r="J66" i="54"/>
  <c r="L66" i="54" s="1"/>
  <c r="L67" i="54" s="1"/>
  <c r="I64" i="54"/>
  <c r="I67" i="54"/>
  <c r="K66" i="54"/>
  <c r="K58" i="54"/>
  <c r="L58" i="54"/>
  <c r="J88" i="42" l="1"/>
  <c r="Q16" i="53"/>
  <c r="R24" i="53"/>
  <c r="G88" i="42"/>
  <c r="H88" i="42"/>
  <c r="C42" i="42"/>
  <c r="D43" i="42"/>
  <c r="N40" i="59"/>
  <c r="P40" i="59" s="1"/>
  <c r="K39" i="54" l="1"/>
  <c r="G73" i="59" l="1"/>
  <c r="G72" i="59"/>
  <c r="F21" i="42" l="1"/>
  <c r="E21" i="42"/>
  <c r="D21" i="42"/>
  <c r="D20" i="42"/>
  <c r="C20" i="42"/>
  <c r="F22" i="42"/>
  <c r="F23" i="42"/>
  <c r="E22" i="42"/>
  <c r="T18" i="53"/>
  <c r="T16" i="53"/>
  <c r="N16" i="53"/>
  <c r="N18" i="53"/>
  <c r="N22" i="53"/>
  <c r="T22" i="53"/>
  <c r="I56" i="54"/>
  <c r="H56" i="54"/>
  <c r="I31" i="54"/>
  <c r="L38" i="54"/>
  <c r="K38" i="54"/>
  <c r="J35" i="54"/>
  <c r="L37" i="54"/>
  <c r="Y104" i="60" l="1"/>
  <c r="Y105" i="60"/>
  <c r="Y106" i="60"/>
  <c r="Y107" i="60"/>
  <c r="Y108" i="60"/>
  <c r="Y109" i="60"/>
  <c r="Y110" i="60"/>
  <c r="Y111" i="60"/>
  <c r="Y112" i="60"/>
  <c r="Y113" i="60"/>
  <c r="Y114" i="60"/>
  <c r="Y103" i="60"/>
  <c r="Y88" i="60"/>
  <c r="Y89" i="60"/>
  <c r="Y90" i="60"/>
  <c r="Y91" i="60"/>
  <c r="Y92" i="60"/>
  <c r="Y93" i="60"/>
  <c r="Y94" i="60"/>
  <c r="Y95" i="60"/>
  <c r="Y96" i="60"/>
  <c r="Y97" i="60"/>
  <c r="Y98" i="60"/>
  <c r="Y87" i="60"/>
  <c r="AC338" i="60"/>
  <c r="E101" i="62" l="1"/>
  <c r="D101" i="62"/>
  <c r="O18" i="58" l="1"/>
  <c r="V48" i="4" l="1"/>
  <c r="V36" i="4"/>
  <c r="S15" i="47" l="1"/>
  <c r="S14" i="47"/>
  <c r="S13" i="47"/>
  <c r="S12" i="47"/>
  <c r="V12" i="47" s="1"/>
  <c r="S11" i="47"/>
  <c r="S10" i="47"/>
  <c r="S9" i="47"/>
  <c r="S8" i="47"/>
  <c r="S7" i="47"/>
  <c r="Q15" i="47"/>
  <c r="Q14" i="47"/>
  <c r="Q13" i="47"/>
  <c r="Q12" i="47"/>
  <c r="Q11" i="47"/>
  <c r="Q10" i="47"/>
  <c r="Q9" i="47"/>
  <c r="Q8" i="47"/>
  <c r="Q7" i="47"/>
  <c r="O15" i="47"/>
  <c r="O14" i="47"/>
  <c r="O13" i="47"/>
  <c r="O12" i="47"/>
  <c r="O11" i="47"/>
  <c r="V11" i="47" s="1"/>
  <c r="O10" i="47"/>
  <c r="V10" i="47" s="1"/>
  <c r="O9" i="47"/>
  <c r="V9" i="47" s="1"/>
  <c r="O8" i="47"/>
  <c r="V8" i="47" s="1"/>
  <c r="O7" i="47"/>
  <c r="V7" i="47" l="1"/>
  <c r="V15" i="47"/>
  <c r="V13" i="47"/>
  <c r="V14" i="47"/>
  <c r="F85" i="62"/>
  <c r="F93" i="62"/>
  <c r="F97" i="62"/>
  <c r="F101" i="62"/>
  <c r="F105" i="62"/>
  <c r="L66" i="62"/>
  <c r="M66" i="62"/>
  <c r="L67" i="62"/>
  <c r="M67" i="62"/>
  <c r="C74" i="62"/>
  <c r="D74" i="62"/>
  <c r="E74" i="62"/>
  <c r="F74" i="62"/>
  <c r="G74" i="62"/>
  <c r="H74" i="62"/>
  <c r="I74" i="62"/>
  <c r="J74" i="62"/>
  <c r="K74" i="62"/>
  <c r="L74" i="62"/>
  <c r="M74" i="62"/>
  <c r="E44" i="42"/>
  <c r="L39" i="54" l="1"/>
  <c r="M39" i="54" s="1"/>
  <c r="N39" i="54" s="1"/>
  <c r="O39" i="54" s="1"/>
  <c r="P39" i="54" s="1"/>
  <c r="Q39" i="54" s="1"/>
  <c r="R39" i="54" s="1"/>
  <c r="S39" i="54" s="1"/>
  <c r="T39" i="54" s="1"/>
  <c r="U39" i="54" s="1"/>
  <c r="V39" i="54" s="1"/>
  <c r="W39" i="54" s="1"/>
  <c r="X39" i="54" s="1"/>
  <c r="Y39" i="54" s="1"/>
  <c r="Z39" i="54" s="1"/>
  <c r="AA39" i="54" s="1"/>
  <c r="AB39" i="54" s="1"/>
  <c r="AC39" i="54" s="1"/>
  <c r="M38" i="54"/>
  <c r="M37" i="54"/>
  <c r="AB13" i="60" l="1"/>
  <c r="AB12" i="60"/>
  <c r="AB11" i="60"/>
  <c r="AB10" i="60"/>
  <c r="AB9" i="60"/>
  <c r="AB8" i="60"/>
  <c r="AB7" i="60"/>
  <c r="AB6" i="60"/>
  <c r="AB5" i="60"/>
  <c r="AC4" i="60"/>
  <c r="AB4" i="60"/>
  <c r="DT52" i="61" l="1"/>
  <c r="DS52" i="61"/>
  <c r="DR52" i="61"/>
  <c r="DQ52" i="61"/>
  <c r="DP52" i="61"/>
  <c r="DO52" i="61"/>
  <c r="DN52" i="61"/>
  <c r="DM52" i="61"/>
  <c r="DL52" i="61"/>
  <c r="DK52" i="61"/>
  <c r="DJ52" i="61"/>
  <c r="DI52" i="61"/>
  <c r="DH52" i="61"/>
  <c r="DG52" i="61"/>
  <c r="DF52" i="61"/>
  <c r="DE52" i="61"/>
  <c r="DD52" i="61"/>
  <c r="DC52" i="61"/>
  <c r="DB52" i="61"/>
  <c r="DA52" i="61"/>
  <c r="CZ52" i="61"/>
  <c r="CY52" i="61"/>
  <c r="CX52" i="61"/>
  <c r="CW52" i="61"/>
  <c r="CV52" i="61"/>
  <c r="CU52" i="61"/>
  <c r="CT52" i="61"/>
  <c r="CS52" i="61"/>
  <c r="CR52" i="61"/>
  <c r="CQ52" i="61"/>
  <c r="CP52" i="61"/>
  <c r="CO52" i="61"/>
  <c r="CN52" i="61"/>
  <c r="CM52" i="61"/>
  <c r="CL52" i="61"/>
  <c r="CK52" i="61"/>
  <c r="CJ52" i="61"/>
  <c r="CI52" i="61"/>
  <c r="CH52" i="61"/>
  <c r="CG52" i="61"/>
  <c r="CF52" i="61"/>
  <c r="CE52" i="61"/>
  <c r="CD52" i="61"/>
  <c r="CC52" i="61"/>
  <c r="CB52" i="61"/>
  <c r="CA52" i="61"/>
  <c r="BZ52" i="61"/>
  <c r="BY52" i="61"/>
  <c r="BX52" i="61"/>
  <c r="BW52" i="61"/>
  <c r="BV52" i="61"/>
  <c r="BU52" i="61"/>
  <c r="BT52" i="61"/>
  <c r="BS52" i="61"/>
  <c r="BR52" i="61"/>
  <c r="BQ52" i="61"/>
  <c r="BP52" i="61"/>
  <c r="BO52" i="61"/>
  <c r="BN52" i="61"/>
  <c r="BM52" i="61"/>
  <c r="BL52" i="61"/>
  <c r="BK52" i="61"/>
  <c r="BJ52" i="61"/>
  <c r="BI52" i="61"/>
  <c r="BH52" i="61"/>
  <c r="BG52" i="61"/>
  <c r="BF52" i="61"/>
  <c r="BE52" i="61"/>
  <c r="BD52" i="61"/>
  <c r="BC52" i="61"/>
  <c r="BB52" i="61"/>
  <c r="BA52" i="61"/>
  <c r="AZ52" i="61"/>
  <c r="AY52" i="61"/>
  <c r="AX52" i="61"/>
  <c r="AW52" i="61"/>
  <c r="AV52" i="61"/>
  <c r="AU52" i="61"/>
  <c r="AT52" i="61"/>
  <c r="AS52" i="61"/>
  <c r="AR52" i="61"/>
  <c r="AQ52" i="61"/>
  <c r="AP52" i="61"/>
  <c r="AO52" i="61"/>
  <c r="AN52" i="61"/>
  <c r="AM52" i="61"/>
  <c r="AL52" i="61"/>
  <c r="AK52" i="61"/>
  <c r="AJ52" i="61"/>
  <c r="AI52" i="61"/>
  <c r="AH52" i="61"/>
  <c r="AG52" i="61"/>
  <c r="AF52" i="61"/>
  <c r="AE52" i="61"/>
  <c r="AD52" i="61"/>
  <c r="AC52" i="61"/>
  <c r="AB52" i="61"/>
  <c r="AA52" i="61"/>
  <c r="Z52" i="61"/>
  <c r="Y52" i="61"/>
  <c r="X52" i="61"/>
  <c r="W52" i="61"/>
  <c r="V52" i="61"/>
  <c r="U52" i="61"/>
  <c r="T52" i="61"/>
  <c r="S52" i="61"/>
  <c r="R52" i="61"/>
  <c r="Q52" i="61"/>
  <c r="P52" i="61"/>
  <c r="O52" i="61"/>
  <c r="N52" i="61"/>
  <c r="M52" i="61"/>
  <c r="L52" i="61"/>
  <c r="K52" i="61"/>
  <c r="J52" i="61"/>
  <c r="I52" i="61"/>
  <c r="H52" i="61"/>
  <c r="G52" i="61"/>
  <c r="F52" i="61"/>
  <c r="E52" i="61"/>
  <c r="DT50" i="61"/>
  <c r="DS50" i="61"/>
  <c r="DR50" i="61"/>
  <c r="DQ50" i="61"/>
  <c r="DP50" i="61"/>
  <c r="DO50" i="61"/>
  <c r="DN50" i="61"/>
  <c r="DM50" i="61"/>
  <c r="DL50" i="61"/>
  <c r="DK50" i="61"/>
  <c r="DJ50" i="61"/>
  <c r="DI50" i="61"/>
  <c r="DH50" i="61"/>
  <c r="DG50" i="61"/>
  <c r="DF50" i="61"/>
  <c r="DE50" i="61"/>
  <c r="DD50" i="61"/>
  <c r="DC50" i="61"/>
  <c r="DB50" i="61"/>
  <c r="DA50" i="61"/>
  <c r="CZ50" i="61"/>
  <c r="CY50" i="61"/>
  <c r="CX50" i="61"/>
  <c r="CW50" i="61"/>
  <c r="CV50" i="61"/>
  <c r="CU50" i="61"/>
  <c r="CT50" i="61"/>
  <c r="CS50" i="61"/>
  <c r="CR50" i="61"/>
  <c r="CQ50" i="61"/>
  <c r="CP50" i="61"/>
  <c r="CO50" i="61"/>
  <c r="CN50" i="61"/>
  <c r="CM50" i="61"/>
  <c r="CL50" i="61"/>
  <c r="CK50" i="61"/>
  <c r="CJ50" i="61"/>
  <c r="CI50" i="61"/>
  <c r="CH50" i="61"/>
  <c r="CG50" i="61"/>
  <c r="CF50" i="61"/>
  <c r="CE50" i="61"/>
  <c r="CD50" i="61"/>
  <c r="CC50" i="61"/>
  <c r="CB50" i="61"/>
  <c r="CA50" i="61"/>
  <c r="BZ50" i="61"/>
  <c r="BY50" i="61"/>
  <c r="BX50" i="61"/>
  <c r="BW50" i="61"/>
  <c r="BV50" i="61"/>
  <c r="BU50" i="61"/>
  <c r="BT50" i="61"/>
  <c r="BS50" i="61"/>
  <c r="BR50" i="61"/>
  <c r="BQ50" i="61"/>
  <c r="BP50" i="61"/>
  <c r="BO50" i="61"/>
  <c r="BN50" i="61"/>
  <c r="BM50" i="61"/>
  <c r="BL50" i="61"/>
  <c r="BK50" i="61"/>
  <c r="BJ50" i="61"/>
  <c r="BI50" i="61"/>
  <c r="BH50" i="61"/>
  <c r="BG50" i="61"/>
  <c r="BF50" i="61"/>
  <c r="BE50" i="61"/>
  <c r="BD50" i="61"/>
  <c r="BC50" i="61"/>
  <c r="BB50" i="61"/>
  <c r="BA50" i="61"/>
  <c r="AZ50" i="61"/>
  <c r="AY50" i="61"/>
  <c r="AX50" i="61"/>
  <c r="AW50" i="61"/>
  <c r="AV50" i="61"/>
  <c r="AU50" i="61"/>
  <c r="AT50" i="61"/>
  <c r="AS50" i="61"/>
  <c r="AR50" i="61"/>
  <c r="AQ50" i="61"/>
  <c r="AP50" i="61"/>
  <c r="AO50" i="61"/>
  <c r="AN50" i="61"/>
  <c r="AM50" i="61"/>
  <c r="AL50" i="61"/>
  <c r="AK50" i="61"/>
  <c r="AJ50" i="61"/>
  <c r="AI50" i="61"/>
  <c r="AH50" i="61"/>
  <c r="AG50" i="61"/>
  <c r="AF50" i="61"/>
  <c r="AE50" i="61"/>
  <c r="AD50" i="61"/>
  <c r="AC50" i="61"/>
  <c r="AB50" i="61"/>
  <c r="AA50" i="61"/>
  <c r="Z50" i="61"/>
  <c r="Y50" i="61"/>
  <c r="X50" i="61"/>
  <c r="W50" i="61"/>
  <c r="V50" i="61"/>
  <c r="U50" i="61"/>
  <c r="T50" i="61"/>
  <c r="S50" i="61"/>
  <c r="R50" i="61"/>
  <c r="Q50" i="61"/>
  <c r="P50" i="61"/>
  <c r="O50" i="61"/>
  <c r="N50" i="61"/>
  <c r="M50" i="61"/>
  <c r="L50" i="61"/>
  <c r="K50" i="61"/>
  <c r="J50" i="61"/>
  <c r="I50" i="61"/>
  <c r="H50" i="61"/>
  <c r="G50" i="61"/>
  <c r="F50" i="61"/>
  <c r="E50" i="61"/>
  <c r="DT28" i="61"/>
  <c r="DS28" i="61"/>
  <c r="DR28" i="61"/>
  <c r="DQ28" i="61"/>
  <c r="DP28" i="61"/>
  <c r="DO28" i="61"/>
  <c r="DN28" i="61"/>
  <c r="DM28" i="61"/>
  <c r="DL28" i="61"/>
  <c r="DK28" i="61"/>
  <c r="DJ28" i="61"/>
  <c r="DI28" i="61"/>
  <c r="DH28" i="61"/>
  <c r="DG28" i="61"/>
  <c r="DF28" i="61"/>
  <c r="DE28" i="61"/>
  <c r="DD28" i="61"/>
  <c r="DC28" i="61"/>
  <c r="DB28" i="61"/>
  <c r="DA28" i="61"/>
  <c r="CZ28" i="61"/>
  <c r="CY28" i="61"/>
  <c r="CX28" i="61"/>
  <c r="CW28" i="61"/>
  <c r="CV28" i="61"/>
  <c r="CU28" i="61"/>
  <c r="CT28" i="61"/>
  <c r="CS28" i="61"/>
  <c r="CR28" i="61"/>
  <c r="CQ28" i="61"/>
  <c r="CP28" i="61"/>
  <c r="CO28" i="61"/>
  <c r="CN28" i="61"/>
  <c r="CM28" i="61"/>
  <c r="CL28" i="61"/>
  <c r="CK28" i="61"/>
  <c r="CJ28" i="61"/>
  <c r="CI28" i="61"/>
  <c r="CH28" i="61"/>
  <c r="CG28" i="61"/>
  <c r="CF28" i="61"/>
  <c r="CE28" i="61"/>
  <c r="CD28" i="61"/>
  <c r="CC28" i="61"/>
  <c r="CB28" i="61"/>
  <c r="CA28" i="61"/>
  <c r="BZ28" i="61"/>
  <c r="BY28" i="61"/>
  <c r="BX28" i="61"/>
  <c r="BW28" i="61"/>
  <c r="BV28" i="61"/>
  <c r="BU28" i="61"/>
  <c r="BT28" i="61"/>
  <c r="BS28" i="61"/>
  <c r="BR28" i="61"/>
  <c r="BQ28" i="61"/>
  <c r="BP28" i="61"/>
  <c r="BO28" i="61"/>
  <c r="BN28" i="61"/>
  <c r="BM28" i="61"/>
  <c r="BL28" i="61"/>
  <c r="BK28" i="61"/>
  <c r="BJ28" i="61"/>
  <c r="BI28" i="61"/>
  <c r="BH28" i="61"/>
  <c r="BG28" i="61"/>
  <c r="BF28" i="61"/>
  <c r="BE28" i="61"/>
  <c r="BD28" i="61"/>
  <c r="BC28" i="61"/>
  <c r="BB28" i="61"/>
  <c r="BA28" i="61"/>
  <c r="AZ28" i="61"/>
  <c r="AY28" i="61"/>
  <c r="AX28" i="61"/>
  <c r="AW28" i="61"/>
  <c r="AV28" i="61"/>
  <c r="AU28" i="61"/>
  <c r="AT28" i="61"/>
  <c r="AS28" i="61"/>
  <c r="AR28" i="61"/>
  <c r="AQ28" i="61"/>
  <c r="AP28" i="61"/>
  <c r="AO28" i="61"/>
  <c r="AN28" i="61"/>
  <c r="AM28" i="61"/>
  <c r="AL28" i="61"/>
  <c r="AK28" i="61"/>
  <c r="AJ28" i="61"/>
  <c r="AI28" i="61"/>
  <c r="AH28" i="61"/>
  <c r="AG28" i="61"/>
  <c r="AF28" i="61"/>
  <c r="AE28" i="61"/>
  <c r="AD28" i="61"/>
  <c r="AC28" i="61"/>
  <c r="AB28" i="61"/>
  <c r="AA28" i="61"/>
  <c r="Z28" i="61"/>
  <c r="Y28" i="61"/>
  <c r="X28" i="61"/>
  <c r="W28" i="61"/>
  <c r="V28" i="61"/>
  <c r="U28" i="61"/>
  <c r="T28" i="61"/>
  <c r="S28" i="61"/>
  <c r="R28" i="61"/>
  <c r="Q28" i="61"/>
  <c r="P28" i="61"/>
  <c r="O28" i="61"/>
  <c r="N28" i="61"/>
  <c r="M28" i="61"/>
  <c r="L28" i="61"/>
  <c r="K28" i="61"/>
  <c r="J28" i="61"/>
  <c r="I28" i="61"/>
  <c r="H28" i="61"/>
  <c r="G28" i="61"/>
  <c r="F28" i="61"/>
  <c r="DT27" i="61"/>
  <c r="DT29" i="61" s="1"/>
  <c r="DS27" i="61"/>
  <c r="DS29" i="61" s="1"/>
  <c r="DR27" i="61"/>
  <c r="DR29" i="61" s="1"/>
  <c r="DQ27" i="61"/>
  <c r="DQ29" i="61" s="1"/>
  <c r="DP27" i="61"/>
  <c r="DP29" i="61" s="1"/>
  <c r="DO27" i="61"/>
  <c r="DO29" i="61" s="1"/>
  <c r="DN27" i="61"/>
  <c r="DN29" i="61" s="1"/>
  <c r="DM27" i="61"/>
  <c r="DM29" i="61" s="1"/>
  <c r="DL27" i="61"/>
  <c r="DL29" i="61" s="1"/>
  <c r="DK27" i="61"/>
  <c r="DK29" i="61" s="1"/>
  <c r="DJ27" i="61"/>
  <c r="DJ29" i="61" s="1"/>
  <c r="DI27" i="61"/>
  <c r="DI29" i="61" s="1"/>
  <c r="DH27" i="61"/>
  <c r="DH29" i="61" s="1"/>
  <c r="DG27" i="61"/>
  <c r="DG29" i="61" s="1"/>
  <c r="DF27" i="61"/>
  <c r="DF29" i="61" s="1"/>
  <c r="DE27" i="61"/>
  <c r="DE29" i="61" s="1"/>
  <c r="DD27" i="61"/>
  <c r="DD29" i="61" s="1"/>
  <c r="DC27" i="61"/>
  <c r="DC29" i="61" s="1"/>
  <c r="DB27" i="61"/>
  <c r="DB29" i="61" s="1"/>
  <c r="DA27" i="61"/>
  <c r="DA29" i="61" s="1"/>
  <c r="CZ27" i="61"/>
  <c r="CZ29" i="61" s="1"/>
  <c r="CY27" i="61"/>
  <c r="CY29" i="61" s="1"/>
  <c r="CX27" i="61"/>
  <c r="CX29" i="61" s="1"/>
  <c r="CW27" i="61"/>
  <c r="CW29" i="61" s="1"/>
  <c r="CV27" i="61"/>
  <c r="CV29" i="61" s="1"/>
  <c r="CU27" i="61"/>
  <c r="CU29" i="61" s="1"/>
  <c r="CT27" i="61"/>
  <c r="CT29" i="61" s="1"/>
  <c r="CS27" i="61"/>
  <c r="CS29" i="61" s="1"/>
  <c r="CR27" i="61"/>
  <c r="CR29" i="61" s="1"/>
  <c r="CQ27" i="61"/>
  <c r="CQ29" i="61" s="1"/>
  <c r="CP27" i="61"/>
  <c r="CP29" i="61" s="1"/>
  <c r="CO27" i="61"/>
  <c r="CO29" i="61" s="1"/>
  <c r="CN27" i="61"/>
  <c r="CN29" i="61" s="1"/>
  <c r="CM27" i="61"/>
  <c r="CM29" i="61" s="1"/>
  <c r="CL27" i="61"/>
  <c r="CL29" i="61" s="1"/>
  <c r="CK27" i="61"/>
  <c r="CK29" i="61" s="1"/>
  <c r="CJ27" i="61"/>
  <c r="CJ29" i="61" s="1"/>
  <c r="CI27" i="61"/>
  <c r="CI29" i="61" s="1"/>
  <c r="CH27" i="61"/>
  <c r="CH29" i="61" s="1"/>
  <c r="CG27" i="61"/>
  <c r="CG29" i="61" s="1"/>
  <c r="CF27" i="61"/>
  <c r="CF29" i="61" s="1"/>
  <c r="CE27" i="61"/>
  <c r="CE29" i="61" s="1"/>
  <c r="CD27" i="61"/>
  <c r="CD29" i="61" s="1"/>
  <c r="CC27" i="61"/>
  <c r="CC29" i="61" s="1"/>
  <c r="CB27" i="61"/>
  <c r="CB29" i="61" s="1"/>
  <c r="CA27" i="61"/>
  <c r="CA29" i="61" s="1"/>
  <c r="BZ27" i="61"/>
  <c r="BZ29" i="61" s="1"/>
  <c r="BY27" i="61"/>
  <c r="BY29" i="61" s="1"/>
  <c r="BX27" i="61"/>
  <c r="BX29" i="61" s="1"/>
  <c r="BW27" i="61"/>
  <c r="BW29" i="61" s="1"/>
  <c r="BV27" i="61"/>
  <c r="BV29" i="61" s="1"/>
  <c r="BU27" i="61"/>
  <c r="BU29" i="61" s="1"/>
  <c r="BT27" i="61"/>
  <c r="BT29" i="61" s="1"/>
  <c r="BS27" i="61"/>
  <c r="BS29" i="61" s="1"/>
  <c r="BR27" i="61"/>
  <c r="BR29" i="61" s="1"/>
  <c r="BQ27" i="61"/>
  <c r="BQ29" i="61" s="1"/>
  <c r="BP27" i="61"/>
  <c r="BP29" i="61" s="1"/>
  <c r="BO27" i="61"/>
  <c r="BO29" i="61" s="1"/>
  <c r="BN27" i="61"/>
  <c r="BN29" i="61" s="1"/>
  <c r="BM27" i="61"/>
  <c r="BM29" i="61" s="1"/>
  <c r="BL27" i="61"/>
  <c r="BL29" i="61" s="1"/>
  <c r="BK27" i="61"/>
  <c r="BK29" i="61" s="1"/>
  <c r="BJ27" i="61"/>
  <c r="BJ29" i="61" s="1"/>
  <c r="BI27" i="61"/>
  <c r="BI29" i="61" s="1"/>
  <c r="BH27" i="61"/>
  <c r="BH29" i="61" s="1"/>
  <c r="BG27" i="61"/>
  <c r="BG29" i="61" s="1"/>
  <c r="BF27" i="61"/>
  <c r="BF29" i="61" s="1"/>
  <c r="BE27" i="61"/>
  <c r="BE29" i="61" s="1"/>
  <c r="BD27" i="61"/>
  <c r="BD29" i="61" s="1"/>
  <c r="BC27" i="61"/>
  <c r="BC29" i="61" s="1"/>
  <c r="BB27" i="61"/>
  <c r="BB29" i="61" s="1"/>
  <c r="BA27" i="61"/>
  <c r="BA29" i="61" s="1"/>
  <c r="AZ27" i="61"/>
  <c r="AZ29" i="61" s="1"/>
  <c r="AY27" i="61"/>
  <c r="AY29" i="61" s="1"/>
  <c r="AX27" i="61"/>
  <c r="AX29" i="61" s="1"/>
  <c r="AW27" i="61"/>
  <c r="AW29" i="61" s="1"/>
  <c r="AV27" i="61"/>
  <c r="AV29" i="61" s="1"/>
  <c r="AU27" i="61"/>
  <c r="AU29" i="61" s="1"/>
  <c r="AT27" i="61"/>
  <c r="AT29" i="61" s="1"/>
  <c r="AS27" i="61"/>
  <c r="AS29" i="61" s="1"/>
  <c r="AR27" i="61"/>
  <c r="AR29" i="61" s="1"/>
  <c r="AQ27" i="61"/>
  <c r="AQ29" i="61" s="1"/>
  <c r="AP27" i="61"/>
  <c r="AP29" i="61" s="1"/>
  <c r="AO27" i="61"/>
  <c r="AO29" i="61" s="1"/>
  <c r="AN27" i="61"/>
  <c r="AN29" i="61" s="1"/>
  <c r="AM27" i="61"/>
  <c r="AM29" i="61" s="1"/>
  <c r="AL27" i="61"/>
  <c r="AL29" i="61" s="1"/>
  <c r="AK27" i="61"/>
  <c r="AK29" i="61" s="1"/>
  <c r="AJ27" i="61"/>
  <c r="AJ29" i="61" s="1"/>
  <c r="AI27" i="61"/>
  <c r="AI29" i="61" s="1"/>
  <c r="AH27" i="61"/>
  <c r="AH29" i="61" s="1"/>
  <c r="AG27" i="61"/>
  <c r="AG29" i="61" s="1"/>
  <c r="AF27" i="61"/>
  <c r="AF29" i="61" s="1"/>
  <c r="AE27" i="61"/>
  <c r="AE29" i="61" s="1"/>
  <c r="AD27" i="61"/>
  <c r="AD29" i="61" s="1"/>
  <c r="AC27" i="61"/>
  <c r="AC29" i="61" s="1"/>
  <c r="AB27" i="61"/>
  <c r="AB29" i="61" s="1"/>
  <c r="AA27" i="61"/>
  <c r="AA29" i="61" s="1"/>
  <c r="Z27" i="61"/>
  <c r="Z29" i="61" s="1"/>
  <c r="Y27" i="61"/>
  <c r="Y29" i="61" s="1"/>
  <c r="X27" i="61"/>
  <c r="X29" i="61" s="1"/>
  <c r="W27" i="61"/>
  <c r="W29" i="61" s="1"/>
  <c r="V27" i="61"/>
  <c r="V29" i="61" s="1"/>
  <c r="U27" i="61"/>
  <c r="U29" i="61" s="1"/>
  <c r="T27" i="61"/>
  <c r="T29" i="61" s="1"/>
  <c r="S27" i="61"/>
  <c r="S29" i="61" s="1"/>
  <c r="R27" i="61"/>
  <c r="R29" i="61" s="1"/>
  <c r="Q27" i="61"/>
  <c r="Q29" i="61" s="1"/>
  <c r="P27" i="61"/>
  <c r="P29" i="61" s="1"/>
  <c r="O27" i="61"/>
  <c r="O29" i="61" s="1"/>
  <c r="N27" i="61"/>
  <c r="N29" i="61" s="1"/>
  <c r="M27" i="61"/>
  <c r="M29" i="61" s="1"/>
  <c r="L27" i="61"/>
  <c r="L29" i="61" s="1"/>
  <c r="K27" i="61"/>
  <c r="K29" i="61" s="1"/>
  <c r="J27" i="61"/>
  <c r="J29" i="61" s="1"/>
  <c r="I27" i="61"/>
  <c r="I29" i="61" s="1"/>
  <c r="H27" i="61"/>
  <c r="H29" i="61" s="1"/>
  <c r="G27" i="61"/>
  <c r="G29" i="61" s="1"/>
  <c r="F27" i="61"/>
  <c r="F29" i="61" s="1"/>
  <c r="DT22" i="61"/>
  <c r="DS22" i="61"/>
  <c r="DR22" i="61"/>
  <c r="DQ22" i="61"/>
  <c r="DP22" i="61"/>
  <c r="DO22" i="61"/>
  <c r="DN22" i="61"/>
  <c r="DM22" i="61"/>
  <c r="DL22" i="61"/>
  <c r="DK22" i="61"/>
  <c r="DJ22" i="61"/>
  <c r="DI22" i="61"/>
  <c r="DH22" i="61"/>
  <c r="DG22" i="61"/>
  <c r="DF22" i="61"/>
  <c r="DE22" i="61"/>
  <c r="DD22" i="61"/>
  <c r="DC22" i="61"/>
  <c r="DB22" i="61"/>
  <c r="DA22" i="61"/>
  <c r="CZ22" i="61"/>
  <c r="CY22" i="61"/>
  <c r="CX22" i="61"/>
  <c r="CW22" i="61"/>
  <c r="CV22" i="61"/>
  <c r="CU22" i="61"/>
  <c r="CT22" i="61"/>
  <c r="CS22" i="61"/>
  <c r="CR22" i="61"/>
  <c r="CQ22" i="61"/>
  <c r="CP22" i="61"/>
  <c r="CO22" i="61"/>
  <c r="CN22" i="61"/>
  <c r="CM22" i="61"/>
  <c r="CL22" i="61"/>
  <c r="CK22" i="61"/>
  <c r="CJ22" i="61"/>
  <c r="CI22" i="61"/>
  <c r="CH22" i="61"/>
  <c r="CG22" i="61"/>
  <c r="CF22" i="61"/>
  <c r="CE22" i="61"/>
  <c r="CD22" i="61"/>
  <c r="CC22" i="61"/>
  <c r="CB22" i="61"/>
  <c r="CA22" i="61"/>
  <c r="BZ22" i="61"/>
  <c r="BY22" i="61"/>
  <c r="BX22" i="61"/>
  <c r="BW22" i="61"/>
  <c r="BV22" i="61"/>
  <c r="BU22" i="61"/>
  <c r="BT22" i="61"/>
  <c r="BS22" i="61"/>
  <c r="BR22" i="61"/>
  <c r="BQ22" i="61"/>
  <c r="BP22" i="61"/>
  <c r="BO22" i="61"/>
  <c r="BN22" i="61"/>
  <c r="BM22" i="61"/>
  <c r="BL22" i="61"/>
  <c r="BK22" i="61"/>
  <c r="BJ22" i="61"/>
  <c r="BI22" i="61"/>
  <c r="BH22" i="61"/>
  <c r="BG22" i="61"/>
  <c r="BF22" i="61"/>
  <c r="BE22" i="61"/>
  <c r="BD22" i="61"/>
  <c r="BC22" i="61"/>
  <c r="BB22" i="61"/>
  <c r="BA22" i="61"/>
  <c r="AZ22" i="61"/>
  <c r="AY22" i="61"/>
  <c r="AX22" i="61"/>
  <c r="AW22" i="61"/>
  <c r="AV22" i="61"/>
  <c r="AU22" i="61"/>
  <c r="AT22" i="61"/>
  <c r="AS22" i="61"/>
  <c r="AR22" i="61"/>
  <c r="AQ22" i="61"/>
  <c r="AP22" i="61"/>
  <c r="AO22" i="61"/>
  <c r="AN22" i="61"/>
  <c r="AM22" i="61"/>
  <c r="AL22" i="61"/>
  <c r="AK22" i="61"/>
  <c r="AJ22" i="61"/>
  <c r="AI22" i="61"/>
  <c r="AH22" i="61"/>
  <c r="AG22" i="61"/>
  <c r="AF22" i="61"/>
  <c r="AE22" i="61"/>
  <c r="AD22" i="61"/>
  <c r="AC22" i="61"/>
  <c r="AB22" i="61"/>
  <c r="AA22" i="61"/>
  <c r="Z22" i="61"/>
  <c r="Y22" i="61"/>
  <c r="X22" i="61"/>
  <c r="W22" i="61"/>
  <c r="V22" i="61"/>
  <c r="U22" i="61"/>
  <c r="T22" i="61"/>
  <c r="S22" i="61"/>
  <c r="R22" i="61"/>
  <c r="Q22" i="61"/>
  <c r="P22" i="61"/>
  <c r="O22" i="61"/>
  <c r="N22" i="61"/>
  <c r="M22" i="61"/>
  <c r="L22" i="61"/>
  <c r="K22" i="61"/>
  <c r="J22" i="61"/>
  <c r="I22" i="61"/>
  <c r="H22" i="61"/>
  <c r="G22" i="61"/>
  <c r="F22" i="61"/>
  <c r="DS19" i="61"/>
  <c r="DL19" i="61"/>
  <c r="DG19" i="61"/>
  <c r="CZ19" i="61"/>
  <c r="CU19" i="61"/>
  <c r="CN19" i="61"/>
  <c r="CI19" i="61"/>
  <c r="CB19" i="61"/>
  <c r="BW19" i="61"/>
  <c r="BP19" i="61"/>
  <c r="BK19" i="61"/>
  <c r="BD19" i="61"/>
  <c r="AY19" i="61"/>
  <c r="AR19" i="61"/>
  <c r="AM19" i="61"/>
  <c r="AF19" i="61"/>
  <c r="AA19" i="61"/>
  <c r="T19" i="61"/>
  <c r="O19" i="61"/>
  <c r="H19" i="61"/>
  <c r="DS18" i="61"/>
  <c r="DL18" i="61"/>
  <c r="DG18" i="61"/>
  <c r="DG20" i="61" s="1"/>
  <c r="CZ18" i="61"/>
  <c r="CU18" i="61"/>
  <c r="CN18" i="61"/>
  <c r="CI18" i="61"/>
  <c r="CB18" i="61"/>
  <c r="BW18" i="61"/>
  <c r="BP18" i="61"/>
  <c r="BK18" i="61"/>
  <c r="BK20" i="61" s="1"/>
  <c r="BD18" i="61"/>
  <c r="AY18" i="61"/>
  <c r="AR18" i="61"/>
  <c r="AM18" i="61"/>
  <c r="AF18" i="61"/>
  <c r="AA18" i="61"/>
  <c r="T18" i="61"/>
  <c r="O18" i="61"/>
  <c r="H18" i="61"/>
  <c r="DT15" i="61"/>
  <c r="DS15" i="61"/>
  <c r="DR15" i="61"/>
  <c r="DQ15" i="61"/>
  <c r="DP15" i="61"/>
  <c r="DO15" i="61"/>
  <c r="DN15" i="61"/>
  <c r="DM15" i="61"/>
  <c r="DL15" i="61"/>
  <c r="DK15" i="61"/>
  <c r="DJ15" i="61"/>
  <c r="DI15" i="61"/>
  <c r="DH15" i="61"/>
  <c r="DG15" i="61"/>
  <c r="DF15" i="61"/>
  <c r="DE15" i="61"/>
  <c r="DD15" i="61"/>
  <c r="DC15" i="61"/>
  <c r="DB15" i="61"/>
  <c r="DA15" i="61"/>
  <c r="CZ15" i="61"/>
  <c r="CY15" i="61"/>
  <c r="CX15" i="61"/>
  <c r="CW15" i="61"/>
  <c r="CV15" i="61"/>
  <c r="CU15" i="61"/>
  <c r="CT15" i="61"/>
  <c r="CS15" i="61"/>
  <c r="CR15" i="61"/>
  <c r="CQ15" i="61"/>
  <c r="CP15" i="61"/>
  <c r="CO15" i="61"/>
  <c r="CN15" i="61"/>
  <c r="CM15" i="61"/>
  <c r="CL15" i="61"/>
  <c r="CK15" i="61"/>
  <c r="CJ15" i="61"/>
  <c r="CI15" i="61"/>
  <c r="CH15" i="61"/>
  <c r="CG15" i="61"/>
  <c r="CF15" i="61"/>
  <c r="CE15" i="61"/>
  <c r="CD15" i="61"/>
  <c r="CC15" i="61"/>
  <c r="CB15" i="61"/>
  <c r="CA15" i="61"/>
  <c r="BZ15" i="61"/>
  <c r="BY15" i="61"/>
  <c r="BX15" i="61"/>
  <c r="BW15" i="61"/>
  <c r="BV15" i="61"/>
  <c r="BU15" i="61"/>
  <c r="BT15" i="61"/>
  <c r="BS15" i="61"/>
  <c r="BR15" i="61"/>
  <c r="BQ15" i="61"/>
  <c r="BP15" i="61"/>
  <c r="BO15" i="61"/>
  <c r="BN15" i="61"/>
  <c r="BM15" i="61"/>
  <c r="BL15" i="61"/>
  <c r="BK15" i="61"/>
  <c r="BJ15" i="61"/>
  <c r="BI15" i="61"/>
  <c r="BH15" i="61"/>
  <c r="BG15" i="61"/>
  <c r="BF15" i="61"/>
  <c r="BE15" i="61"/>
  <c r="BD15" i="61"/>
  <c r="BC15" i="61"/>
  <c r="BB15" i="61"/>
  <c r="BA15" i="61"/>
  <c r="AZ15" i="61"/>
  <c r="AY15" i="61"/>
  <c r="AX15" i="61"/>
  <c r="AW15" i="61"/>
  <c r="AV15" i="61"/>
  <c r="AU15" i="61"/>
  <c r="AT15" i="61"/>
  <c r="AS15" i="61"/>
  <c r="AR15" i="61"/>
  <c r="AQ15" i="61"/>
  <c r="AP15" i="61"/>
  <c r="AO15" i="61"/>
  <c r="AN15" i="61"/>
  <c r="AM15" i="61"/>
  <c r="AL15" i="61"/>
  <c r="AK15" i="61"/>
  <c r="AJ15" i="61"/>
  <c r="AI15" i="61"/>
  <c r="AH15" i="61"/>
  <c r="AG15" i="61"/>
  <c r="AF15" i="61"/>
  <c r="AE15" i="61"/>
  <c r="AD15" i="61"/>
  <c r="AC15" i="61"/>
  <c r="AB15" i="61"/>
  <c r="AA15" i="61"/>
  <c r="Z15" i="61"/>
  <c r="Y15" i="61"/>
  <c r="X15" i="61"/>
  <c r="W15" i="61"/>
  <c r="V15" i="61"/>
  <c r="U15" i="61"/>
  <c r="T15" i="61"/>
  <c r="S15" i="61"/>
  <c r="R15" i="61"/>
  <c r="Q15" i="61"/>
  <c r="P15" i="61"/>
  <c r="O15" i="61"/>
  <c r="N15" i="61"/>
  <c r="M15" i="61"/>
  <c r="L15" i="61"/>
  <c r="K15" i="61"/>
  <c r="J15" i="61"/>
  <c r="I15" i="61"/>
  <c r="H15" i="61"/>
  <c r="G15" i="61"/>
  <c r="F15" i="61"/>
  <c r="E15" i="61"/>
  <c r="D15" i="61"/>
  <c r="J14" i="61"/>
  <c r="I14" i="61"/>
  <c r="H14" i="61"/>
  <c r="G14" i="61"/>
  <c r="F14" i="61"/>
  <c r="E14" i="61"/>
  <c r="D14" i="61"/>
  <c r="L16" i="61" l="1"/>
  <c r="T16" i="61"/>
  <c r="AB16" i="61"/>
  <c r="AJ16" i="61"/>
  <c r="AR16" i="61"/>
  <c r="AZ16" i="61"/>
  <c r="BH16" i="61"/>
  <c r="BP16" i="61"/>
  <c r="BX16" i="61"/>
  <c r="CF16" i="61"/>
  <c r="CN16" i="61"/>
  <c r="CV16" i="61"/>
  <c r="DD16" i="61"/>
  <c r="DL16" i="61"/>
  <c r="O30" i="61"/>
  <c r="W30" i="61"/>
  <c r="AE30" i="61"/>
  <c r="AM30" i="61"/>
  <c r="AU30" i="61"/>
  <c r="BC30" i="61"/>
  <c r="BK30" i="61"/>
  <c r="BS30" i="61"/>
  <c r="CA30" i="61"/>
  <c r="CI30" i="61"/>
  <c r="CQ30" i="61"/>
  <c r="CY30" i="61"/>
  <c r="DG30" i="61"/>
  <c r="DO30" i="61"/>
  <c r="P30" i="61"/>
  <c r="X30" i="61"/>
  <c r="AF30" i="61"/>
  <c r="AN30" i="61"/>
  <c r="AV30" i="61"/>
  <c r="BD30" i="61"/>
  <c r="BL30" i="61"/>
  <c r="BT30" i="61"/>
  <c r="CB30" i="61"/>
  <c r="CJ30" i="61"/>
  <c r="CR30" i="61"/>
  <c r="DH30" i="61"/>
  <c r="AG30" i="61"/>
  <c r="BM30" i="61"/>
  <c r="CS30" i="61"/>
  <c r="H30" i="61"/>
  <c r="I30" i="61"/>
  <c r="J30" i="61"/>
  <c r="R30" i="61"/>
  <c r="Z30" i="61"/>
  <c r="AH30" i="61"/>
  <c r="AP30" i="61"/>
  <c r="AX30" i="61"/>
  <c r="BF30" i="61"/>
  <c r="BN30" i="61"/>
  <c r="BV30" i="61"/>
  <c r="CD30" i="61"/>
  <c r="CL30" i="61"/>
  <c r="CT30" i="61"/>
  <c r="DB30" i="61"/>
  <c r="DJ30" i="61"/>
  <c r="DR30" i="61"/>
  <c r="DK30" i="61"/>
  <c r="T30" i="61"/>
  <c r="AJ30" i="61"/>
  <c r="AZ30" i="61"/>
  <c r="BP30" i="61"/>
  <c r="CF30" i="61"/>
  <c r="CV30" i="61"/>
  <c r="DL30" i="61"/>
  <c r="CX30" i="61"/>
  <c r="G30" i="61"/>
  <c r="Q30" i="61"/>
  <c r="AW30" i="61"/>
  <c r="CC30" i="61"/>
  <c r="DI30" i="61"/>
  <c r="K30" i="61"/>
  <c r="S30" i="61"/>
  <c r="AA30" i="61"/>
  <c r="AI30" i="61"/>
  <c r="AQ30" i="61"/>
  <c r="AY30" i="61"/>
  <c r="BG30" i="61"/>
  <c r="BO30" i="61"/>
  <c r="BW30" i="61"/>
  <c r="CE30" i="61"/>
  <c r="CM30" i="61"/>
  <c r="CU30" i="61"/>
  <c r="DC30" i="61"/>
  <c r="DS30" i="61"/>
  <c r="AB30" i="61"/>
  <c r="AR30" i="61"/>
  <c r="BH30" i="61"/>
  <c r="BX30" i="61"/>
  <c r="CN30" i="61"/>
  <c r="DD30" i="61"/>
  <c r="DT30" i="61"/>
  <c r="DF30" i="61"/>
  <c r="CZ30" i="61"/>
  <c r="Y30" i="61"/>
  <c r="BE30" i="61"/>
  <c r="CK30" i="61"/>
  <c r="DQ30" i="61"/>
  <c r="L30" i="61"/>
  <c r="M30" i="61"/>
  <c r="U30" i="61"/>
  <c r="AC30" i="61"/>
  <c r="AK30" i="61"/>
  <c r="AS30" i="61"/>
  <c r="BA30" i="61"/>
  <c r="BI30" i="61"/>
  <c r="BQ30" i="61"/>
  <c r="BY30" i="61"/>
  <c r="CG30" i="61"/>
  <c r="CO30" i="61"/>
  <c r="CW30" i="61"/>
  <c r="DE30" i="61"/>
  <c r="DM30" i="61"/>
  <c r="F30" i="61"/>
  <c r="V30" i="61"/>
  <c r="AD30" i="61"/>
  <c r="AL30" i="61"/>
  <c r="AT30" i="61"/>
  <c r="BB30" i="61"/>
  <c r="BJ30" i="61"/>
  <c r="BR30" i="61"/>
  <c r="BZ30" i="61"/>
  <c r="CH30" i="61"/>
  <c r="CP30" i="61"/>
  <c r="DN30" i="61"/>
  <c r="DP30" i="61"/>
  <c r="AO30" i="61"/>
  <c r="BU30" i="61"/>
  <c r="DA30" i="61"/>
  <c r="N30" i="61"/>
  <c r="DT16" i="61"/>
  <c r="T20" i="61"/>
  <c r="BP20" i="61"/>
  <c r="DL20" i="61"/>
  <c r="AY20" i="61"/>
  <c r="CU20" i="61"/>
  <c r="AA20" i="61"/>
  <c r="BW20" i="61"/>
  <c r="DS20" i="61"/>
  <c r="G16" i="61"/>
  <c r="O16" i="61"/>
  <c r="W16" i="61"/>
  <c r="AE16" i="61"/>
  <c r="AM16" i="61"/>
  <c r="AU16" i="61"/>
  <c r="BC16" i="61"/>
  <c r="BK16" i="61"/>
  <c r="BS16" i="61"/>
  <c r="CA16" i="61"/>
  <c r="CI16" i="61"/>
  <c r="CQ16" i="61"/>
  <c r="CY16" i="61"/>
  <c r="DG16" i="61"/>
  <c r="DO16" i="61"/>
  <c r="H20" i="61"/>
  <c r="BD20" i="61"/>
  <c r="CZ20" i="61"/>
  <c r="E16" i="61"/>
  <c r="M16" i="61"/>
  <c r="U16" i="61"/>
  <c r="AC16" i="61"/>
  <c r="AK16" i="61"/>
  <c r="AS16" i="61"/>
  <c r="BA16" i="61"/>
  <c r="BI16" i="61"/>
  <c r="BQ16" i="61"/>
  <c r="BY16" i="61"/>
  <c r="CG16" i="61"/>
  <c r="CO16" i="61"/>
  <c r="CW16" i="61"/>
  <c r="DE16" i="61"/>
  <c r="DM16" i="61"/>
  <c r="F16" i="61"/>
  <c r="N16" i="61"/>
  <c r="V16" i="61"/>
  <c r="AD16" i="61"/>
  <c r="AL16" i="61"/>
  <c r="AT16" i="61"/>
  <c r="BB16" i="61"/>
  <c r="BJ16" i="61"/>
  <c r="BR16" i="61"/>
  <c r="BZ16" i="61"/>
  <c r="CH16" i="61"/>
  <c r="CP16" i="61"/>
  <c r="CX16" i="61"/>
  <c r="DF16" i="61"/>
  <c r="DN16" i="61"/>
  <c r="AM20" i="61"/>
  <c r="CI20" i="61"/>
  <c r="P16" i="61"/>
  <c r="AN16" i="61"/>
  <c r="BD16" i="61"/>
  <c r="CB16" i="61"/>
  <c r="DH16" i="61"/>
  <c r="Y16" i="61"/>
  <c r="AW16" i="61"/>
  <c r="BM16" i="61"/>
  <c r="BU16" i="61"/>
  <c r="CC16" i="61"/>
  <c r="CK16" i="61"/>
  <c r="CS16" i="61"/>
  <c r="DA16" i="61"/>
  <c r="DI16" i="61"/>
  <c r="DQ16" i="61"/>
  <c r="AF20" i="61"/>
  <c r="CB20" i="61"/>
  <c r="H16" i="61"/>
  <c r="AF16" i="61"/>
  <c r="BL16" i="61"/>
  <c r="CJ16" i="61"/>
  <c r="CZ16" i="61"/>
  <c r="Q16" i="61"/>
  <c r="AO16" i="61"/>
  <c r="J16" i="61"/>
  <c r="AH16" i="61"/>
  <c r="BF16" i="61"/>
  <c r="BV16" i="61"/>
  <c r="CL16" i="61"/>
  <c r="DB16" i="61"/>
  <c r="DJ16" i="61"/>
  <c r="DR16" i="61"/>
  <c r="X16" i="61"/>
  <c r="AV16" i="61"/>
  <c r="BT16" i="61"/>
  <c r="CR16" i="61"/>
  <c r="DP16" i="61"/>
  <c r="I16" i="61"/>
  <c r="AG16" i="61"/>
  <c r="BE16" i="61"/>
  <c r="R16" i="61"/>
  <c r="Z16" i="61"/>
  <c r="AP16" i="61"/>
  <c r="AX16" i="61"/>
  <c r="BN16" i="61"/>
  <c r="CD16" i="61"/>
  <c r="CT16" i="61"/>
  <c r="K16" i="61"/>
  <c r="S16" i="61"/>
  <c r="AA16" i="61"/>
  <c r="AI16" i="61"/>
  <c r="AQ16" i="61"/>
  <c r="AY16" i="61"/>
  <c r="BG16" i="61"/>
  <c r="BO16" i="61"/>
  <c r="BW16" i="61"/>
  <c r="CE16" i="61"/>
  <c r="CM16" i="61"/>
  <c r="CU16" i="61"/>
  <c r="DC16" i="61"/>
  <c r="DK16" i="61"/>
  <c r="DS16" i="61"/>
  <c r="AR20" i="61"/>
  <c r="CN20" i="61"/>
  <c r="C22" i="6" l="1"/>
  <c r="E29" i="6"/>
  <c r="E28" i="6"/>
  <c r="P20" i="6"/>
  <c r="L20" i="6"/>
  <c r="H20" i="6"/>
  <c r="F20" i="6"/>
  <c r="D20" i="6"/>
  <c r="K157" i="60"/>
  <c r="K158" i="60" s="1"/>
  <c r="K159" i="60" s="1"/>
  <c r="K160" i="60" s="1"/>
  <c r="K161" i="60" s="1"/>
  <c r="K162" i="60" s="1"/>
  <c r="K163" i="60" s="1"/>
  <c r="K164" i="60" s="1"/>
  <c r="K165" i="60" s="1"/>
  <c r="K166" i="60" s="1"/>
  <c r="K167" i="60" s="1"/>
  <c r="K168" i="60" s="1"/>
  <c r="K145" i="60"/>
  <c r="K146" i="60" s="1"/>
  <c r="K147" i="60" s="1"/>
  <c r="K148" i="60" s="1"/>
  <c r="K149" i="60" s="1"/>
  <c r="K150" i="60" s="1"/>
  <c r="K151" i="60" s="1"/>
  <c r="K152" i="60" s="1"/>
  <c r="K153" i="60" s="1"/>
  <c r="K154" i="60" s="1"/>
  <c r="K155" i="60" s="1"/>
  <c r="K156" i="60" s="1"/>
  <c r="K130" i="60"/>
  <c r="K131" i="60" s="1"/>
  <c r="K132" i="60" s="1"/>
  <c r="K133" i="60" s="1"/>
  <c r="K134" i="60" s="1"/>
  <c r="K135" i="60" s="1"/>
  <c r="K136" i="60" s="1"/>
  <c r="K137" i="60" s="1"/>
  <c r="K138" i="60" s="1"/>
  <c r="K139" i="60" s="1"/>
  <c r="K140" i="60" s="1"/>
  <c r="K141" i="60" s="1"/>
  <c r="K118" i="60"/>
  <c r="K119" i="60" s="1"/>
  <c r="K120" i="60" s="1"/>
  <c r="K121" i="60" s="1"/>
  <c r="K122" i="60" s="1"/>
  <c r="K123" i="60" s="1"/>
  <c r="K124" i="60" s="1"/>
  <c r="K125" i="60" s="1"/>
  <c r="K126" i="60" s="1"/>
  <c r="K127" i="60" s="1"/>
  <c r="K128" i="60" s="1"/>
  <c r="K129" i="60" s="1"/>
  <c r="W104" i="60"/>
  <c r="X104" i="60"/>
  <c r="W105" i="60"/>
  <c r="X105" i="60"/>
  <c r="W106" i="60"/>
  <c r="X106" i="60"/>
  <c r="W107" i="60"/>
  <c r="X107" i="60"/>
  <c r="W108" i="60"/>
  <c r="X108" i="60"/>
  <c r="W109" i="60"/>
  <c r="X109" i="60"/>
  <c r="W110" i="60"/>
  <c r="X110" i="60"/>
  <c r="W111" i="60"/>
  <c r="X111" i="60"/>
  <c r="W112" i="60"/>
  <c r="X112" i="60"/>
  <c r="W113" i="60"/>
  <c r="X113" i="60"/>
  <c r="W114" i="60"/>
  <c r="X114" i="60"/>
  <c r="W87" i="60"/>
  <c r="X87" i="60"/>
  <c r="X103" i="60"/>
  <c r="W103" i="60"/>
  <c r="W88" i="60"/>
  <c r="X88" i="60"/>
  <c r="W89" i="60"/>
  <c r="X89" i="60"/>
  <c r="W90" i="60"/>
  <c r="X90" i="60"/>
  <c r="W91" i="60"/>
  <c r="X91" i="60"/>
  <c r="W92" i="60"/>
  <c r="X92" i="60"/>
  <c r="W93" i="60"/>
  <c r="X93" i="60"/>
  <c r="W94" i="60"/>
  <c r="X94" i="60"/>
  <c r="W95" i="60"/>
  <c r="X95" i="60"/>
  <c r="W96" i="60"/>
  <c r="X96" i="60"/>
  <c r="W97" i="60"/>
  <c r="X97" i="60"/>
  <c r="W98" i="60"/>
  <c r="X98" i="60"/>
  <c r="E50" i="60" l="1"/>
  <c r="F50" i="60"/>
  <c r="G50" i="60"/>
  <c r="H50" i="60"/>
  <c r="I50" i="60"/>
  <c r="J50" i="60"/>
  <c r="K50" i="60"/>
  <c r="L50" i="60"/>
  <c r="M50" i="60"/>
  <c r="N50" i="60"/>
  <c r="O50" i="60"/>
  <c r="P50" i="60"/>
  <c r="Q50" i="60"/>
  <c r="R50" i="60"/>
  <c r="S50" i="60"/>
  <c r="T50" i="60"/>
  <c r="U50" i="60"/>
  <c r="V50" i="60"/>
  <c r="W50" i="60"/>
  <c r="D50" i="60"/>
  <c r="P10" i="4" l="1"/>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J10" i="4" l="1"/>
  <c r="O10" i="58" l="1"/>
  <c r="I86" i="42" l="1"/>
  <c r="K60" i="59" l="1"/>
  <c r="I10" i="59" s="1"/>
  <c r="I14" i="59" s="1"/>
  <c r="I22" i="59" s="1"/>
  <c r="K44" i="59"/>
  <c r="H10" i="59" s="1"/>
  <c r="H14" i="59" s="1"/>
  <c r="H22" i="59" s="1"/>
  <c r="K29" i="59"/>
  <c r="G10" i="59" s="1"/>
  <c r="G14" i="59" s="1"/>
  <c r="G22" i="59" s="1"/>
  <c r="B60" i="59"/>
  <c r="F10" i="59" s="1"/>
  <c r="F14" i="59" s="1"/>
  <c r="F22" i="59" s="1"/>
  <c r="B29" i="59"/>
  <c r="D10" i="59" s="1"/>
  <c r="D14" i="59" s="1"/>
  <c r="D22" i="59" s="1"/>
  <c r="B44" i="59"/>
  <c r="E10" i="59" s="1"/>
  <c r="E14" i="59" s="1"/>
  <c r="E22" i="59" s="1"/>
  <c r="AN27" i="29"/>
  <c r="AN26" i="29"/>
  <c r="AF27" i="29"/>
  <c r="AF26" i="29"/>
  <c r="E97" i="4" l="1"/>
  <c r="E98" i="4"/>
  <c r="AD26" i="30" l="1"/>
  <c r="AE26" i="30"/>
  <c r="AE27" i="30"/>
  <c r="AD28" i="30"/>
  <c r="AE28" i="30"/>
  <c r="AD32" i="30"/>
  <c r="AE33" i="30"/>
  <c r="AD34" i="30"/>
  <c r="AE34" i="30"/>
  <c r="AE35" i="30"/>
  <c r="AD36" i="30"/>
  <c r="AE36" i="30"/>
  <c r="AD40" i="30"/>
  <c r="AE41" i="30"/>
  <c r="AD42" i="30"/>
  <c r="AE42" i="30"/>
  <c r="AE43" i="30"/>
  <c r="AD44" i="30"/>
  <c r="AE44" i="30"/>
  <c r="AD48" i="30"/>
  <c r="AE49" i="30"/>
  <c r="AD50" i="30"/>
  <c r="AE50" i="30"/>
  <c r="AE51" i="30"/>
  <c r="AD52" i="30"/>
  <c r="AE52" i="30"/>
  <c r="AD56" i="30"/>
  <c r="AE57" i="30"/>
  <c r="AD58" i="30"/>
  <c r="AE58" i="30"/>
  <c r="AE59" i="30"/>
  <c r="AD60" i="30"/>
  <c r="AE60" i="30"/>
  <c r="AD64" i="30"/>
  <c r="AE65" i="30"/>
  <c r="AD66" i="30"/>
  <c r="AE66" i="30"/>
  <c r="AE67" i="30"/>
  <c r="AD68" i="30"/>
  <c r="AE68" i="30"/>
  <c r="AD72" i="30"/>
  <c r="AE73" i="30"/>
  <c r="AD74" i="30"/>
  <c r="AE74" i="30"/>
  <c r="AE75" i="30"/>
  <c r="AD76" i="30"/>
  <c r="AE76" i="30"/>
  <c r="AD80" i="30"/>
  <c r="AE81" i="30"/>
  <c r="AD82" i="30"/>
  <c r="AE82" i="30"/>
  <c r="AE83" i="30"/>
  <c r="AD84" i="30"/>
  <c r="AE84" i="30"/>
  <c r="AE87" i="30"/>
  <c r="AE89" i="30"/>
  <c r="AD90" i="30"/>
  <c r="AE90" i="30"/>
  <c r="AE91" i="30"/>
  <c r="AD92" i="30"/>
  <c r="AE92" i="30"/>
  <c r="AE97" i="30"/>
  <c r="AD98" i="30"/>
  <c r="AE98" i="30"/>
  <c r="AD99" i="30"/>
  <c r="AE99" i="30"/>
  <c r="AD100" i="30"/>
  <c r="AE100" i="30"/>
  <c r="AE105" i="30"/>
  <c r="AD106" i="30"/>
  <c r="AE106" i="30"/>
  <c r="AD107" i="30"/>
  <c r="AE107" i="30"/>
  <c r="AD108" i="30"/>
  <c r="AE108" i="30"/>
  <c r="AD111" i="30"/>
  <c r="AE111" i="30"/>
  <c r="AD112" i="30"/>
  <c r="AE112" i="30"/>
  <c r="AE114" i="30"/>
  <c r="AE115" i="30"/>
  <c r="AD116" i="30"/>
  <c r="AE116" i="30"/>
  <c r="AD120" i="30"/>
  <c r="AE120" i="30"/>
  <c r="AE122" i="30"/>
  <c r="AE123" i="30"/>
  <c r="AD124" i="30"/>
  <c r="AE124" i="30"/>
  <c r="AD128" i="30"/>
  <c r="AE128" i="30"/>
  <c r="AE130" i="30"/>
  <c r="AE131" i="30"/>
  <c r="AD132" i="30"/>
  <c r="AE132" i="30"/>
  <c r="AD25" i="30"/>
  <c r="AC112" i="30"/>
  <c r="AC113" i="30"/>
  <c r="AD113" i="30" s="1"/>
  <c r="AC114" i="30"/>
  <c r="AD114" i="30" s="1"/>
  <c r="AC115" i="30"/>
  <c r="AD115" i="30" s="1"/>
  <c r="AC116" i="30"/>
  <c r="AC117" i="30"/>
  <c r="AC118" i="30"/>
  <c r="AC119" i="30"/>
  <c r="AD119" i="30" s="1"/>
  <c r="AC120" i="30"/>
  <c r="AC121" i="30"/>
  <c r="AD121" i="30" s="1"/>
  <c r="AC122" i="30"/>
  <c r="AD122" i="30" s="1"/>
  <c r="AC123" i="30"/>
  <c r="AD123" i="30" s="1"/>
  <c r="AC124" i="30"/>
  <c r="AC125" i="30"/>
  <c r="AC126" i="30"/>
  <c r="AC127" i="30"/>
  <c r="AD127" i="30" s="1"/>
  <c r="AC128" i="30"/>
  <c r="AC129" i="30"/>
  <c r="AD129" i="30" s="1"/>
  <c r="AC130" i="30"/>
  <c r="AD130" i="30" s="1"/>
  <c r="AC131" i="30"/>
  <c r="AD131" i="30" s="1"/>
  <c r="AC132" i="30"/>
  <c r="AC133" i="30"/>
  <c r="AC134" i="30"/>
  <c r="AC135" i="30"/>
  <c r="AD135" i="30" s="1"/>
  <c r="AC111" i="30"/>
  <c r="AC26" i="30"/>
  <c r="AC27" i="30"/>
  <c r="AD27" i="30" s="1"/>
  <c r="AC28" i="30"/>
  <c r="AC29" i="30"/>
  <c r="AD29" i="30" s="1"/>
  <c r="AC30" i="30"/>
  <c r="AC31" i="30"/>
  <c r="AC32" i="30"/>
  <c r="AE32" i="30" s="1"/>
  <c r="AC33" i="30"/>
  <c r="AD33" i="30" s="1"/>
  <c r="AC34" i="30"/>
  <c r="AC35" i="30"/>
  <c r="AD35" i="30" s="1"/>
  <c r="AC36" i="30"/>
  <c r="AC37" i="30"/>
  <c r="AD37" i="30" s="1"/>
  <c r="AC38" i="30"/>
  <c r="AC39" i="30"/>
  <c r="AC40" i="30"/>
  <c r="AE40" i="30" s="1"/>
  <c r="AC41" i="30"/>
  <c r="AD41" i="30" s="1"/>
  <c r="AC42" i="30"/>
  <c r="AC43" i="30"/>
  <c r="AD43" i="30" s="1"/>
  <c r="AC44" i="30"/>
  <c r="AC45" i="30"/>
  <c r="AD45" i="30" s="1"/>
  <c r="AC46" i="30"/>
  <c r="AC47" i="30"/>
  <c r="AC48" i="30"/>
  <c r="AE48" i="30" s="1"/>
  <c r="AC49" i="30"/>
  <c r="AD49" i="30" s="1"/>
  <c r="AC50" i="30"/>
  <c r="AC51" i="30"/>
  <c r="AD51" i="30" s="1"/>
  <c r="AC52" i="30"/>
  <c r="AC53" i="30"/>
  <c r="AD53" i="30" s="1"/>
  <c r="AC54" i="30"/>
  <c r="AC55" i="30"/>
  <c r="AC56" i="30"/>
  <c r="AE56" i="30" s="1"/>
  <c r="AC57" i="30"/>
  <c r="AD57" i="30" s="1"/>
  <c r="AC58" i="30"/>
  <c r="AC59" i="30"/>
  <c r="AD59" i="30" s="1"/>
  <c r="AC60" i="30"/>
  <c r="AC61" i="30"/>
  <c r="AD61" i="30" s="1"/>
  <c r="AC62" i="30"/>
  <c r="AC63" i="30"/>
  <c r="AC64" i="30"/>
  <c r="AE64" i="30" s="1"/>
  <c r="AC65" i="30"/>
  <c r="AD65" i="30" s="1"/>
  <c r="AC66" i="30"/>
  <c r="AC67" i="30"/>
  <c r="AD67" i="30" s="1"/>
  <c r="AC68" i="30"/>
  <c r="AC69" i="30"/>
  <c r="AD69" i="30" s="1"/>
  <c r="AC70" i="30"/>
  <c r="AC71" i="30"/>
  <c r="AC72" i="30"/>
  <c r="AE72" i="30" s="1"/>
  <c r="AC73" i="30"/>
  <c r="AD73" i="30" s="1"/>
  <c r="AC74" i="30"/>
  <c r="AC75" i="30"/>
  <c r="AD75" i="30" s="1"/>
  <c r="AC76" i="30"/>
  <c r="AC77" i="30"/>
  <c r="AD77" i="30" s="1"/>
  <c r="AC78" i="30"/>
  <c r="AC79" i="30"/>
  <c r="AC80" i="30"/>
  <c r="AE80" i="30" s="1"/>
  <c r="AC81" i="30"/>
  <c r="AD81" i="30" s="1"/>
  <c r="AC82" i="30"/>
  <c r="AC83" i="30"/>
  <c r="AD83" i="30" s="1"/>
  <c r="AC84" i="30"/>
  <c r="AC85" i="30"/>
  <c r="AD85" i="30" s="1"/>
  <c r="AC86" i="30"/>
  <c r="AC87" i="30"/>
  <c r="AD87" i="30" s="1"/>
  <c r="AC88" i="30"/>
  <c r="AD88" i="30" s="1"/>
  <c r="AC89" i="30"/>
  <c r="AD89" i="30" s="1"/>
  <c r="AC90" i="30"/>
  <c r="AC91" i="30"/>
  <c r="AD91" i="30" s="1"/>
  <c r="AC92" i="30"/>
  <c r="AC93" i="30"/>
  <c r="AD93" i="30" s="1"/>
  <c r="AC94" i="30"/>
  <c r="AC95" i="30"/>
  <c r="AD95" i="30" s="1"/>
  <c r="AC96" i="30"/>
  <c r="AD96" i="30" s="1"/>
  <c r="AC97" i="30"/>
  <c r="AD97" i="30" s="1"/>
  <c r="AC98" i="30"/>
  <c r="AC99" i="30"/>
  <c r="AC100" i="30"/>
  <c r="AC101" i="30"/>
  <c r="AD101" i="30" s="1"/>
  <c r="AC102" i="30"/>
  <c r="AC103" i="30"/>
  <c r="AD103" i="30" s="1"/>
  <c r="AC104" i="30"/>
  <c r="AD104" i="30" s="1"/>
  <c r="AC105" i="30"/>
  <c r="AD105" i="30" s="1"/>
  <c r="AC106" i="30"/>
  <c r="AC107" i="30"/>
  <c r="AC108" i="30"/>
  <c r="AC109" i="30"/>
  <c r="AD109" i="30" s="1"/>
  <c r="AC110" i="30"/>
  <c r="AC25" i="30"/>
  <c r="AE25" i="30" s="1"/>
  <c r="AI101" i="30"/>
  <c r="AJ101" i="30" s="1"/>
  <c r="AO101" i="30" s="1"/>
  <c r="AI102" i="30"/>
  <c r="AJ102" i="30" s="1"/>
  <c r="AO102" i="30" s="1"/>
  <c r="AI103" i="30"/>
  <c r="AJ103" i="30" s="1"/>
  <c r="AO103" i="30" s="1"/>
  <c r="AI104" i="30"/>
  <c r="AJ104" i="30" s="1"/>
  <c r="AI105" i="30"/>
  <c r="AI106" i="30"/>
  <c r="AI107" i="30"/>
  <c r="AI108" i="30"/>
  <c r="AI109" i="30"/>
  <c r="AI110" i="30"/>
  <c r="AJ110" i="30" s="1"/>
  <c r="AI111" i="30"/>
  <c r="AJ111" i="30" s="1"/>
  <c r="AI112" i="30"/>
  <c r="AJ112" i="30" s="1"/>
  <c r="AI113" i="30"/>
  <c r="AJ113" i="30" s="1"/>
  <c r="AO113" i="30" s="1"/>
  <c r="AI114" i="30"/>
  <c r="AJ114" i="30" s="1"/>
  <c r="AO114" i="30" s="1"/>
  <c r="AI115" i="30"/>
  <c r="AI116" i="30"/>
  <c r="AJ116" i="30" s="1"/>
  <c r="AI117" i="30"/>
  <c r="AJ117" i="30" s="1"/>
  <c r="AI118" i="30"/>
  <c r="AJ118" i="30" s="1"/>
  <c r="AI119" i="30"/>
  <c r="AJ119" i="30" s="1"/>
  <c r="AI120" i="30"/>
  <c r="AJ120" i="30" s="1"/>
  <c r="AI121" i="30"/>
  <c r="AJ121" i="30" s="1"/>
  <c r="AO121" i="30" s="1"/>
  <c r="AI122" i="30"/>
  <c r="AJ122" i="30" s="1"/>
  <c r="AO122" i="30" s="1"/>
  <c r="AI123" i="30"/>
  <c r="AI124" i="30"/>
  <c r="AI125" i="30"/>
  <c r="AI126" i="30"/>
  <c r="AJ126" i="30" s="1"/>
  <c r="AI127" i="30"/>
  <c r="AJ127" i="30" s="1"/>
  <c r="AI128" i="30"/>
  <c r="AJ128" i="30" s="1"/>
  <c r="AI129" i="30"/>
  <c r="AJ129" i="30" s="1"/>
  <c r="AO129" i="30" s="1"/>
  <c r="AI130" i="30"/>
  <c r="AJ130" i="30" s="1"/>
  <c r="AO130" i="30" s="1"/>
  <c r="AI131" i="30"/>
  <c r="AI132" i="30"/>
  <c r="AJ132" i="30" s="1"/>
  <c r="AI133" i="30"/>
  <c r="AJ133" i="30" s="1"/>
  <c r="AI134" i="30"/>
  <c r="AJ134" i="30" s="1"/>
  <c r="AI135" i="30"/>
  <c r="AJ135" i="30" s="1"/>
  <c r="AI140" i="30"/>
  <c r="AJ105" i="30"/>
  <c r="AJ106" i="30"/>
  <c r="AJ107" i="30"/>
  <c r="AJ108" i="30"/>
  <c r="AJ109" i="30"/>
  <c r="AJ115" i="30"/>
  <c r="AJ123" i="30"/>
  <c r="AJ124" i="30"/>
  <c r="AJ125" i="30"/>
  <c r="AJ131" i="30"/>
  <c r="AI100" i="30"/>
  <c r="AJ100" i="30" s="1"/>
  <c r="AO100" i="30" s="1"/>
  <c r="AQ103" i="30"/>
  <c r="AN135" i="30"/>
  <c r="AN119" i="30"/>
  <c r="AN118" i="30"/>
  <c r="AN117" i="30"/>
  <c r="AM135" i="30"/>
  <c r="AM134" i="30"/>
  <c r="AN134" i="30" s="1"/>
  <c r="AM133" i="30"/>
  <c r="AN133" i="30" s="1"/>
  <c r="AM132" i="30"/>
  <c r="AN132" i="30" s="1"/>
  <c r="AM131" i="30"/>
  <c r="AN131" i="30" s="1"/>
  <c r="AM130" i="30"/>
  <c r="AN130" i="30" s="1"/>
  <c r="AM129" i="30"/>
  <c r="AN129" i="30" s="1"/>
  <c r="AM128" i="30"/>
  <c r="AN128" i="30" s="1"/>
  <c r="AM127" i="30"/>
  <c r="AN127" i="30" s="1"/>
  <c r="AM126" i="30"/>
  <c r="AN126" i="30" s="1"/>
  <c r="AM125" i="30"/>
  <c r="AN125" i="30" s="1"/>
  <c r="AM124" i="30"/>
  <c r="AN124" i="30" s="1"/>
  <c r="AM123" i="30"/>
  <c r="AN123" i="30" s="1"/>
  <c r="AM122" i="30"/>
  <c r="AN122" i="30" s="1"/>
  <c r="AM121" i="30"/>
  <c r="AN121" i="30" s="1"/>
  <c r="AM120" i="30"/>
  <c r="AN120" i="30" s="1"/>
  <c r="AM119" i="30"/>
  <c r="AM118" i="30"/>
  <c r="AM117" i="30"/>
  <c r="AM116" i="30"/>
  <c r="AN116" i="30" s="1"/>
  <c r="AM115" i="30"/>
  <c r="AN115" i="30" s="1"/>
  <c r="AM114" i="30"/>
  <c r="AN114" i="30" s="1"/>
  <c r="AM113" i="30"/>
  <c r="AN113" i="30" s="1"/>
  <c r="AM112" i="30"/>
  <c r="AN112" i="30" s="1"/>
  <c r="AM111" i="30"/>
  <c r="AN111" i="30" s="1"/>
  <c r="AM110" i="30"/>
  <c r="AN110" i="30" s="1"/>
  <c r="AM109" i="30"/>
  <c r="AN109" i="30" s="1"/>
  <c r="AM108" i="30"/>
  <c r="AN108" i="30" s="1"/>
  <c r="AM107" i="30"/>
  <c r="AN107" i="30" s="1"/>
  <c r="AM106" i="30"/>
  <c r="AN106" i="30" s="1"/>
  <c r="AM105" i="30"/>
  <c r="AN105" i="30" s="1"/>
  <c r="AM104" i="30"/>
  <c r="AN104" i="30" s="1"/>
  <c r="AO131" i="30" l="1"/>
  <c r="AE119" i="30"/>
  <c r="AE104" i="30"/>
  <c r="AO125" i="30"/>
  <c r="AD79" i="30"/>
  <c r="AE79" i="30"/>
  <c r="AD71" i="30"/>
  <c r="AE71" i="30"/>
  <c r="AD63" i="30"/>
  <c r="AE63" i="30"/>
  <c r="AE55" i="30"/>
  <c r="AD55" i="30"/>
  <c r="AD47" i="30"/>
  <c r="AE47" i="30"/>
  <c r="AD39" i="30"/>
  <c r="AE39" i="30"/>
  <c r="AE31" i="30"/>
  <c r="AD31" i="30"/>
  <c r="AE134" i="30"/>
  <c r="AD134" i="30"/>
  <c r="AE126" i="30"/>
  <c r="AD126" i="30"/>
  <c r="AE118" i="30"/>
  <c r="AD118" i="30"/>
  <c r="AE127" i="30"/>
  <c r="AO124" i="30"/>
  <c r="AO128" i="30"/>
  <c r="AO120" i="30"/>
  <c r="AO112" i="30"/>
  <c r="AO104" i="30"/>
  <c r="AE110" i="30"/>
  <c r="AD110" i="30"/>
  <c r="AE102" i="30"/>
  <c r="AD102" i="30"/>
  <c r="AE94" i="30"/>
  <c r="AD94" i="30"/>
  <c r="AE86" i="30"/>
  <c r="AD86" i="30"/>
  <c r="AE78" i="30"/>
  <c r="AD78" i="30"/>
  <c r="AE70" i="30"/>
  <c r="AD70" i="30"/>
  <c r="AE62" i="30"/>
  <c r="AD62" i="30"/>
  <c r="AE54" i="30"/>
  <c r="AD54" i="30"/>
  <c r="AD46" i="30"/>
  <c r="AE46" i="30"/>
  <c r="AE38" i="30"/>
  <c r="AD38" i="30"/>
  <c r="AE30" i="30"/>
  <c r="AD30" i="30"/>
  <c r="AD133" i="30"/>
  <c r="AE133" i="30"/>
  <c r="AD125" i="30"/>
  <c r="AE125" i="30"/>
  <c r="AD117" i="30"/>
  <c r="AE117" i="30"/>
  <c r="AE135" i="30"/>
  <c r="AE103" i="30"/>
  <c r="AE96" i="30"/>
  <c r="AE88" i="30"/>
  <c r="AO118" i="30"/>
  <c r="AE95" i="30"/>
  <c r="AO133" i="30"/>
  <c r="AO132" i="30"/>
  <c r="AO111" i="30"/>
  <c r="AO115" i="30"/>
  <c r="AO134" i="30"/>
  <c r="AO110" i="30"/>
  <c r="AO109" i="30"/>
  <c r="AO116" i="30"/>
  <c r="AE129" i="30"/>
  <c r="AE121" i="30"/>
  <c r="AE113" i="30"/>
  <c r="AE109" i="30"/>
  <c r="AE101" i="30"/>
  <c r="AE93" i="30"/>
  <c r="AE85" i="30"/>
  <c r="AE77" i="30"/>
  <c r="AE69" i="30"/>
  <c r="AE61" i="30"/>
  <c r="AE53" i="30"/>
  <c r="AE45" i="30"/>
  <c r="AE37" i="30"/>
  <c r="AE29" i="30"/>
  <c r="AO123" i="30"/>
  <c r="AO119" i="30"/>
  <c r="AO135" i="30"/>
  <c r="AO127" i="30"/>
  <c r="AO126" i="30"/>
  <c r="AO117" i="30"/>
  <c r="AO108" i="30"/>
  <c r="AO107" i="30"/>
  <c r="AO106" i="30"/>
  <c r="AO105" i="30"/>
  <c r="AI141" i="30"/>
  <c r="AI142" i="30" s="1"/>
  <c r="AK123" i="30"/>
  <c r="AL124" i="30" s="1"/>
  <c r="AK111" i="30"/>
  <c r="AL112" i="30" s="1"/>
  <c r="AK135" i="30"/>
  <c r="AL136" i="30" s="1"/>
  <c r="I65" i="54" l="1"/>
  <c r="J65" i="54"/>
  <c r="L65" i="54" s="1"/>
  <c r="K65" i="54"/>
  <c r="K64" i="54"/>
  <c r="L64" i="54" s="1"/>
  <c r="J64" i="54"/>
  <c r="J57" i="54" l="1"/>
  <c r="J56" i="54"/>
  <c r="M65" i="54" l="1"/>
  <c r="M64" i="54"/>
  <c r="Q21" i="46"/>
  <c r="K61" i="54"/>
  <c r="K60" i="54" s="1"/>
  <c r="J58" i="54"/>
  <c r="M39" i="59" s="1"/>
  <c r="J61" i="54" l="1"/>
  <c r="J60" i="54" s="1"/>
  <c r="M36" i="59" l="1"/>
  <c r="M35" i="59"/>
  <c r="M34" i="59"/>
  <c r="M33" i="59"/>
  <c r="M32" i="59"/>
  <c r="D47" i="59"/>
  <c r="C88" i="59"/>
  <c r="F57" i="54"/>
  <c r="G56" i="54"/>
  <c r="F56" i="54"/>
  <c r="B24" i="59"/>
  <c r="B23" i="59"/>
  <c r="Q49" i="57"/>
  <c r="Q50" i="57"/>
  <c r="Q51" i="57"/>
  <c r="Q52" i="57"/>
  <c r="Q53" i="57"/>
  <c r="Q54" i="57"/>
  <c r="Q55" i="57"/>
  <c r="Q56" i="57"/>
  <c r="Q57" i="57"/>
  <c r="Q48" i="57"/>
  <c r="Q37" i="57"/>
  <c r="Q38" i="57"/>
  <c r="Q39" i="57"/>
  <c r="Q40" i="57"/>
  <c r="Q41" i="57"/>
  <c r="Q42" i="57"/>
  <c r="Q43" i="57"/>
  <c r="Q44" i="57"/>
  <c r="Q45" i="57"/>
  <c r="Q36" i="57"/>
  <c r="C80" i="59" l="1"/>
  <c r="C83" i="59"/>
  <c r="C84" i="59"/>
  <c r="Q28" i="57"/>
  <c r="Q27" i="57"/>
  <c r="Q26" i="57"/>
  <c r="Q25" i="57"/>
  <c r="R52" i="57" l="1"/>
  <c r="R48" i="57"/>
  <c r="R42" i="57"/>
  <c r="R41" i="57"/>
  <c r="R40" i="57"/>
  <c r="R39" i="57"/>
  <c r="S40" i="57" s="1"/>
  <c r="R38" i="57"/>
  <c r="S39" i="57" s="1"/>
  <c r="R37" i="57"/>
  <c r="R36"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C106" i="57"/>
  <c r="C105" i="57"/>
  <c r="C104" i="57"/>
  <c r="C103" i="57"/>
  <c r="C102" i="57"/>
  <c r="C101" i="57"/>
  <c r="C100" i="57"/>
  <c r="C99" i="57"/>
  <c r="C98" i="57"/>
  <c r="C97" i="57"/>
  <c r="S38" i="57" l="1"/>
  <c r="S42" i="57"/>
  <c r="S41" i="57"/>
  <c r="R49" i="57"/>
  <c r="R51" i="57"/>
  <c r="R53" i="57"/>
  <c r="R50" i="57"/>
  <c r="R54" i="57"/>
  <c r="S37" i="57"/>
  <c r="E10" i="58" l="1"/>
  <c r="R15" i="58"/>
  <c r="R14" i="58"/>
  <c r="E8" i="58"/>
  <c r="F75" i="30"/>
  <c r="F76" i="30"/>
  <c r="F63" i="30"/>
  <c r="F51" i="30"/>
  <c r="F39" i="30"/>
  <c r="F27" i="30"/>
  <c r="H75" i="30"/>
  <c r="K8" i="58"/>
  <c r="K10" i="58" s="1"/>
  <c r="J8" i="58"/>
  <c r="J10" i="58" s="1"/>
  <c r="I8" i="58"/>
  <c r="I10" i="58" s="1"/>
  <c r="H8" i="58"/>
  <c r="H10" i="58" s="1"/>
  <c r="G8" i="58"/>
  <c r="G10" i="58" s="1"/>
  <c r="F8" i="58"/>
  <c r="F10" i="58" s="1"/>
  <c r="L7" i="58"/>
  <c r="L4" i="58" s="1"/>
  <c r="M7" i="58"/>
  <c r="M4" i="58" s="1"/>
  <c r="N7" i="58"/>
  <c r="N4" i="58" s="1"/>
  <c r="I7" i="58"/>
  <c r="I4" i="58" s="1"/>
  <c r="J7" i="58"/>
  <c r="J4" i="58" s="1"/>
  <c r="K7" i="58"/>
  <c r="K4" i="58" s="1"/>
  <c r="F7" i="58"/>
  <c r="F4" i="58" s="1"/>
  <c r="G7" i="58"/>
  <c r="G4" i="58" s="1"/>
  <c r="H7" i="58"/>
  <c r="H4" i="58" s="1"/>
  <c r="E7" i="58"/>
  <c r="E4" i="58" s="1"/>
  <c r="B3" i="58"/>
  <c r="S135" i="58"/>
  <c r="N8" i="58" s="1"/>
  <c r="N10" i="58" s="1"/>
  <c r="S122" i="58"/>
  <c r="M8" i="58" s="1"/>
  <c r="M10" i="58" s="1"/>
  <c r="S109" i="58"/>
  <c r="L8" i="58" s="1"/>
  <c r="L10" i="58" s="1"/>
  <c r="R127" i="58"/>
  <c r="T127" i="58" s="1"/>
  <c r="R128" i="58"/>
  <c r="T128" i="58" s="1"/>
  <c r="R129" i="58"/>
  <c r="T129" i="58" s="1"/>
  <c r="R130" i="58"/>
  <c r="T130" i="58" s="1"/>
  <c r="R131" i="58"/>
  <c r="T131" i="58" s="1"/>
  <c r="R132" i="58"/>
  <c r="T132" i="58" s="1"/>
  <c r="R133" i="58"/>
  <c r="T133" i="58" s="1"/>
  <c r="R134" i="58"/>
  <c r="T134" i="58" s="1"/>
  <c r="R123" i="58" l="1"/>
  <c r="R124" i="58"/>
  <c r="T124" i="58" s="1"/>
  <c r="R125" i="58"/>
  <c r="T125" i="58" s="1"/>
  <c r="R126" i="58"/>
  <c r="T126" i="58" s="1"/>
  <c r="R112" i="58"/>
  <c r="T112" i="58" s="1"/>
  <c r="R113" i="58"/>
  <c r="T113" i="58" s="1"/>
  <c r="R114" i="58"/>
  <c r="T114" i="58" s="1"/>
  <c r="R115" i="58"/>
  <c r="T115" i="58" s="1"/>
  <c r="R116" i="58"/>
  <c r="T116" i="58" s="1"/>
  <c r="R117" i="58"/>
  <c r="T117" i="58" s="1"/>
  <c r="R118" i="58"/>
  <c r="T118" i="58" s="1"/>
  <c r="R119" i="58"/>
  <c r="T119" i="58" s="1"/>
  <c r="R120" i="58"/>
  <c r="T120" i="58" s="1"/>
  <c r="R121" i="58"/>
  <c r="T121" i="58" s="1"/>
  <c r="R110" i="58"/>
  <c r="R111" i="58"/>
  <c r="T111" i="58" s="1"/>
  <c r="R104" i="58"/>
  <c r="T104" i="58" s="1"/>
  <c r="R105" i="58"/>
  <c r="T105" i="58" s="1"/>
  <c r="R106" i="58"/>
  <c r="T106" i="58" s="1"/>
  <c r="R107" i="58"/>
  <c r="T107" i="58" s="1"/>
  <c r="R108" i="58"/>
  <c r="T108" i="58" s="1"/>
  <c r="R7" i="58"/>
  <c r="R8" i="58"/>
  <c r="R9" i="58"/>
  <c r="R10" i="58"/>
  <c r="R11" i="58"/>
  <c r="R12" i="58"/>
  <c r="R13" i="58"/>
  <c r="R16" i="58"/>
  <c r="R17" i="58"/>
  <c r="R19" i="58"/>
  <c r="R20" i="58"/>
  <c r="R21" i="58"/>
  <c r="R22" i="58"/>
  <c r="R23" i="58"/>
  <c r="R24" i="58"/>
  <c r="R25" i="58"/>
  <c r="R26" i="58"/>
  <c r="R27" i="58"/>
  <c r="R28" i="58"/>
  <c r="R29" i="58"/>
  <c r="R30" i="58"/>
  <c r="R32" i="58"/>
  <c r="R33" i="58"/>
  <c r="R34" i="58"/>
  <c r="R35" i="58"/>
  <c r="R36" i="58"/>
  <c r="R37" i="58"/>
  <c r="R38" i="58"/>
  <c r="R39" i="58"/>
  <c r="R40" i="58"/>
  <c r="R41" i="58"/>
  <c r="R42" i="58"/>
  <c r="R43" i="58"/>
  <c r="R45" i="58"/>
  <c r="R46" i="58"/>
  <c r="R47" i="58"/>
  <c r="R48" i="58"/>
  <c r="R49" i="58"/>
  <c r="R50" i="58"/>
  <c r="R51" i="58"/>
  <c r="R52" i="58"/>
  <c r="R53" i="58"/>
  <c r="R54" i="58"/>
  <c r="R55" i="58"/>
  <c r="R56" i="58"/>
  <c r="R58" i="58"/>
  <c r="R59" i="58"/>
  <c r="R60" i="58"/>
  <c r="R61" i="58"/>
  <c r="R62" i="58"/>
  <c r="R63" i="58"/>
  <c r="R64" i="58"/>
  <c r="R65" i="58"/>
  <c r="R66" i="58"/>
  <c r="R67" i="58"/>
  <c r="R68" i="58"/>
  <c r="R69" i="58"/>
  <c r="R71" i="58"/>
  <c r="R72" i="58"/>
  <c r="R73" i="58"/>
  <c r="R74" i="58"/>
  <c r="R75" i="58"/>
  <c r="R76" i="58"/>
  <c r="R77" i="58"/>
  <c r="R78" i="58"/>
  <c r="R79" i="58"/>
  <c r="R80" i="58"/>
  <c r="R81" i="58"/>
  <c r="R82" i="58"/>
  <c r="R84" i="58"/>
  <c r="R85" i="58"/>
  <c r="R86" i="58"/>
  <c r="R87" i="58"/>
  <c r="R88" i="58"/>
  <c r="R89" i="58"/>
  <c r="R90" i="58"/>
  <c r="R91" i="58"/>
  <c r="R92" i="58"/>
  <c r="R93" i="58"/>
  <c r="R94" i="58"/>
  <c r="R95" i="58"/>
  <c r="R97" i="58"/>
  <c r="R98" i="58"/>
  <c r="T98" i="58" s="1"/>
  <c r="R99" i="58"/>
  <c r="T99" i="58" s="1"/>
  <c r="R100" i="58"/>
  <c r="T100" i="58" s="1"/>
  <c r="R101" i="58"/>
  <c r="T101" i="58" s="1"/>
  <c r="R102" i="58"/>
  <c r="T102" i="58" s="1"/>
  <c r="R103" i="58"/>
  <c r="T103" i="58" s="1"/>
  <c r="R6" i="58"/>
  <c r="R18" i="58" l="1"/>
  <c r="T123" i="58"/>
  <c r="R135" i="58"/>
  <c r="T97" i="58"/>
  <c r="R109" i="58"/>
  <c r="L5" i="58" s="1"/>
  <c r="T110" i="58"/>
  <c r="R122" i="58"/>
  <c r="R96" i="58"/>
  <c r="K5" i="58" s="1"/>
  <c r="K18" i="58" s="1"/>
  <c r="R31" i="58"/>
  <c r="F5" i="58" s="1"/>
  <c r="F18" i="58" s="1"/>
  <c r="R57" i="58"/>
  <c r="H5" i="58" s="1"/>
  <c r="H18" i="58" s="1"/>
  <c r="R70" i="58"/>
  <c r="I5" i="58" s="1"/>
  <c r="I18" i="58" s="1"/>
  <c r="R44" i="58"/>
  <c r="G5" i="58" s="1"/>
  <c r="G18" i="58" s="1"/>
  <c r="R83" i="58"/>
  <c r="J5" i="58" s="1"/>
  <c r="J18" i="58" s="1"/>
  <c r="E5" i="58" l="1"/>
  <c r="E18" i="58" s="1"/>
  <c r="T122" i="58"/>
  <c r="M5" i="58"/>
  <c r="M18" i="58" s="1"/>
  <c r="T109" i="58"/>
  <c r="L18" i="58"/>
  <c r="T135" i="58"/>
  <c r="N5" i="58"/>
  <c r="N18" i="58" s="1"/>
  <c r="B31" i="42" l="1"/>
  <c r="F19" i="46"/>
  <c r="C22" i="58" l="1"/>
  <c r="F21" i="46"/>
  <c r="F16" i="46"/>
  <c r="F18" i="57" l="1"/>
  <c r="F19" i="57"/>
  <c r="F21" i="57"/>
  <c r="F22" i="57"/>
  <c r="F23" i="57"/>
  <c r="F26" i="57"/>
  <c r="F27" i="57"/>
  <c r="F29" i="57"/>
  <c r="F30" i="57"/>
  <c r="F31" i="57"/>
  <c r="F35" i="57"/>
  <c r="F37" i="57"/>
  <c r="F38" i="57"/>
  <c r="F39" i="57"/>
  <c r="F43" i="57"/>
  <c r="F46" i="57"/>
  <c r="F47" i="57"/>
  <c r="F50" i="57"/>
  <c r="F51" i="57"/>
  <c r="F53" i="57"/>
  <c r="F54" i="57"/>
  <c r="F55" i="57"/>
  <c r="F58" i="57"/>
  <c r="F59" i="57"/>
  <c r="F60" i="57"/>
  <c r="F61" i="57"/>
  <c r="F62" i="57"/>
  <c r="F63" i="57"/>
  <c r="F66" i="57"/>
  <c r="F67" i="57"/>
  <c r="F68" i="57"/>
  <c r="F69" i="57"/>
  <c r="F70" i="57"/>
  <c r="F71" i="57"/>
  <c r="F74" i="57"/>
  <c r="F75" i="57"/>
  <c r="F76" i="57"/>
  <c r="F77" i="57"/>
  <c r="F78" i="57"/>
  <c r="F79" i="57"/>
  <c r="F82" i="57"/>
  <c r="F83" i="57"/>
  <c r="F84" i="57"/>
  <c r="F85" i="57"/>
  <c r="F86" i="57"/>
  <c r="F87" i="57"/>
  <c r="F90" i="57"/>
  <c r="F91" i="57"/>
  <c r="F92" i="57"/>
  <c r="F93" i="57"/>
  <c r="F94" i="57"/>
  <c r="F95" i="57"/>
  <c r="E99" i="57"/>
  <c r="F99" i="57" s="1"/>
  <c r="E100" i="57"/>
  <c r="F100" i="57" s="1"/>
  <c r="E102" i="57"/>
  <c r="F102" i="57" s="1"/>
  <c r="E107" i="57"/>
  <c r="F107" i="57" s="1"/>
  <c r="E108" i="57"/>
  <c r="F108" i="57" s="1"/>
  <c r="E110" i="57"/>
  <c r="F110" i="57" s="1"/>
  <c r="E113" i="57"/>
  <c r="F113" i="57" s="1"/>
  <c r="E114" i="57"/>
  <c r="F114" i="57" s="1"/>
  <c r="E115" i="57"/>
  <c r="F115" i="57" s="1"/>
  <c r="E118" i="57"/>
  <c r="F118" i="57" s="1"/>
  <c r="E120" i="57"/>
  <c r="E121" i="57"/>
  <c r="E122" i="57"/>
  <c r="F122" i="57" s="1"/>
  <c r="E123" i="57"/>
  <c r="F123" i="57" s="1"/>
  <c r="E128" i="57"/>
  <c r="F128" i="57" s="1"/>
  <c r="E129" i="57"/>
  <c r="E97" i="57"/>
  <c r="F97" i="57" s="1"/>
  <c r="O8" i="55"/>
  <c r="E98" i="57" s="1"/>
  <c r="F98" i="57" s="1"/>
  <c r="O9" i="55"/>
  <c r="O10" i="55"/>
  <c r="O11" i="55"/>
  <c r="E101" i="57" s="1"/>
  <c r="F101" i="57" s="1"/>
  <c r="O12" i="55"/>
  <c r="O13" i="55"/>
  <c r="E103" i="57" s="1"/>
  <c r="F103" i="57" s="1"/>
  <c r="O14" i="55"/>
  <c r="E104" i="57" s="1"/>
  <c r="F104" i="57" s="1"/>
  <c r="O15" i="55"/>
  <c r="E105" i="57" s="1"/>
  <c r="F105" i="57" s="1"/>
  <c r="O27" i="55"/>
  <c r="E117" i="57" s="1"/>
  <c r="O7" i="55"/>
  <c r="N22" i="55"/>
  <c r="N23" i="55"/>
  <c r="O23" i="55" s="1"/>
  <c r="N24" i="55"/>
  <c r="N25" i="55"/>
  <c r="O25" i="55" s="1"/>
  <c r="N26" i="55"/>
  <c r="O26" i="55" s="1"/>
  <c r="E116" i="57" s="1"/>
  <c r="F116" i="57" s="1"/>
  <c r="N27" i="55"/>
  <c r="N28" i="55"/>
  <c r="O28" i="55" s="1"/>
  <c r="N29" i="55"/>
  <c r="O29" i="55" s="1"/>
  <c r="E119" i="57" s="1"/>
  <c r="F119" i="57" s="1"/>
  <c r="N30" i="55"/>
  <c r="O30" i="55" s="1"/>
  <c r="N31" i="55"/>
  <c r="O31" i="55" s="1"/>
  <c r="N32" i="55"/>
  <c r="O32" i="55" s="1"/>
  <c r="N33" i="55"/>
  <c r="O33" i="55" s="1"/>
  <c r="N34" i="55"/>
  <c r="O34" i="55" s="1"/>
  <c r="E124" i="57" s="1"/>
  <c r="F124" i="57" s="1"/>
  <c r="N35" i="55"/>
  <c r="O35" i="55" s="1"/>
  <c r="E125" i="57" s="1"/>
  <c r="F125" i="57" s="1"/>
  <c r="N36" i="55"/>
  <c r="O36" i="55" s="1"/>
  <c r="E126" i="57" s="1"/>
  <c r="F126" i="57" s="1"/>
  <c r="N37" i="55"/>
  <c r="O37" i="55" s="1"/>
  <c r="E127" i="57" s="1"/>
  <c r="F127" i="57" s="1"/>
  <c r="N38" i="55"/>
  <c r="O38" i="55" s="1"/>
  <c r="N39" i="55"/>
  <c r="O39" i="55" s="1"/>
  <c r="N21" i="55"/>
  <c r="O21" i="55"/>
  <c r="E111" i="57" s="1"/>
  <c r="F111" i="57" s="1"/>
  <c r="O16" i="55"/>
  <c r="E106" i="57" s="1"/>
  <c r="F106" i="57" s="1"/>
  <c r="O17" i="55"/>
  <c r="O18" i="55"/>
  <c r="O19" i="55"/>
  <c r="E109" i="57" s="1"/>
  <c r="F109" i="57" s="1"/>
  <c r="O20" i="55"/>
  <c r="O22" i="55"/>
  <c r="E112" i="57" s="1"/>
  <c r="F112" i="57" s="1"/>
  <c r="O24" i="55"/>
  <c r="L153" i="57"/>
  <c r="L152" i="57"/>
  <c r="L151" i="57"/>
  <c r="L150" i="57"/>
  <c r="L149" i="57"/>
  <c r="L148" i="57"/>
  <c r="L147" i="57"/>
  <c r="L146" i="57"/>
  <c r="L145" i="57"/>
  <c r="L144" i="57"/>
  <c r="L143" i="57"/>
  <c r="L142" i="57"/>
  <c r="L141" i="57"/>
  <c r="L140" i="57"/>
  <c r="L139" i="57"/>
  <c r="L138" i="57"/>
  <c r="L137" i="57"/>
  <c r="L136" i="57"/>
  <c r="L135" i="57"/>
  <c r="L134" i="57"/>
  <c r="L133" i="57"/>
  <c r="L132" i="57"/>
  <c r="L131" i="57"/>
  <c r="L130" i="57"/>
  <c r="L129" i="57"/>
  <c r="K129" i="57"/>
  <c r="J129" i="57"/>
  <c r="I129" i="57"/>
  <c r="H129" i="57"/>
  <c r="G129" i="57"/>
  <c r="L128" i="57"/>
  <c r="K128" i="57"/>
  <c r="J128" i="57"/>
  <c r="I128" i="57"/>
  <c r="H128" i="57"/>
  <c r="G128" i="57"/>
  <c r="L127" i="57"/>
  <c r="K127" i="57"/>
  <c r="J127" i="57"/>
  <c r="I127" i="57"/>
  <c r="H127" i="57"/>
  <c r="G127" i="57"/>
  <c r="L126" i="57"/>
  <c r="K126" i="57"/>
  <c r="J126" i="57"/>
  <c r="I126" i="57"/>
  <c r="H126" i="57"/>
  <c r="G126" i="57"/>
  <c r="L125" i="57"/>
  <c r="K125" i="57"/>
  <c r="J125" i="57"/>
  <c r="I125" i="57"/>
  <c r="H125" i="57"/>
  <c r="G125" i="57"/>
  <c r="L124" i="57"/>
  <c r="K124" i="57"/>
  <c r="J124" i="57"/>
  <c r="I124" i="57"/>
  <c r="H124" i="57"/>
  <c r="G124" i="57"/>
  <c r="L123" i="57"/>
  <c r="K123" i="57"/>
  <c r="J123" i="57"/>
  <c r="I123" i="57"/>
  <c r="H123" i="57"/>
  <c r="G123" i="57"/>
  <c r="L122" i="57"/>
  <c r="K122" i="57"/>
  <c r="J122" i="57"/>
  <c r="I122" i="57"/>
  <c r="H122" i="57"/>
  <c r="G122" i="57"/>
  <c r="L121" i="57"/>
  <c r="K121" i="57"/>
  <c r="J121" i="57"/>
  <c r="I121" i="57"/>
  <c r="H121" i="57"/>
  <c r="G121" i="57"/>
  <c r="L120" i="57"/>
  <c r="K120" i="57"/>
  <c r="J120" i="57"/>
  <c r="I120" i="57"/>
  <c r="H120" i="57"/>
  <c r="G120" i="57"/>
  <c r="L119" i="57"/>
  <c r="K119" i="57"/>
  <c r="J119" i="57"/>
  <c r="I119" i="57"/>
  <c r="H119" i="57"/>
  <c r="G119" i="57"/>
  <c r="L118" i="57"/>
  <c r="K118" i="57"/>
  <c r="J118" i="57"/>
  <c r="I118" i="57"/>
  <c r="H118" i="57"/>
  <c r="G118" i="57"/>
  <c r="L117" i="57"/>
  <c r="K117" i="57"/>
  <c r="J117" i="57"/>
  <c r="I117" i="57"/>
  <c r="H117" i="57"/>
  <c r="G117" i="57"/>
  <c r="L116" i="57"/>
  <c r="K116" i="57"/>
  <c r="J116" i="57"/>
  <c r="I116" i="57"/>
  <c r="H116" i="57"/>
  <c r="G116" i="57"/>
  <c r="L115" i="57"/>
  <c r="K115" i="57"/>
  <c r="J115" i="57"/>
  <c r="I115" i="57"/>
  <c r="H115" i="57"/>
  <c r="G115" i="57"/>
  <c r="L114" i="57"/>
  <c r="K114" i="57"/>
  <c r="J114" i="57"/>
  <c r="I114" i="57"/>
  <c r="H114" i="57"/>
  <c r="G114" i="57"/>
  <c r="L113" i="57"/>
  <c r="K113" i="57"/>
  <c r="J113" i="57"/>
  <c r="I113" i="57"/>
  <c r="H113" i="57"/>
  <c r="G113" i="57"/>
  <c r="L112" i="57"/>
  <c r="K112" i="57"/>
  <c r="J112" i="57"/>
  <c r="I112" i="57"/>
  <c r="H112" i="57"/>
  <c r="G112" i="57"/>
  <c r="L111" i="57"/>
  <c r="K111" i="57"/>
  <c r="J111" i="57"/>
  <c r="I111" i="57"/>
  <c r="H111" i="57"/>
  <c r="G111" i="57"/>
  <c r="L110" i="57"/>
  <c r="K110" i="57"/>
  <c r="J110" i="57"/>
  <c r="I110" i="57"/>
  <c r="H110" i="57"/>
  <c r="G110" i="57"/>
  <c r="L109" i="57"/>
  <c r="K109" i="57"/>
  <c r="J109" i="57"/>
  <c r="I109" i="57"/>
  <c r="H109" i="57"/>
  <c r="G109" i="57"/>
  <c r="L108" i="57"/>
  <c r="K108" i="57"/>
  <c r="J108" i="57"/>
  <c r="I108" i="57"/>
  <c r="H108" i="57"/>
  <c r="G108" i="57"/>
  <c r="L107" i="57"/>
  <c r="K107" i="57"/>
  <c r="J107" i="57"/>
  <c r="I107" i="57"/>
  <c r="H107" i="57"/>
  <c r="G107" i="57"/>
  <c r="L106" i="57"/>
  <c r="K106" i="57"/>
  <c r="J106" i="57"/>
  <c r="I106" i="57"/>
  <c r="H106" i="57"/>
  <c r="G106" i="57"/>
  <c r="L105" i="57"/>
  <c r="K105" i="57"/>
  <c r="J105" i="57"/>
  <c r="I105" i="57"/>
  <c r="H105" i="57"/>
  <c r="G105" i="57"/>
  <c r="L104" i="57"/>
  <c r="K104" i="57"/>
  <c r="J104" i="57"/>
  <c r="I104" i="57"/>
  <c r="H104" i="57"/>
  <c r="G104" i="57"/>
  <c r="L103" i="57"/>
  <c r="K103" i="57"/>
  <c r="J103" i="57"/>
  <c r="I103" i="57"/>
  <c r="H103" i="57"/>
  <c r="G103" i="57"/>
  <c r="L102" i="57"/>
  <c r="K102" i="57"/>
  <c r="J102" i="57"/>
  <c r="I102" i="57"/>
  <c r="H102" i="57"/>
  <c r="G102" i="57"/>
  <c r="L101" i="57"/>
  <c r="K101" i="57"/>
  <c r="J101" i="57"/>
  <c r="I101" i="57"/>
  <c r="H101" i="57"/>
  <c r="G101" i="57"/>
  <c r="L100" i="57"/>
  <c r="K100" i="57"/>
  <c r="J100" i="57"/>
  <c r="I100" i="57"/>
  <c r="H100" i="57"/>
  <c r="G100" i="57"/>
  <c r="L99" i="57"/>
  <c r="K99" i="57"/>
  <c r="J99" i="57"/>
  <c r="I99" i="57"/>
  <c r="H99" i="57"/>
  <c r="G99" i="57"/>
  <c r="L98" i="57"/>
  <c r="K98" i="57"/>
  <c r="J98" i="57"/>
  <c r="I98" i="57"/>
  <c r="H98" i="57"/>
  <c r="G98" i="57"/>
  <c r="L97" i="57"/>
  <c r="K97" i="57"/>
  <c r="J97" i="57"/>
  <c r="I97" i="57"/>
  <c r="H97" i="57"/>
  <c r="G97" i="57"/>
  <c r="L96" i="57"/>
  <c r="K96" i="57"/>
  <c r="J96" i="57"/>
  <c r="I96" i="57"/>
  <c r="H96" i="57"/>
  <c r="G96" i="57"/>
  <c r="F96" i="57"/>
  <c r="L95" i="57"/>
  <c r="K95" i="57"/>
  <c r="J95" i="57"/>
  <c r="I95" i="57"/>
  <c r="H95" i="57"/>
  <c r="G95" i="57"/>
  <c r="L94" i="57"/>
  <c r="K94" i="57"/>
  <c r="J94" i="57"/>
  <c r="I94" i="57"/>
  <c r="H94" i="57"/>
  <c r="G94" i="57"/>
  <c r="L93" i="57"/>
  <c r="K93" i="57"/>
  <c r="J93" i="57"/>
  <c r="I93" i="57"/>
  <c r="H93" i="57"/>
  <c r="G93" i="57"/>
  <c r="L92" i="57"/>
  <c r="K92" i="57"/>
  <c r="J92" i="57"/>
  <c r="I92" i="57"/>
  <c r="H92" i="57"/>
  <c r="G92" i="57"/>
  <c r="L91" i="57"/>
  <c r="K91" i="57"/>
  <c r="J91" i="57"/>
  <c r="I91" i="57"/>
  <c r="H91" i="57"/>
  <c r="G91" i="57"/>
  <c r="L90" i="57"/>
  <c r="K90" i="57"/>
  <c r="J90" i="57"/>
  <c r="I90" i="57"/>
  <c r="H90" i="57"/>
  <c r="G90" i="57"/>
  <c r="L89" i="57"/>
  <c r="K89" i="57"/>
  <c r="J89" i="57"/>
  <c r="I89" i="57"/>
  <c r="H89" i="57"/>
  <c r="G89" i="57"/>
  <c r="F89" i="57"/>
  <c r="L88" i="57"/>
  <c r="K88" i="57"/>
  <c r="J88" i="57"/>
  <c r="I88" i="57"/>
  <c r="H88" i="57"/>
  <c r="G88" i="57"/>
  <c r="F88" i="57"/>
  <c r="L87" i="57"/>
  <c r="K87" i="57"/>
  <c r="J87" i="57"/>
  <c r="I87" i="57"/>
  <c r="H87" i="57"/>
  <c r="G87" i="57"/>
  <c r="L86" i="57"/>
  <c r="K86" i="57"/>
  <c r="J86" i="57"/>
  <c r="I86" i="57"/>
  <c r="H86" i="57"/>
  <c r="G86" i="57"/>
  <c r="L85" i="57"/>
  <c r="K85" i="57"/>
  <c r="J85" i="57"/>
  <c r="I85" i="57"/>
  <c r="H85" i="57"/>
  <c r="G85" i="57"/>
  <c r="L84" i="57"/>
  <c r="K84" i="57"/>
  <c r="J84" i="57"/>
  <c r="I84" i="57"/>
  <c r="H84" i="57"/>
  <c r="G84" i="57"/>
  <c r="L83" i="57"/>
  <c r="K83" i="57"/>
  <c r="J83" i="57"/>
  <c r="I83" i="57"/>
  <c r="H83" i="57"/>
  <c r="G83" i="57"/>
  <c r="L82" i="57"/>
  <c r="K82" i="57"/>
  <c r="J82" i="57"/>
  <c r="I82" i="57"/>
  <c r="H82" i="57"/>
  <c r="G82" i="57"/>
  <c r="L81" i="57"/>
  <c r="K81" i="57"/>
  <c r="J81" i="57"/>
  <c r="I81" i="57"/>
  <c r="H81" i="57"/>
  <c r="G81" i="57"/>
  <c r="F81" i="57"/>
  <c r="L80" i="57"/>
  <c r="K80" i="57"/>
  <c r="J80" i="57"/>
  <c r="I80" i="57"/>
  <c r="H80" i="57"/>
  <c r="G80" i="57"/>
  <c r="F80" i="57"/>
  <c r="L79" i="57"/>
  <c r="K79" i="57"/>
  <c r="J79" i="57"/>
  <c r="I79" i="57"/>
  <c r="H79" i="57"/>
  <c r="G79" i="57"/>
  <c r="L78" i="57"/>
  <c r="K78" i="57"/>
  <c r="J78" i="57"/>
  <c r="I78" i="57"/>
  <c r="H78" i="57"/>
  <c r="G78" i="57"/>
  <c r="L77" i="57"/>
  <c r="K77" i="57"/>
  <c r="J77" i="57"/>
  <c r="I77" i="57"/>
  <c r="H77" i="57"/>
  <c r="G77" i="57"/>
  <c r="L76" i="57"/>
  <c r="K76" i="57"/>
  <c r="J76" i="57"/>
  <c r="I76" i="57"/>
  <c r="H76" i="57"/>
  <c r="G76" i="57"/>
  <c r="L75" i="57"/>
  <c r="K75" i="57"/>
  <c r="J75" i="57"/>
  <c r="I75" i="57"/>
  <c r="H75" i="57"/>
  <c r="G75" i="57"/>
  <c r="L74" i="57"/>
  <c r="K74" i="57"/>
  <c r="J74" i="57"/>
  <c r="I74" i="57"/>
  <c r="H74" i="57"/>
  <c r="G74" i="57"/>
  <c r="L73" i="57"/>
  <c r="K73" i="57"/>
  <c r="J73" i="57"/>
  <c r="I73" i="57"/>
  <c r="H73" i="57"/>
  <c r="G73" i="57"/>
  <c r="F73" i="57"/>
  <c r="L72" i="57"/>
  <c r="K72" i="57"/>
  <c r="J72" i="57"/>
  <c r="I72" i="57"/>
  <c r="H72" i="57"/>
  <c r="G72" i="57"/>
  <c r="F72" i="57"/>
  <c r="L71" i="57"/>
  <c r="K71" i="57"/>
  <c r="J71" i="57"/>
  <c r="I71" i="57"/>
  <c r="H71" i="57"/>
  <c r="G71" i="57"/>
  <c r="L70" i="57"/>
  <c r="K70" i="57"/>
  <c r="J70" i="57"/>
  <c r="I70" i="57"/>
  <c r="H70" i="57"/>
  <c r="G70" i="57"/>
  <c r="L69" i="57"/>
  <c r="K69" i="57"/>
  <c r="J69" i="57"/>
  <c r="I69" i="57"/>
  <c r="H69" i="57"/>
  <c r="G69" i="57"/>
  <c r="L68" i="57"/>
  <c r="K68" i="57"/>
  <c r="J68" i="57"/>
  <c r="I68" i="57"/>
  <c r="H68" i="57"/>
  <c r="G68" i="57"/>
  <c r="L67" i="57"/>
  <c r="K67" i="57"/>
  <c r="J67" i="57"/>
  <c r="I67" i="57"/>
  <c r="H67" i="57"/>
  <c r="G67" i="57"/>
  <c r="L66" i="57"/>
  <c r="K66" i="57"/>
  <c r="J66" i="57"/>
  <c r="I66" i="57"/>
  <c r="H66" i="57"/>
  <c r="G66" i="57"/>
  <c r="L65" i="57"/>
  <c r="K65" i="57"/>
  <c r="J65" i="57"/>
  <c r="I65" i="57"/>
  <c r="H65" i="57"/>
  <c r="G65" i="57"/>
  <c r="F65" i="57"/>
  <c r="L64" i="57"/>
  <c r="K64" i="57"/>
  <c r="J64" i="57"/>
  <c r="I64" i="57"/>
  <c r="H64" i="57"/>
  <c r="G64" i="57"/>
  <c r="F64" i="57"/>
  <c r="L63" i="57"/>
  <c r="K63" i="57"/>
  <c r="J63" i="57"/>
  <c r="I63" i="57"/>
  <c r="H63" i="57"/>
  <c r="G63" i="57"/>
  <c r="L62" i="57"/>
  <c r="K62" i="57"/>
  <c r="J62" i="57"/>
  <c r="I62" i="57"/>
  <c r="H62" i="57"/>
  <c r="G62" i="57"/>
  <c r="L61" i="57"/>
  <c r="K61" i="57"/>
  <c r="J61" i="57"/>
  <c r="I61" i="57"/>
  <c r="H61" i="57"/>
  <c r="G61" i="57"/>
  <c r="L60" i="57"/>
  <c r="K60" i="57"/>
  <c r="J60" i="57"/>
  <c r="I60" i="57"/>
  <c r="H60" i="57"/>
  <c r="G60" i="57"/>
  <c r="L59" i="57"/>
  <c r="K59" i="57"/>
  <c r="J59" i="57"/>
  <c r="I59" i="57"/>
  <c r="H59" i="57"/>
  <c r="G59" i="57"/>
  <c r="L58" i="57"/>
  <c r="K58" i="57"/>
  <c r="J58" i="57"/>
  <c r="I58" i="57"/>
  <c r="H58" i="57"/>
  <c r="G58" i="57"/>
  <c r="L57" i="57"/>
  <c r="K57" i="57"/>
  <c r="J57" i="57"/>
  <c r="I57" i="57"/>
  <c r="H57" i="57"/>
  <c r="G57" i="57"/>
  <c r="F57" i="57"/>
  <c r="L56" i="57"/>
  <c r="K56" i="57"/>
  <c r="J56" i="57"/>
  <c r="I56" i="57"/>
  <c r="H56" i="57"/>
  <c r="G56" i="57"/>
  <c r="F56" i="57"/>
  <c r="L55" i="57"/>
  <c r="K55" i="57"/>
  <c r="J55" i="57"/>
  <c r="I55" i="57"/>
  <c r="H55" i="57"/>
  <c r="G55" i="57"/>
  <c r="L54" i="57"/>
  <c r="K54" i="57"/>
  <c r="J54" i="57"/>
  <c r="I54" i="57"/>
  <c r="H54" i="57"/>
  <c r="G54" i="57"/>
  <c r="L53" i="57"/>
  <c r="K53" i="57"/>
  <c r="J53" i="57"/>
  <c r="I53" i="57"/>
  <c r="H53" i="57"/>
  <c r="G53" i="57"/>
  <c r="L52" i="57"/>
  <c r="K52" i="57"/>
  <c r="J52" i="57"/>
  <c r="I52" i="57"/>
  <c r="H52" i="57"/>
  <c r="G52" i="57"/>
  <c r="F52" i="57"/>
  <c r="L51" i="57"/>
  <c r="K51" i="57"/>
  <c r="J51" i="57"/>
  <c r="I51" i="57"/>
  <c r="H51" i="57"/>
  <c r="G51" i="57"/>
  <c r="L50" i="57"/>
  <c r="K50" i="57"/>
  <c r="J50" i="57"/>
  <c r="I50" i="57"/>
  <c r="H50" i="57"/>
  <c r="G50" i="57"/>
  <c r="L49" i="57"/>
  <c r="K49" i="57"/>
  <c r="J49" i="57"/>
  <c r="I49" i="57"/>
  <c r="H49" i="57"/>
  <c r="G49" i="57"/>
  <c r="F49" i="57"/>
  <c r="L48" i="57"/>
  <c r="K48" i="57"/>
  <c r="J48" i="57"/>
  <c r="I48" i="57"/>
  <c r="H48" i="57"/>
  <c r="G48" i="57"/>
  <c r="F48" i="57"/>
  <c r="L47" i="57"/>
  <c r="K47" i="57"/>
  <c r="J47" i="57"/>
  <c r="I47" i="57"/>
  <c r="H47" i="57"/>
  <c r="G47" i="57"/>
  <c r="L46" i="57"/>
  <c r="K46" i="57"/>
  <c r="J46" i="57"/>
  <c r="I46" i="57"/>
  <c r="H46" i="57"/>
  <c r="G46" i="57"/>
  <c r="L45" i="57"/>
  <c r="K45" i="57"/>
  <c r="J45" i="57"/>
  <c r="I45" i="57"/>
  <c r="H45" i="57"/>
  <c r="G45" i="57"/>
  <c r="F45" i="57"/>
  <c r="L44" i="57"/>
  <c r="K44" i="57"/>
  <c r="J44" i="57"/>
  <c r="I44" i="57"/>
  <c r="H44" i="57"/>
  <c r="G44" i="57"/>
  <c r="F44" i="57"/>
  <c r="L43" i="57"/>
  <c r="K43" i="57"/>
  <c r="J43" i="57"/>
  <c r="I43" i="57"/>
  <c r="H43" i="57"/>
  <c r="G43" i="57"/>
  <c r="L42" i="57"/>
  <c r="K42" i="57"/>
  <c r="J42" i="57"/>
  <c r="I42" i="57"/>
  <c r="H42" i="57"/>
  <c r="G42" i="57"/>
  <c r="F42" i="57"/>
  <c r="L41" i="57"/>
  <c r="K41" i="57"/>
  <c r="J41" i="57"/>
  <c r="I41" i="57"/>
  <c r="H41" i="57"/>
  <c r="G41" i="57"/>
  <c r="F41" i="57"/>
  <c r="L40" i="57"/>
  <c r="K40" i="57"/>
  <c r="J40" i="57"/>
  <c r="I40" i="57"/>
  <c r="H40" i="57"/>
  <c r="G40" i="57"/>
  <c r="F40" i="57"/>
  <c r="L39" i="57"/>
  <c r="K39" i="57"/>
  <c r="J39" i="57"/>
  <c r="I39" i="57"/>
  <c r="H39" i="57"/>
  <c r="G39" i="57"/>
  <c r="L38" i="57"/>
  <c r="K38" i="57"/>
  <c r="J38" i="57"/>
  <c r="I38" i="57"/>
  <c r="H38" i="57"/>
  <c r="G38" i="57"/>
  <c r="L37" i="57"/>
  <c r="K37" i="57"/>
  <c r="J37" i="57"/>
  <c r="I37" i="57"/>
  <c r="H37" i="57"/>
  <c r="G37" i="57"/>
  <c r="L36" i="57"/>
  <c r="K36" i="57"/>
  <c r="J36" i="57"/>
  <c r="I36" i="57"/>
  <c r="H36" i="57"/>
  <c r="G36" i="57"/>
  <c r="F36" i="57"/>
  <c r="L35" i="57"/>
  <c r="K35" i="57"/>
  <c r="J35" i="57"/>
  <c r="I35" i="57"/>
  <c r="H35" i="57"/>
  <c r="G35" i="57"/>
  <c r="L34" i="57"/>
  <c r="K34" i="57"/>
  <c r="J34" i="57"/>
  <c r="I34" i="57"/>
  <c r="H34" i="57"/>
  <c r="G34" i="57"/>
  <c r="F34" i="57"/>
  <c r="L33" i="57"/>
  <c r="K33" i="57"/>
  <c r="J33" i="57"/>
  <c r="I33" i="57"/>
  <c r="H33" i="57"/>
  <c r="G33" i="57"/>
  <c r="F33" i="57"/>
  <c r="L32" i="57"/>
  <c r="K32" i="57"/>
  <c r="J32" i="57"/>
  <c r="I32" i="57"/>
  <c r="H32" i="57"/>
  <c r="G32" i="57"/>
  <c r="F32" i="57"/>
  <c r="L31" i="57"/>
  <c r="K31" i="57"/>
  <c r="J31" i="57"/>
  <c r="I31" i="57"/>
  <c r="H31" i="57"/>
  <c r="G31" i="57"/>
  <c r="L30" i="57"/>
  <c r="K30" i="57"/>
  <c r="J30" i="57"/>
  <c r="I30" i="57"/>
  <c r="H30" i="57"/>
  <c r="G30" i="57"/>
  <c r="L29" i="57"/>
  <c r="K29" i="57"/>
  <c r="J29" i="57"/>
  <c r="I29" i="57"/>
  <c r="H29" i="57"/>
  <c r="G29" i="57"/>
  <c r="L28" i="57"/>
  <c r="K28" i="57"/>
  <c r="J28" i="57"/>
  <c r="I28" i="57"/>
  <c r="H28" i="57"/>
  <c r="G28" i="57"/>
  <c r="F28" i="57"/>
  <c r="L27" i="57"/>
  <c r="K27" i="57"/>
  <c r="J27" i="57"/>
  <c r="I27" i="57"/>
  <c r="H27" i="57"/>
  <c r="G27" i="57"/>
  <c r="L26" i="57"/>
  <c r="K26" i="57"/>
  <c r="J26" i="57"/>
  <c r="I26" i="57"/>
  <c r="H26" i="57"/>
  <c r="G26" i="57"/>
  <c r="L25" i="57"/>
  <c r="K25" i="57"/>
  <c r="J25" i="57"/>
  <c r="I25" i="57"/>
  <c r="H25" i="57"/>
  <c r="G25" i="57"/>
  <c r="F25" i="57"/>
  <c r="L24" i="57"/>
  <c r="K24" i="57"/>
  <c r="J24" i="57"/>
  <c r="I24" i="57"/>
  <c r="H24" i="57"/>
  <c r="G24" i="57"/>
  <c r="F24" i="57"/>
  <c r="L23" i="57"/>
  <c r="K23" i="57"/>
  <c r="J23" i="57"/>
  <c r="I23" i="57"/>
  <c r="H23" i="57"/>
  <c r="G23" i="57"/>
  <c r="L22" i="57"/>
  <c r="K22" i="57"/>
  <c r="J22" i="57"/>
  <c r="I22" i="57"/>
  <c r="H22" i="57"/>
  <c r="G22" i="57"/>
  <c r="L21" i="57"/>
  <c r="K21" i="57"/>
  <c r="J21" i="57"/>
  <c r="I21" i="57"/>
  <c r="H21" i="57"/>
  <c r="G21" i="57"/>
  <c r="L20" i="57"/>
  <c r="K20" i="57"/>
  <c r="J20" i="57"/>
  <c r="I20" i="57"/>
  <c r="H20" i="57"/>
  <c r="G20" i="57"/>
  <c r="F20" i="57"/>
  <c r="L19" i="57"/>
  <c r="K19" i="57"/>
  <c r="J19" i="57"/>
  <c r="I19" i="57"/>
  <c r="H19" i="57"/>
  <c r="G19" i="57"/>
  <c r="L18" i="57"/>
  <c r="K18" i="57"/>
  <c r="J18" i="57"/>
  <c r="I18" i="57"/>
  <c r="H18" i="57"/>
  <c r="G18" i="57"/>
  <c r="L17" i="57"/>
  <c r="K17" i="57"/>
  <c r="J17" i="57"/>
  <c r="I17" i="57"/>
  <c r="H17" i="57"/>
  <c r="G17" i="57"/>
  <c r="F17" i="57"/>
  <c r="L16" i="57"/>
  <c r="K16" i="57"/>
  <c r="J16" i="57"/>
  <c r="I16" i="57"/>
  <c r="H16" i="57"/>
  <c r="G16" i="57"/>
  <c r="F16" i="57"/>
  <c r="L15" i="57"/>
  <c r="K15" i="57"/>
  <c r="J15" i="57"/>
  <c r="I15" i="57"/>
  <c r="H15" i="57"/>
  <c r="G15" i="57"/>
  <c r="F15" i="57"/>
  <c r="L14" i="57"/>
  <c r="K14" i="57"/>
  <c r="J14" i="57"/>
  <c r="I14" i="57"/>
  <c r="H14" i="57"/>
  <c r="G14" i="57"/>
  <c r="F14" i="57"/>
  <c r="L13" i="57"/>
  <c r="K13" i="57"/>
  <c r="J13" i="57"/>
  <c r="I13" i="57"/>
  <c r="H13" i="57"/>
  <c r="G13" i="57"/>
  <c r="F13" i="57"/>
  <c r="L12" i="57"/>
  <c r="K12" i="57"/>
  <c r="J12" i="57"/>
  <c r="I12" i="57"/>
  <c r="H12" i="57"/>
  <c r="G12" i="57"/>
  <c r="F12" i="57"/>
  <c r="L11" i="57"/>
  <c r="K11" i="57"/>
  <c r="J11" i="57"/>
  <c r="I11" i="57"/>
  <c r="H11" i="57"/>
  <c r="G11" i="57"/>
  <c r="F11" i="57"/>
  <c r="A11" i="57"/>
  <c r="L10" i="57"/>
  <c r="K10" i="57"/>
  <c r="J10" i="57"/>
  <c r="I10" i="57"/>
  <c r="H10" i="57"/>
  <c r="G10" i="57"/>
  <c r="F10" i="57"/>
  <c r="AI15" i="29"/>
  <c r="AA15" i="29"/>
  <c r="S15" i="29"/>
  <c r="K15" i="29"/>
  <c r="C15" i="29"/>
  <c r="R43" i="57" l="1"/>
  <c r="R55" i="57"/>
  <c r="S43" i="57"/>
  <c r="N45" i="57"/>
  <c r="J130" i="57"/>
  <c r="I132" i="57"/>
  <c r="E153" i="57"/>
  <c r="N39" i="57"/>
  <c r="N35" i="57"/>
  <c r="F117" i="57"/>
  <c r="R44" i="57" s="1"/>
  <c r="F129" i="57"/>
  <c r="F121" i="57"/>
  <c r="F120" i="57"/>
  <c r="R45" i="57" s="1"/>
  <c r="R57" i="57" s="1"/>
  <c r="N48" i="57"/>
  <c r="N28" i="57"/>
  <c r="N97" i="57"/>
  <c r="N113" i="57"/>
  <c r="N122" i="57"/>
  <c r="I152" i="57"/>
  <c r="N78" i="57"/>
  <c r="N83" i="57"/>
  <c r="N88" i="57"/>
  <c r="N89" i="57"/>
  <c r="N104" i="57"/>
  <c r="N117" i="57"/>
  <c r="G147" i="57"/>
  <c r="N26" i="57"/>
  <c r="N126" i="57"/>
  <c r="H134" i="57"/>
  <c r="H138" i="57"/>
  <c r="G133" i="57"/>
  <c r="J149" i="57"/>
  <c r="N51" i="57"/>
  <c r="N77" i="57"/>
  <c r="N107" i="57"/>
  <c r="N50" i="57"/>
  <c r="N30" i="57"/>
  <c r="I137" i="57"/>
  <c r="I141" i="57"/>
  <c r="I131" i="57"/>
  <c r="J138" i="57"/>
  <c r="I139" i="57"/>
  <c r="H147" i="57"/>
  <c r="N56" i="57"/>
  <c r="N61" i="57"/>
  <c r="N82" i="57"/>
  <c r="N91" i="57"/>
  <c r="N93" i="57"/>
  <c r="N118" i="57"/>
  <c r="N123" i="57"/>
  <c r="J144" i="57"/>
  <c r="J137" i="57"/>
  <c r="N22" i="57"/>
  <c r="I146" i="57"/>
  <c r="N36" i="57"/>
  <c r="I135" i="57"/>
  <c r="N53" i="57"/>
  <c r="N66" i="57"/>
  <c r="N71" i="57"/>
  <c r="N87" i="57"/>
  <c r="N95" i="57"/>
  <c r="N96" i="57"/>
  <c r="N98" i="57"/>
  <c r="N102" i="57"/>
  <c r="N128" i="57"/>
  <c r="I134" i="57"/>
  <c r="N47" i="57"/>
  <c r="N63" i="57"/>
  <c r="N69" i="57"/>
  <c r="I144" i="57"/>
  <c r="N92" i="57"/>
  <c r="N109" i="57"/>
  <c r="N40" i="57"/>
  <c r="G137" i="57"/>
  <c r="N79" i="57"/>
  <c r="N84" i="57"/>
  <c r="N94" i="57"/>
  <c r="N120" i="57"/>
  <c r="N31" i="57"/>
  <c r="J136" i="57"/>
  <c r="N27" i="57"/>
  <c r="N29" i="57"/>
  <c r="G140" i="57"/>
  <c r="N42" i="57"/>
  <c r="N57" i="57"/>
  <c r="N100" i="57"/>
  <c r="N105" i="57"/>
  <c r="I138" i="57"/>
  <c r="N125" i="57"/>
  <c r="N127" i="57"/>
  <c r="J142" i="57"/>
  <c r="N74" i="57"/>
  <c r="N106" i="57"/>
  <c r="J134" i="57"/>
  <c r="N111" i="57"/>
  <c r="H130" i="57"/>
  <c r="G135" i="57"/>
  <c r="H143" i="57"/>
  <c r="N54" i="57"/>
  <c r="N55" i="57"/>
  <c r="N62" i="57"/>
  <c r="N67" i="57"/>
  <c r="N72" i="57"/>
  <c r="N76" i="57"/>
  <c r="N110" i="57"/>
  <c r="N129" i="57"/>
  <c r="G134" i="57"/>
  <c r="G146" i="57"/>
  <c r="H144" i="57"/>
  <c r="H132" i="57"/>
  <c r="H133" i="57"/>
  <c r="H145" i="57"/>
  <c r="N70" i="57"/>
  <c r="H152" i="57"/>
  <c r="H140" i="57"/>
  <c r="N21" i="57"/>
  <c r="H141" i="57"/>
  <c r="H153" i="57"/>
  <c r="J139" i="57"/>
  <c r="N19" i="57"/>
  <c r="J151" i="57"/>
  <c r="J131" i="57"/>
  <c r="J143" i="57"/>
  <c r="I130" i="57"/>
  <c r="N65" i="57"/>
  <c r="N115" i="57"/>
  <c r="G139" i="57"/>
  <c r="I145" i="57"/>
  <c r="N25" i="57"/>
  <c r="N33" i="57"/>
  <c r="G141" i="57"/>
  <c r="H151" i="57"/>
  <c r="H139" i="57"/>
  <c r="N43" i="57"/>
  <c r="J141" i="57"/>
  <c r="J153" i="57"/>
  <c r="G136" i="57"/>
  <c r="G130" i="57"/>
  <c r="G142" i="57"/>
  <c r="A12" i="57"/>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1" i="57" s="1"/>
  <c r="A52" i="57" s="1"/>
  <c r="A53" i="57" s="1"/>
  <c r="A54" i="57" s="1"/>
  <c r="A55" i="57" s="1"/>
  <c r="A56" i="57" s="1"/>
  <c r="A57" i="57" s="1"/>
  <c r="A58" i="57" s="1"/>
  <c r="A59" i="57" s="1"/>
  <c r="A60" i="57" s="1"/>
  <c r="A61" i="57" s="1"/>
  <c r="A62" i="57" s="1"/>
  <c r="A63" i="57" s="1"/>
  <c r="A64" i="57" s="1"/>
  <c r="A65" i="57" s="1"/>
  <c r="A66" i="57" s="1"/>
  <c r="A67" i="57" s="1"/>
  <c r="A68" i="57" s="1"/>
  <c r="A69" i="57" s="1"/>
  <c r="A70" i="57" s="1"/>
  <c r="A71" i="57" s="1"/>
  <c r="A72" i="57" s="1"/>
  <c r="A73" i="57" s="1"/>
  <c r="A74" i="57" s="1"/>
  <c r="A75" i="57" s="1"/>
  <c r="A76" i="57" s="1"/>
  <c r="A77" i="57" s="1"/>
  <c r="A78" i="57" s="1"/>
  <c r="A79" i="57" s="1"/>
  <c r="A80" i="57" s="1"/>
  <c r="A81" i="57" s="1"/>
  <c r="A82" i="57" s="1"/>
  <c r="A83" i="57" s="1"/>
  <c r="A84" i="57" s="1"/>
  <c r="A85" i="57" s="1"/>
  <c r="A86" i="57" s="1"/>
  <c r="A87" i="57" s="1"/>
  <c r="A88" i="57" s="1"/>
  <c r="A89" i="57" s="1"/>
  <c r="A90" i="57" s="1"/>
  <c r="A91" i="57" s="1"/>
  <c r="A92" i="57" s="1"/>
  <c r="A93" i="57" s="1"/>
  <c r="A94" i="57" s="1"/>
  <c r="A95" i="57" s="1"/>
  <c r="A96" i="57" s="1"/>
  <c r="A97" i="57" s="1"/>
  <c r="A98" i="57" s="1"/>
  <c r="A99" i="57" s="1"/>
  <c r="A100" i="57" s="1"/>
  <c r="A101" i="57" s="1"/>
  <c r="A102" i="57" s="1"/>
  <c r="A103" i="57" s="1"/>
  <c r="A104" i="57" s="1"/>
  <c r="A105" i="57" s="1"/>
  <c r="A106" i="57" s="1"/>
  <c r="A107" i="57" s="1"/>
  <c r="A108" i="57" s="1"/>
  <c r="A109" i="57" s="1"/>
  <c r="A110" i="57" s="1"/>
  <c r="A111" i="57" s="1"/>
  <c r="A112" i="57" s="1"/>
  <c r="A113" i="57" s="1"/>
  <c r="A114" i="57" s="1"/>
  <c r="A115" i="57" s="1"/>
  <c r="A116" i="57" s="1"/>
  <c r="A117" i="57" s="1"/>
  <c r="A118" i="57" s="1"/>
  <c r="A119" i="57" s="1"/>
  <c r="A120" i="57" s="1"/>
  <c r="A121" i="57" s="1"/>
  <c r="A122" i="57" s="1"/>
  <c r="A123" i="57" s="1"/>
  <c r="A124" i="57" s="1"/>
  <c r="A125" i="57" s="1"/>
  <c r="A126" i="57" s="1"/>
  <c r="A127" i="57" s="1"/>
  <c r="A128" i="57" s="1"/>
  <c r="A129" i="57" s="1"/>
  <c r="A130" i="57" s="1"/>
  <c r="A131" i="57" s="1"/>
  <c r="A132" i="57" s="1"/>
  <c r="A133" i="57" s="1"/>
  <c r="A134" i="57" s="1"/>
  <c r="A135" i="57" s="1"/>
  <c r="A136" i="57" s="1"/>
  <c r="A137" i="57" s="1"/>
  <c r="A138" i="57" s="1"/>
  <c r="A139" i="57" s="1"/>
  <c r="A140" i="57" s="1"/>
  <c r="A141" i="57" s="1"/>
  <c r="A142" i="57" s="1"/>
  <c r="A143" i="57" s="1"/>
  <c r="A144" i="57" s="1"/>
  <c r="A145" i="57" s="1"/>
  <c r="A146" i="57" s="1"/>
  <c r="A147" i="57" s="1"/>
  <c r="A148" i="57" s="1"/>
  <c r="A149" i="57" s="1"/>
  <c r="A150" i="57" s="1"/>
  <c r="A151" i="57" s="1"/>
  <c r="A152" i="57" s="1"/>
  <c r="A153" i="57" s="1"/>
  <c r="J135" i="57"/>
  <c r="J147" i="57"/>
  <c r="H148" i="57"/>
  <c r="H137" i="57"/>
  <c r="N17" i="57"/>
  <c r="H149" i="57"/>
  <c r="G138" i="57"/>
  <c r="N18" i="57"/>
  <c r="G150" i="57"/>
  <c r="N23" i="57"/>
  <c r="I150" i="57"/>
  <c r="N38" i="57"/>
  <c r="N58" i="57"/>
  <c r="N68" i="57"/>
  <c r="N99" i="57"/>
  <c r="N116" i="57"/>
  <c r="N121" i="57"/>
  <c r="G131" i="57"/>
  <c r="I140" i="57"/>
  <c r="I142" i="57"/>
  <c r="H135" i="57"/>
  <c r="G132" i="57"/>
  <c r="J146" i="57"/>
  <c r="G149" i="57"/>
  <c r="G143" i="57"/>
  <c r="H150" i="57"/>
  <c r="N24" i="57"/>
  <c r="N41" i="57"/>
  <c r="N44" i="57"/>
  <c r="N46" i="57"/>
  <c r="N52" i="57"/>
  <c r="N85" i="57"/>
  <c r="N103" i="57"/>
  <c r="H131" i="57"/>
  <c r="H146" i="57"/>
  <c r="J132" i="57"/>
  <c r="J140" i="57"/>
  <c r="N34" i="57"/>
  <c r="N73" i="57"/>
  <c r="N112" i="57"/>
  <c r="I136" i="57"/>
  <c r="G151" i="57"/>
  <c r="G148" i="57"/>
  <c r="J148" i="57"/>
  <c r="N75" i="57"/>
  <c r="N80" i="57"/>
  <c r="N86" i="57"/>
  <c r="N114" i="57"/>
  <c r="J152" i="57"/>
  <c r="I133" i="57"/>
  <c r="C168" i="57"/>
  <c r="J133" i="57"/>
  <c r="J145" i="57"/>
  <c r="G144" i="57"/>
  <c r="I153" i="57"/>
  <c r="I147" i="57"/>
  <c r="H142" i="57"/>
  <c r="I149" i="57"/>
  <c r="I143" i="57"/>
  <c r="G145" i="57"/>
  <c r="N15" i="57"/>
  <c r="J150" i="57"/>
  <c r="I151" i="57"/>
  <c r="N20" i="57"/>
  <c r="G153" i="57"/>
  <c r="G152" i="57"/>
  <c r="N32" i="57"/>
  <c r="N37" i="57"/>
  <c r="N49" i="57"/>
  <c r="N59" i="57"/>
  <c r="N60" i="57"/>
  <c r="N64" i="57"/>
  <c r="N81" i="57"/>
  <c r="N90" i="57"/>
  <c r="N101" i="57"/>
  <c r="N108" i="57"/>
  <c r="N119" i="57"/>
  <c r="N124" i="57"/>
  <c r="H136" i="57"/>
  <c r="N16" i="57"/>
  <c r="I148" i="57"/>
  <c r="D48" i="54"/>
  <c r="E48" i="54"/>
  <c r="F48" i="54"/>
  <c r="G48" i="54"/>
  <c r="G49" i="54" s="1"/>
  <c r="H48" i="54"/>
  <c r="I48" i="54"/>
  <c r="J48" i="54"/>
  <c r="K48" i="54"/>
  <c r="L48" i="54"/>
  <c r="M48" i="54"/>
  <c r="N48" i="54"/>
  <c r="O48" i="54"/>
  <c r="P48" i="54"/>
  <c r="Q48" i="54"/>
  <c r="R48" i="54"/>
  <c r="S48" i="54"/>
  <c r="T48" i="54"/>
  <c r="U48" i="54"/>
  <c r="V48" i="54"/>
  <c r="W48" i="54"/>
  <c r="X48" i="54"/>
  <c r="Y48" i="54"/>
  <c r="Z48" i="54"/>
  <c r="AA48" i="54"/>
  <c r="AB48" i="54"/>
  <c r="AC48" i="54"/>
  <c r="AD48" i="54"/>
  <c r="AE48" i="54"/>
  <c r="AE49" i="54" s="1"/>
  <c r="AF48" i="54"/>
  <c r="AF49" i="54" s="1"/>
  <c r="AG48" i="54"/>
  <c r="AH48" i="54"/>
  <c r="AI48" i="54"/>
  <c r="AJ48" i="54"/>
  <c r="AK48" i="54"/>
  <c r="AL48" i="54"/>
  <c r="AM48" i="54"/>
  <c r="AN48" i="54"/>
  <c r="AO48" i="54"/>
  <c r="AP48" i="54"/>
  <c r="AQ48" i="54"/>
  <c r="AR48" i="54"/>
  <c r="AS48" i="54"/>
  <c r="AT48" i="54"/>
  <c r="AU48" i="54"/>
  <c r="C48" i="54"/>
  <c r="C49" i="54" s="1"/>
  <c r="AD56" i="54"/>
  <c r="AC56" i="54"/>
  <c r="AB56" i="54"/>
  <c r="AA56" i="54"/>
  <c r="Z56" i="54"/>
  <c r="Y56" i="54"/>
  <c r="X56" i="54"/>
  <c r="W56" i="54"/>
  <c r="G58" i="54"/>
  <c r="F58" i="54"/>
  <c r="E58" i="54"/>
  <c r="D58" i="54"/>
  <c r="C58" i="54"/>
  <c r="K57" i="54"/>
  <c r="C87" i="59"/>
  <c r="G57" i="54"/>
  <c r="C85" i="59" s="1"/>
  <c r="C81" i="59"/>
  <c r="K56" i="54"/>
  <c r="E56" i="54"/>
  <c r="D56" i="54"/>
  <c r="C56" i="54"/>
  <c r="D49" i="54"/>
  <c r="E49" i="54"/>
  <c r="F49" i="54"/>
  <c r="D40" i="54"/>
  <c r="E40" i="54"/>
  <c r="F40" i="54"/>
  <c r="G40" i="54"/>
  <c r="H40" i="54"/>
  <c r="I40" i="54"/>
  <c r="J40" i="54"/>
  <c r="K40" i="54"/>
  <c r="B13" i="55" s="1"/>
  <c r="E13" i="55" s="1"/>
  <c r="AE40" i="54"/>
  <c r="AF40" i="54"/>
  <c r="D36" i="54"/>
  <c r="E36" i="54"/>
  <c r="F36" i="54"/>
  <c r="G36" i="54"/>
  <c r="H36" i="54"/>
  <c r="I36" i="54"/>
  <c r="J36" i="54"/>
  <c r="K36" i="54"/>
  <c r="L36" i="54"/>
  <c r="M36" i="54"/>
  <c r="N36" i="54"/>
  <c r="O36" i="54"/>
  <c r="P36" i="54"/>
  <c r="Q36" i="54"/>
  <c r="R36" i="54"/>
  <c r="S36" i="54"/>
  <c r="T36" i="54"/>
  <c r="U36" i="54"/>
  <c r="V36" i="54"/>
  <c r="W36" i="54"/>
  <c r="X36" i="54"/>
  <c r="Y36" i="54"/>
  <c r="Z36" i="54"/>
  <c r="AA36" i="54"/>
  <c r="AB36" i="54"/>
  <c r="AC36" i="54"/>
  <c r="AD36" i="54"/>
  <c r="AE36" i="54"/>
  <c r="AF36" i="54"/>
  <c r="D32" i="54"/>
  <c r="E32" i="54"/>
  <c r="F32" i="54"/>
  <c r="G32" i="54"/>
  <c r="H32" i="54"/>
  <c r="J32" i="54"/>
  <c r="K32" i="54"/>
  <c r="L32" i="54"/>
  <c r="M32" i="54"/>
  <c r="N32" i="54"/>
  <c r="O32" i="54"/>
  <c r="P32" i="54"/>
  <c r="Q32" i="54"/>
  <c r="R32" i="54"/>
  <c r="S32" i="54"/>
  <c r="T32" i="54"/>
  <c r="U32" i="54"/>
  <c r="V32" i="54"/>
  <c r="W32" i="54"/>
  <c r="X32" i="54"/>
  <c r="Y32" i="54"/>
  <c r="Z32" i="54"/>
  <c r="AA32" i="54"/>
  <c r="AB32" i="54"/>
  <c r="AC32" i="54"/>
  <c r="AD32" i="54"/>
  <c r="AE32" i="54"/>
  <c r="AF32" i="54"/>
  <c r="D28" i="54"/>
  <c r="E28" i="54"/>
  <c r="F28" i="54"/>
  <c r="G28" i="54"/>
  <c r="H28" i="54"/>
  <c r="I28" i="54"/>
  <c r="J28" i="54"/>
  <c r="K28" i="54"/>
  <c r="L28" i="54"/>
  <c r="M28" i="54"/>
  <c r="N28" i="54"/>
  <c r="O28" i="54"/>
  <c r="P28" i="54"/>
  <c r="Q28" i="54"/>
  <c r="R28" i="54"/>
  <c r="S28" i="54"/>
  <c r="T28" i="54"/>
  <c r="U28" i="54"/>
  <c r="V28" i="54"/>
  <c r="W28" i="54"/>
  <c r="X28" i="54"/>
  <c r="Y28" i="54"/>
  <c r="Z28" i="54"/>
  <c r="AA28" i="54"/>
  <c r="AB28" i="54"/>
  <c r="AC28" i="54"/>
  <c r="AD28" i="54"/>
  <c r="AE28" i="54"/>
  <c r="AF28" i="54"/>
  <c r="D24" i="54"/>
  <c r="E24" i="54"/>
  <c r="F24" i="54"/>
  <c r="G24" i="54"/>
  <c r="H24" i="54"/>
  <c r="I24" i="54"/>
  <c r="J24" i="54"/>
  <c r="K24" i="54"/>
  <c r="L24" i="54"/>
  <c r="M24" i="54"/>
  <c r="N24" i="54"/>
  <c r="O24" i="54"/>
  <c r="P24" i="54"/>
  <c r="Q24" i="54"/>
  <c r="R24" i="54"/>
  <c r="S24" i="54"/>
  <c r="T24" i="54"/>
  <c r="U24" i="54"/>
  <c r="V24" i="54"/>
  <c r="W24" i="54"/>
  <c r="X24" i="54"/>
  <c r="Y24" i="54"/>
  <c r="Z24" i="54"/>
  <c r="AA24" i="54"/>
  <c r="AB24" i="54"/>
  <c r="AC24" i="54"/>
  <c r="AD24" i="54"/>
  <c r="AE24" i="54"/>
  <c r="AF24" i="54"/>
  <c r="D20" i="54"/>
  <c r="E20" i="54"/>
  <c r="F20" i="54"/>
  <c r="G20" i="54"/>
  <c r="H20" i="54"/>
  <c r="I20" i="54"/>
  <c r="J20" i="54"/>
  <c r="K20" i="54"/>
  <c r="L20" i="54"/>
  <c r="M20" i="54"/>
  <c r="N20" i="54"/>
  <c r="O20" i="54"/>
  <c r="P20" i="54"/>
  <c r="Q20" i="54"/>
  <c r="R20" i="54"/>
  <c r="S20" i="54"/>
  <c r="T20" i="54"/>
  <c r="U20" i="54"/>
  <c r="V20" i="54"/>
  <c r="W20" i="54"/>
  <c r="X20" i="54"/>
  <c r="Y20" i="54"/>
  <c r="Z20" i="54"/>
  <c r="AA20" i="54"/>
  <c r="AB20" i="54"/>
  <c r="AC20" i="54"/>
  <c r="AD20" i="54"/>
  <c r="AE20" i="54"/>
  <c r="AF20" i="54"/>
  <c r="D16" i="54"/>
  <c r="E16" i="54"/>
  <c r="F16" i="54"/>
  <c r="G16" i="54"/>
  <c r="H16" i="54"/>
  <c r="I16" i="54"/>
  <c r="J16" i="54"/>
  <c r="K16" i="54"/>
  <c r="L16" i="54"/>
  <c r="M16" i="54"/>
  <c r="N16" i="54"/>
  <c r="O16" i="54"/>
  <c r="P16" i="54"/>
  <c r="Q16" i="54"/>
  <c r="R16" i="54"/>
  <c r="S16" i="54"/>
  <c r="T16" i="54"/>
  <c r="U16" i="54"/>
  <c r="V16" i="54"/>
  <c r="W16" i="54"/>
  <c r="X16" i="54"/>
  <c r="Y16" i="54"/>
  <c r="Z16" i="54"/>
  <c r="AA16" i="54"/>
  <c r="AB16" i="54"/>
  <c r="AC16" i="54"/>
  <c r="AD16" i="54"/>
  <c r="AE16" i="54"/>
  <c r="AF16" i="54"/>
  <c r="D12" i="54"/>
  <c r="E12" i="54"/>
  <c r="F12" i="54"/>
  <c r="G12" i="54"/>
  <c r="H12" i="54"/>
  <c r="I12" i="54"/>
  <c r="J12" i="54"/>
  <c r="K12" i="54"/>
  <c r="L12" i="54"/>
  <c r="M12" i="54"/>
  <c r="N12" i="54"/>
  <c r="O12" i="54"/>
  <c r="P12" i="54"/>
  <c r="Q12" i="54"/>
  <c r="R12" i="54"/>
  <c r="S12" i="54"/>
  <c r="T12" i="54"/>
  <c r="U12" i="54"/>
  <c r="V12" i="54"/>
  <c r="W12" i="54"/>
  <c r="X12" i="54"/>
  <c r="Y12" i="54"/>
  <c r="Z12" i="54"/>
  <c r="AA12" i="54"/>
  <c r="AB12" i="54"/>
  <c r="AC12" i="54"/>
  <c r="AD12" i="54"/>
  <c r="AE12" i="54"/>
  <c r="AF12" i="54"/>
  <c r="D8" i="54"/>
  <c r="E8" i="54"/>
  <c r="F8" i="54"/>
  <c r="G8" i="54"/>
  <c r="H8" i="54"/>
  <c r="I8" i="54"/>
  <c r="J8" i="54"/>
  <c r="K8" i="54"/>
  <c r="L8" i="54"/>
  <c r="M8" i="54"/>
  <c r="N8" i="54"/>
  <c r="O8" i="54"/>
  <c r="P8" i="54"/>
  <c r="Q8" i="54"/>
  <c r="R8" i="54"/>
  <c r="S8" i="54"/>
  <c r="T8" i="54"/>
  <c r="U8" i="54"/>
  <c r="V8" i="54"/>
  <c r="W8" i="54"/>
  <c r="X8" i="54"/>
  <c r="Y8" i="54"/>
  <c r="Z8" i="54"/>
  <c r="AA8" i="54"/>
  <c r="AB8" i="54"/>
  <c r="AC8" i="54"/>
  <c r="AD8" i="54"/>
  <c r="AE8" i="54"/>
  <c r="AF8" i="54"/>
  <c r="C44" i="54"/>
  <c r="C40" i="54"/>
  <c r="C36" i="54"/>
  <c r="C32" i="54"/>
  <c r="C28" i="54"/>
  <c r="C24" i="54"/>
  <c r="C20" i="54"/>
  <c r="C16" i="54"/>
  <c r="C12" i="54"/>
  <c r="C8" i="54"/>
  <c r="D50" i="54"/>
  <c r="I61" i="54" l="1"/>
  <c r="L60" i="54" s="1"/>
  <c r="R56" i="57"/>
  <c r="S45" i="57"/>
  <c r="S44" i="57"/>
  <c r="O105" i="57"/>
  <c r="T43" i="57" s="1"/>
  <c r="O21" i="57"/>
  <c r="T36" i="57" s="1"/>
  <c r="O129" i="57"/>
  <c r="T45" i="57" s="1"/>
  <c r="C171" i="57"/>
  <c r="O57" i="57"/>
  <c r="T39" i="57" s="1"/>
  <c r="O117" i="57"/>
  <c r="T44" i="57" s="1"/>
  <c r="O93" i="57"/>
  <c r="T42" i="57" s="1"/>
  <c r="O33" i="57"/>
  <c r="T37" i="57" s="1"/>
  <c r="C167" i="57"/>
  <c r="C169" i="57"/>
  <c r="C166" i="57"/>
  <c r="O45" i="57"/>
  <c r="T38" i="57" s="1"/>
  <c r="O69" i="57"/>
  <c r="T40" i="57" s="1"/>
  <c r="O81" i="57"/>
  <c r="T41" i="57" s="1"/>
  <c r="C170" i="57"/>
  <c r="E20" i="42"/>
  <c r="F20" i="42" l="1"/>
  <c r="G20" i="42" s="1"/>
  <c r="L61" i="54"/>
  <c r="M66" i="54" s="1"/>
  <c r="M67" i="54"/>
  <c r="V42" i="57"/>
  <c r="S54" i="57"/>
  <c r="T54" i="57" s="1"/>
  <c r="U42" i="57"/>
  <c r="S53" i="57"/>
  <c r="T53" i="57" s="1"/>
  <c r="V41" i="57"/>
  <c r="U45" i="57"/>
  <c r="S56" i="57"/>
  <c r="T56" i="57" s="1"/>
  <c r="V44" i="57"/>
  <c r="S49" i="57"/>
  <c r="T49" i="57" s="1"/>
  <c r="V37" i="57"/>
  <c r="U41" i="57"/>
  <c r="S52" i="57"/>
  <c r="T52" i="57" s="1"/>
  <c r="V40" i="57"/>
  <c r="U40" i="57"/>
  <c r="S51" i="57"/>
  <c r="T51" i="57" s="1"/>
  <c r="V39" i="57"/>
  <c r="U39" i="57"/>
  <c r="V38" i="57"/>
  <c r="S50" i="57"/>
  <c r="T50" i="57" s="1"/>
  <c r="U38" i="57"/>
  <c r="S57" i="57"/>
  <c r="T57" i="57" s="1"/>
  <c r="V45" i="57"/>
  <c r="U37" i="57"/>
  <c r="V36" i="57"/>
  <c r="S48" i="57"/>
  <c r="T48" i="57" s="1"/>
  <c r="U44" i="57"/>
  <c r="S55" i="57"/>
  <c r="T55" i="57" s="1"/>
  <c r="U43" i="57"/>
  <c r="V43" i="57"/>
  <c r="G50" i="54"/>
  <c r="F50" i="54"/>
  <c r="D44" i="54"/>
  <c r="E44" i="54"/>
  <c r="F44" i="54"/>
  <c r="G44" i="54"/>
  <c r="H44" i="54"/>
  <c r="I44" i="54"/>
  <c r="J44" i="54"/>
  <c r="K44" i="54"/>
  <c r="L44" i="54"/>
  <c r="M44" i="54"/>
  <c r="N44" i="54"/>
  <c r="O44" i="54"/>
  <c r="P44" i="54"/>
  <c r="Q44" i="54"/>
  <c r="R44" i="54"/>
  <c r="S44" i="54"/>
  <c r="T44" i="54"/>
  <c r="U44" i="54"/>
  <c r="V44" i="54"/>
  <c r="W44" i="54"/>
  <c r="X44" i="54"/>
  <c r="Y44" i="54"/>
  <c r="Z44" i="54"/>
  <c r="AA44" i="54"/>
  <c r="AB44" i="54"/>
  <c r="AC44" i="54"/>
  <c r="AD44" i="54"/>
  <c r="AE44" i="54"/>
  <c r="N20" i="53"/>
  <c r="L56" i="54"/>
  <c r="AG36" i="54"/>
  <c r="AH36" i="54"/>
  <c r="AI36" i="54"/>
  <c r="AJ36" i="54"/>
  <c r="AK36" i="54"/>
  <c r="AL36" i="54"/>
  <c r="AM36" i="54"/>
  <c r="AN36" i="54"/>
  <c r="AO36" i="54"/>
  <c r="AP36" i="54"/>
  <c r="AQ36" i="54"/>
  <c r="AR36" i="54"/>
  <c r="F24" i="42" l="1"/>
  <c r="M68" i="54"/>
  <c r="T20" i="53"/>
  <c r="M56" i="54"/>
  <c r="L40" i="54"/>
  <c r="L57" i="54"/>
  <c r="T58" i="57"/>
  <c r="T59" i="57"/>
  <c r="J17" i="55"/>
  <c r="B15" i="55"/>
  <c r="B14" i="55"/>
  <c r="E14" i="55" s="1"/>
  <c r="B10" i="55"/>
  <c r="B9" i="55"/>
  <c r="B8" i="55"/>
  <c r="B7" i="55"/>
  <c r="B6" i="55"/>
  <c r="B5" i="55"/>
  <c r="E10" i="55" l="1"/>
  <c r="E11" i="55"/>
  <c r="B16" i="55"/>
  <c r="C5" i="55"/>
  <c r="D5" i="55" s="1"/>
  <c r="F5" i="55" s="1"/>
  <c r="B19" i="55"/>
  <c r="B20" i="55" s="1"/>
  <c r="B21" i="55" s="1"/>
  <c r="B22" i="55" s="1"/>
  <c r="B23" i="55" s="1"/>
  <c r="B24" i="55" s="1"/>
  <c r="B25" i="55" s="1"/>
  <c r="B26" i="55" s="1"/>
  <c r="B27" i="55" s="1"/>
  <c r="B28" i="55" s="1"/>
  <c r="B29" i="55" s="1"/>
  <c r="B30" i="55" s="1"/>
  <c r="E5" i="55"/>
  <c r="B43" i="55"/>
  <c r="B44" i="55" s="1"/>
  <c r="B45" i="55" s="1"/>
  <c r="B46" i="55" s="1"/>
  <c r="B47" i="55" s="1"/>
  <c r="B48" i="55" s="1"/>
  <c r="B49" i="55" s="1"/>
  <c r="B50" i="55" s="1"/>
  <c r="B51" i="55" s="1"/>
  <c r="B52" i="55" s="1"/>
  <c r="B53" i="55" s="1"/>
  <c r="B54" i="55" s="1"/>
  <c r="E7" i="55"/>
  <c r="E8" i="55"/>
  <c r="E9" i="55"/>
  <c r="B31" i="55"/>
  <c r="B32" i="55" s="1"/>
  <c r="C6" i="55"/>
  <c r="D6" i="55" s="1"/>
  <c r="E6" i="55"/>
  <c r="H23" i="42"/>
  <c r="N58" i="54"/>
  <c r="O37" i="54"/>
  <c r="N56" i="54"/>
  <c r="N38" i="54"/>
  <c r="M57" i="54"/>
  <c r="M40" i="54"/>
  <c r="I23" i="42" s="1"/>
  <c r="B55" i="55"/>
  <c r="B56" i="55" s="1"/>
  <c r="B57" i="55" s="1"/>
  <c r="B58" i="55" s="1"/>
  <c r="B59" i="55" s="1"/>
  <c r="B60" i="55" s="1"/>
  <c r="B61" i="55" s="1"/>
  <c r="B62" i="55" s="1"/>
  <c r="B63" i="55" s="1"/>
  <c r="B64" i="55" s="1"/>
  <c r="B65" i="55" s="1"/>
  <c r="B66" i="55" s="1"/>
  <c r="C13" i="55"/>
  <c r="D13" i="55" s="1"/>
  <c r="F13" i="55" s="1"/>
  <c r="G13" i="55" s="1"/>
  <c r="C9" i="55"/>
  <c r="D9" i="55" s="1"/>
  <c r="F9" i="55" s="1"/>
  <c r="G9" i="55" s="1"/>
  <c r="B79" i="55"/>
  <c r="B80" i="55" s="1"/>
  <c r="B81" i="55" s="1"/>
  <c r="B82" i="55" s="1"/>
  <c r="B83" i="55" s="1"/>
  <c r="B84" i="55" s="1"/>
  <c r="B85" i="55" s="1"/>
  <c r="B86" i="55" s="1"/>
  <c r="B87" i="55" s="1"/>
  <c r="B88" i="55" s="1"/>
  <c r="B89" i="55" s="1"/>
  <c r="B90" i="55" s="1"/>
  <c r="C11" i="55"/>
  <c r="D11" i="55" s="1"/>
  <c r="F11" i="55" s="1"/>
  <c r="G11" i="55" s="1"/>
  <c r="C12" i="55"/>
  <c r="D12" i="55" s="1"/>
  <c r="F12" i="55" s="1"/>
  <c r="B67" i="55"/>
  <c r="B68" i="55" s="1"/>
  <c r="B69" i="55" s="1"/>
  <c r="B70" i="55" s="1"/>
  <c r="B71" i="55" s="1"/>
  <c r="B72" i="55" s="1"/>
  <c r="B73" i="55" s="1"/>
  <c r="B74" i="55" s="1"/>
  <c r="B75" i="55" s="1"/>
  <c r="B76" i="55" s="1"/>
  <c r="B77" i="55" s="1"/>
  <c r="B78" i="55" s="1"/>
  <c r="C7" i="55"/>
  <c r="D7" i="55" s="1"/>
  <c r="F7" i="55" s="1"/>
  <c r="C14" i="55"/>
  <c r="D14" i="55" s="1"/>
  <c r="F14" i="55" s="1"/>
  <c r="G14" i="55" s="1"/>
  <c r="B92" i="55"/>
  <c r="B93" i="55" s="1"/>
  <c r="B94" i="55" s="1"/>
  <c r="B95" i="55" s="1"/>
  <c r="B96" i="55" s="1"/>
  <c r="B97" i="55" s="1"/>
  <c r="B98" i="55" s="1"/>
  <c r="B99" i="55" s="1"/>
  <c r="B100" i="55" s="1"/>
  <c r="B101" i="55" s="1"/>
  <c r="B102" i="55" s="1"/>
  <c r="C8" i="55"/>
  <c r="D8" i="55" s="1"/>
  <c r="F8" i="55" s="1"/>
  <c r="G8" i="55" s="1"/>
  <c r="C10" i="55"/>
  <c r="D10" i="55" s="1"/>
  <c r="F10" i="55" s="1"/>
  <c r="G10" i="55" s="1"/>
  <c r="E15" i="55"/>
  <c r="C15" i="55"/>
  <c r="D15" i="55" s="1"/>
  <c r="F15" i="55" s="1"/>
  <c r="G15" i="55" s="1"/>
  <c r="B104" i="55"/>
  <c r="B105" i="55" s="1"/>
  <c r="B106" i="55" s="1"/>
  <c r="B107" i="55" s="1"/>
  <c r="B108" i="55" s="1"/>
  <c r="B109" i="55" s="1"/>
  <c r="B110" i="55" s="1"/>
  <c r="B111" i="55" s="1"/>
  <c r="B112" i="55" s="1"/>
  <c r="B113" i="55" s="1"/>
  <c r="B114" i="55" s="1"/>
  <c r="B115" i="55"/>
  <c r="B116" i="55" s="1"/>
  <c r="B117" i="55" s="1"/>
  <c r="B118" i="55" s="1"/>
  <c r="B119" i="55" s="1"/>
  <c r="B120" i="55" s="1"/>
  <c r="B121" i="55" s="1"/>
  <c r="B122" i="55" s="1"/>
  <c r="B123" i="55" s="1"/>
  <c r="B124" i="55" s="1"/>
  <c r="B125" i="55" s="1"/>
  <c r="B126" i="55" s="1"/>
  <c r="F6" i="55" l="1"/>
  <c r="G6" i="55" s="1"/>
  <c r="C19" i="55"/>
  <c r="G5" i="55"/>
  <c r="B33" i="55"/>
  <c r="B34" i="55" s="1"/>
  <c r="B35" i="55" s="1"/>
  <c r="B36" i="55" s="1"/>
  <c r="B37" i="55" s="1"/>
  <c r="B38" i="55" s="1"/>
  <c r="B39" i="55" s="1"/>
  <c r="B40" i="55" s="1"/>
  <c r="B41" i="55" s="1"/>
  <c r="B42" i="55" s="1"/>
  <c r="G12" i="55"/>
  <c r="O58" i="54"/>
  <c r="P37" i="54"/>
  <c r="O56" i="54"/>
  <c r="M49" i="54"/>
  <c r="O38" i="54"/>
  <c r="N40" i="54"/>
  <c r="N49" i="54" s="1"/>
  <c r="N57" i="54"/>
  <c r="G7" i="55"/>
  <c r="H130" i="30"/>
  <c r="G19" i="55" l="1"/>
  <c r="C20" i="55"/>
  <c r="C21" i="55" s="1"/>
  <c r="P58" i="54"/>
  <c r="Q37" i="54"/>
  <c r="P56" i="54"/>
  <c r="P38" i="54"/>
  <c r="O57" i="54"/>
  <c r="O40" i="54"/>
  <c r="O49" i="54" s="1"/>
  <c r="G20" i="55" l="1"/>
  <c r="H20" i="55" s="1"/>
  <c r="D23" i="4" s="1"/>
  <c r="H19" i="55"/>
  <c r="D22" i="4" s="1"/>
  <c r="Q58" i="54"/>
  <c r="R37" i="54"/>
  <c r="Q56" i="54"/>
  <c r="Q38" i="54"/>
  <c r="P57" i="54"/>
  <c r="P40" i="54"/>
  <c r="P49" i="54" s="1"/>
  <c r="C22" i="55"/>
  <c r="G21" i="55"/>
  <c r="H21" i="55" s="1"/>
  <c r="D24" i="4" s="1"/>
  <c r="O118" i="4"/>
  <c r="R58" i="54" l="1"/>
  <c r="S37" i="54"/>
  <c r="R56" i="54"/>
  <c r="R38" i="54"/>
  <c r="Q40" i="54"/>
  <c r="Q49" i="54" s="1"/>
  <c r="Q57" i="54"/>
  <c r="C23" i="55"/>
  <c r="G22" i="55"/>
  <c r="H22" i="55" s="1"/>
  <c r="D25" i="4" s="1"/>
  <c r="O18" i="6"/>
  <c r="O71" i="59" s="1"/>
  <c r="O17" i="6"/>
  <c r="O70" i="59" s="1"/>
  <c r="S58" i="54" l="1"/>
  <c r="T37" i="54"/>
  <c r="S56" i="54"/>
  <c r="S38" i="54"/>
  <c r="R57" i="54"/>
  <c r="R40" i="54"/>
  <c r="R49" i="54" s="1"/>
  <c r="C24" i="55"/>
  <c r="G23" i="55"/>
  <c r="H23" i="55" s="1"/>
  <c r="D26" i="4" s="1"/>
  <c r="T58" i="54" l="1"/>
  <c r="U37" i="54"/>
  <c r="T56" i="54"/>
  <c r="T38" i="54"/>
  <c r="S40" i="54"/>
  <c r="S49" i="54" s="1"/>
  <c r="S57" i="54"/>
  <c r="C25" i="55"/>
  <c r="G24" i="55"/>
  <c r="H24" i="55" s="1"/>
  <c r="D27" i="4" s="1"/>
  <c r="U58" i="54" l="1"/>
  <c r="V37" i="54"/>
  <c r="V56" i="54" s="1"/>
  <c r="U56" i="54"/>
  <c r="U38" i="54"/>
  <c r="T57" i="54"/>
  <c r="T40" i="54"/>
  <c r="T49" i="54" s="1"/>
  <c r="C26" i="55"/>
  <c r="G25" i="55"/>
  <c r="H25" i="55" s="1"/>
  <c r="D28" i="4" s="1"/>
  <c r="A11" i="4"/>
  <c r="X12" i="46"/>
  <c r="AR21" i="46"/>
  <c r="AR20" i="46"/>
  <c r="AT20" i="46" s="1"/>
  <c r="AR19" i="46"/>
  <c r="AT19" i="46" s="1"/>
  <c r="AR18" i="46"/>
  <c r="AT18" i="46" s="1"/>
  <c r="AR17" i="46"/>
  <c r="AT17" i="46" s="1"/>
  <c r="AR16" i="46"/>
  <c r="AT16" i="46" s="1"/>
  <c r="AR15" i="46"/>
  <c r="AT15" i="46" s="1"/>
  <c r="AR14" i="46"/>
  <c r="AT14" i="46" s="1"/>
  <c r="AR13" i="46"/>
  <c r="AT13" i="46" s="1"/>
  <c r="AR12" i="46"/>
  <c r="AT12" i="46" s="1"/>
  <c r="AH21" i="46"/>
  <c r="AH20" i="46"/>
  <c r="AJ20" i="46" s="1"/>
  <c r="AH19" i="46"/>
  <c r="AJ19" i="46" s="1"/>
  <c r="AH18" i="46"/>
  <c r="AJ18" i="46" s="1"/>
  <c r="AH17" i="46"/>
  <c r="AJ17" i="46" s="1"/>
  <c r="AH16" i="46"/>
  <c r="AJ16" i="46" s="1"/>
  <c r="AH15" i="46"/>
  <c r="AJ15" i="46" s="1"/>
  <c r="AH14" i="46"/>
  <c r="AJ14" i="46" s="1"/>
  <c r="AH13" i="46"/>
  <c r="AJ13" i="46" s="1"/>
  <c r="AH12" i="46"/>
  <c r="AJ12" i="46" s="1"/>
  <c r="X21" i="46"/>
  <c r="L71" i="59" s="1"/>
  <c r="N71" i="59" s="1"/>
  <c r="P71" i="59" s="1"/>
  <c r="X20" i="46"/>
  <c r="X19" i="46"/>
  <c r="X18" i="46"/>
  <c r="X17" i="46"/>
  <c r="X16" i="46"/>
  <c r="X15" i="46"/>
  <c r="X14" i="46"/>
  <c r="X13" i="46"/>
  <c r="N21" i="46"/>
  <c r="N20" i="46"/>
  <c r="N19" i="46"/>
  <c r="P19" i="46" s="1"/>
  <c r="N18" i="46"/>
  <c r="P18" i="46" s="1"/>
  <c r="L52" i="59" s="1"/>
  <c r="N52" i="59" s="1"/>
  <c r="P52" i="59" s="1"/>
  <c r="N17" i="46"/>
  <c r="P17" i="46" s="1"/>
  <c r="L51" i="59" s="1"/>
  <c r="N51" i="59" s="1"/>
  <c r="P51" i="59" s="1"/>
  <c r="N16" i="46"/>
  <c r="P16" i="46" s="1"/>
  <c r="L50" i="59" s="1"/>
  <c r="N50" i="59" s="1"/>
  <c r="P50" i="59" s="1"/>
  <c r="N15" i="46"/>
  <c r="P15" i="46" s="1"/>
  <c r="L49" i="59" s="1"/>
  <c r="N49" i="59" s="1"/>
  <c r="P49" i="59" s="1"/>
  <c r="N14" i="46"/>
  <c r="P14" i="46" s="1"/>
  <c r="L48" i="59" s="1"/>
  <c r="N48" i="59" s="1"/>
  <c r="P48" i="59" s="1"/>
  <c r="N13" i="46"/>
  <c r="P13" i="46" s="1"/>
  <c r="L47" i="59" s="1"/>
  <c r="N47" i="59" s="1"/>
  <c r="P47" i="59" s="1"/>
  <c r="N12" i="46"/>
  <c r="P12" i="46" s="1"/>
  <c r="L46" i="59" s="1"/>
  <c r="N46" i="59" s="1"/>
  <c r="P46" i="59" s="1"/>
  <c r="C21" i="46"/>
  <c r="E21" i="46" s="1"/>
  <c r="J21" i="46" s="1"/>
  <c r="C20" i="46"/>
  <c r="E20" i="46" s="1"/>
  <c r="L39" i="59" s="1"/>
  <c r="N39" i="59" s="1"/>
  <c r="C19" i="46"/>
  <c r="E19" i="46" s="1"/>
  <c r="L38" i="59" s="1"/>
  <c r="N38" i="59" s="1"/>
  <c r="C18" i="46"/>
  <c r="E18" i="46" s="1"/>
  <c r="L37" i="59" s="1"/>
  <c r="N37" i="59" s="1"/>
  <c r="C17" i="46"/>
  <c r="E17" i="46" s="1"/>
  <c r="L36" i="59" s="1"/>
  <c r="N36" i="59" s="1"/>
  <c r="C16" i="46"/>
  <c r="E16" i="46" s="1"/>
  <c r="L35" i="59" s="1"/>
  <c r="N35" i="59" s="1"/>
  <c r="C15" i="46"/>
  <c r="E15" i="46" s="1"/>
  <c r="L34" i="59" s="1"/>
  <c r="N34" i="59" s="1"/>
  <c r="C14" i="46"/>
  <c r="E14" i="46" s="1"/>
  <c r="L33" i="59" s="1"/>
  <c r="N33" i="59" s="1"/>
  <c r="C13" i="46"/>
  <c r="E13" i="46" s="1"/>
  <c r="L32" i="59" s="1"/>
  <c r="N32" i="59" s="1"/>
  <c r="C12" i="46"/>
  <c r="E12" i="46" s="1"/>
  <c r="L31" i="59" s="1"/>
  <c r="N31" i="59" s="1"/>
  <c r="I15" i="53"/>
  <c r="H15" i="53"/>
  <c r="G15" i="53"/>
  <c r="G33" i="53" s="1"/>
  <c r="F15" i="53"/>
  <c r="F33" i="53" s="1"/>
  <c r="E15" i="53"/>
  <c r="E33" i="53" s="1"/>
  <c r="B68" i="32"/>
  <c r="F68" i="32" s="1"/>
  <c r="AU21" i="46"/>
  <c r="AX21" i="46" s="1"/>
  <c r="AU20" i="46"/>
  <c r="AU19" i="46"/>
  <c r="AU18" i="46"/>
  <c r="AY18" i="46" s="1"/>
  <c r="AU17" i="46"/>
  <c r="AU16" i="46"/>
  <c r="AX16" i="46" s="1"/>
  <c r="AU15" i="46"/>
  <c r="AX15" i="46" s="1"/>
  <c r="AU14" i="46"/>
  <c r="AY14" i="46" s="1"/>
  <c r="AU13" i="46"/>
  <c r="AW13" i="46" s="1"/>
  <c r="AU12" i="46"/>
  <c r="AX12" i="46" s="1"/>
  <c r="AQ38" i="46"/>
  <c r="V58" i="54" l="1"/>
  <c r="V38" i="54"/>
  <c r="U57" i="54"/>
  <c r="U40" i="54"/>
  <c r="U49" i="54" s="1"/>
  <c r="Q49" i="59"/>
  <c r="Q51" i="59"/>
  <c r="Q48" i="59"/>
  <c r="Z14" i="46"/>
  <c r="L64" i="59"/>
  <c r="N64" i="59" s="1"/>
  <c r="Q50" i="59"/>
  <c r="Z15" i="46"/>
  <c r="L65" i="59"/>
  <c r="N65" i="59" s="1"/>
  <c r="Z17" i="46"/>
  <c r="L67" i="59"/>
  <c r="N67" i="59" s="1"/>
  <c r="Z19" i="46"/>
  <c r="L69" i="59"/>
  <c r="N69" i="59" s="1"/>
  <c r="Z18" i="46"/>
  <c r="L68" i="59"/>
  <c r="N68" i="59" s="1"/>
  <c r="Z12" i="46"/>
  <c r="L62" i="59"/>
  <c r="N62" i="59" s="1"/>
  <c r="Q47" i="59"/>
  <c r="Z20" i="46"/>
  <c r="L70" i="59"/>
  <c r="N70" i="59" s="1"/>
  <c r="P70" i="59" s="1"/>
  <c r="Z16" i="46"/>
  <c r="L66" i="59"/>
  <c r="N66" i="59" s="1"/>
  <c r="Q52" i="59"/>
  <c r="Z13" i="46"/>
  <c r="L63" i="59"/>
  <c r="N63" i="59" s="1"/>
  <c r="L53" i="59"/>
  <c r="N53" i="59" s="1"/>
  <c r="P53" i="59" s="1"/>
  <c r="L40" i="59"/>
  <c r="C27" i="55"/>
  <c r="G26" i="55"/>
  <c r="H26" i="55" s="1"/>
  <c r="D29" i="4" s="1"/>
  <c r="H33" i="53"/>
  <c r="K14" i="53"/>
  <c r="I33" i="53"/>
  <c r="Q14" i="53"/>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Z21" i="46"/>
  <c r="AJ21" i="46"/>
  <c r="AT21" i="46"/>
  <c r="AY19" i="46"/>
  <c r="AY20" i="46"/>
  <c r="AX17" i="46"/>
  <c r="AY16" i="46"/>
  <c r="AY17" i="46"/>
  <c r="AY12" i="46"/>
  <c r="AW12" i="46"/>
  <c r="AY15" i="46"/>
  <c r="AW16" i="46"/>
  <c r="AW15" i="46"/>
  <c r="AW14" i="46"/>
  <c r="AX14" i="46"/>
  <c r="AW17" i="46"/>
  <c r="AW21" i="46"/>
  <c r="AY13" i="46"/>
  <c r="AW19" i="46"/>
  <c r="AX20" i="46"/>
  <c r="AY21" i="46"/>
  <c r="AX13" i="46"/>
  <c r="AW20" i="46"/>
  <c r="AW18" i="46"/>
  <c r="AX19" i="46"/>
  <c r="AX18" i="46"/>
  <c r="W58" i="54" l="1"/>
  <c r="W38" i="54"/>
  <c r="V40" i="54"/>
  <c r="V49" i="54" s="1"/>
  <c r="V57" i="54"/>
  <c r="Q71" i="59"/>
  <c r="Q53" i="59"/>
  <c r="C28" i="55"/>
  <c r="G27" i="55"/>
  <c r="H27" i="55" s="1"/>
  <c r="D30" i="4" s="1"/>
  <c r="AY25" i="46"/>
  <c r="AX25" i="46"/>
  <c r="AV40" i="46" s="1"/>
  <c r="AW25" i="46"/>
  <c r="AU40" i="46" s="1"/>
  <c r="F86" i="42"/>
  <c r="E86" i="42"/>
  <c r="E66" i="42"/>
  <c r="G66" i="42" s="1"/>
  <c r="H90" i="42" s="1"/>
  <c r="D66" i="42"/>
  <c r="B47" i="42"/>
  <c r="B46" i="42"/>
  <c r="B45" i="42"/>
  <c r="B44" i="42"/>
  <c r="B43" i="42"/>
  <c r="B42" i="42"/>
  <c r="E24" i="42"/>
  <c r="D24" i="42"/>
  <c r="C24" i="42"/>
  <c r="G22" i="42"/>
  <c r="E84" i="42" s="1"/>
  <c r="G21" i="42"/>
  <c r="D84" i="42" s="1"/>
  <c r="C84" i="42"/>
  <c r="X58" i="54" l="1"/>
  <c r="X38" i="54"/>
  <c r="W57" i="54"/>
  <c r="W40" i="54"/>
  <c r="W49" i="54" s="1"/>
  <c r="C29" i="55"/>
  <c r="G28" i="55"/>
  <c r="H28" i="55" s="1"/>
  <c r="D31" i="4" s="1"/>
  <c r="AV41" i="46"/>
  <c r="AU41" i="46"/>
  <c r="E90" i="42"/>
  <c r="F66" i="42"/>
  <c r="G90" i="42" s="1"/>
  <c r="C48" i="42"/>
  <c r="I43" i="42"/>
  <c r="G23" i="42"/>
  <c r="I42" i="42"/>
  <c r="G24" i="42" l="1"/>
  <c r="F15" i="42" s="1"/>
  <c r="F84" i="42"/>
  <c r="Y58" i="54"/>
  <c r="Y38" i="54"/>
  <c r="X40" i="54"/>
  <c r="X49" i="54" s="1"/>
  <c r="X57" i="54"/>
  <c r="C30" i="55"/>
  <c r="D30" i="55" s="1"/>
  <c r="C31" i="55" s="1"/>
  <c r="G29" i="55"/>
  <c r="H29" i="55" s="1"/>
  <c r="D32" i="4" s="1"/>
  <c r="D48" i="42"/>
  <c r="I84" i="42" l="1"/>
  <c r="F90" i="42"/>
  <c r="E14" i="42"/>
  <c r="F17" i="42"/>
  <c r="G17" i="42" s="1"/>
  <c r="C14" i="42"/>
  <c r="F16" i="42"/>
  <c r="F14" i="42"/>
  <c r="E16" i="42"/>
  <c r="E15" i="42"/>
  <c r="D15" i="42"/>
  <c r="D14" i="42"/>
  <c r="Z58" i="54"/>
  <c r="Z38" i="54"/>
  <c r="Y40" i="54"/>
  <c r="Y49" i="54" s="1"/>
  <c r="Y57" i="54"/>
  <c r="G31" i="55"/>
  <c r="G30" i="55"/>
  <c r="E30" i="55"/>
  <c r="F45" i="42"/>
  <c r="I44" i="42"/>
  <c r="E48" i="42"/>
  <c r="H30" i="55" l="1"/>
  <c r="D33" i="4" s="1"/>
  <c r="D80" i="59"/>
  <c r="E80" i="59" s="1"/>
  <c r="H31" i="55"/>
  <c r="D34" i="4" s="1"/>
  <c r="G16" i="42"/>
  <c r="D18" i="42"/>
  <c r="E18" i="42"/>
  <c r="G15" i="42"/>
  <c r="F18" i="42"/>
  <c r="G14" i="42"/>
  <c r="L30" i="53"/>
  <c r="J90" i="42"/>
  <c r="R30" i="53" s="1"/>
  <c r="C18" i="42"/>
  <c r="AA58" i="54"/>
  <c r="AA38" i="54"/>
  <c r="Z57" i="54"/>
  <c r="Z40" i="54"/>
  <c r="Z49" i="54" s="1"/>
  <c r="C32" i="55"/>
  <c r="I45" i="42"/>
  <c r="F48" i="42"/>
  <c r="G46" i="42"/>
  <c r="B59" i="32"/>
  <c r="F59" i="32" s="1"/>
  <c r="B60" i="32"/>
  <c r="F60" i="32" s="1"/>
  <c r="B61" i="32"/>
  <c r="F61" i="32" s="1"/>
  <c r="B62" i="32"/>
  <c r="F62" i="32" s="1"/>
  <c r="B63" i="32"/>
  <c r="F63" i="32" s="1"/>
  <c r="B64" i="32"/>
  <c r="F64" i="32" s="1"/>
  <c r="B65" i="32"/>
  <c r="F65" i="32" s="1"/>
  <c r="B66" i="32"/>
  <c r="F66" i="32" s="1"/>
  <c r="B67" i="32"/>
  <c r="F67" i="32" s="1"/>
  <c r="AA21" i="46"/>
  <c r="AA20" i="46"/>
  <c r="AA19" i="46"/>
  <c r="AA18" i="46"/>
  <c r="AA17" i="46"/>
  <c r="AA16" i="46"/>
  <c r="AE16" i="46" s="1"/>
  <c r="AA14" i="46"/>
  <c r="AE14" i="46" s="1"/>
  <c r="AA13" i="46"/>
  <c r="AE13" i="46" s="1"/>
  <c r="AA12" i="46"/>
  <c r="AE12" i="46" s="1"/>
  <c r="AA15" i="46"/>
  <c r="AE15" i="46" s="1"/>
  <c r="AK13" i="46"/>
  <c r="AK15" i="46"/>
  <c r="AK16" i="46"/>
  <c r="AK14" i="46"/>
  <c r="AK12" i="46"/>
  <c r="AK17" i="46"/>
  <c r="AK18" i="46"/>
  <c r="AK19" i="46"/>
  <c r="AK20" i="46"/>
  <c r="AK21" i="46"/>
  <c r="AG38" i="46"/>
  <c r="W38" i="46"/>
  <c r="M38" i="46"/>
  <c r="B38" i="46"/>
  <c r="G18" i="42" l="1"/>
  <c r="AB58" i="54"/>
  <c r="AB38" i="54"/>
  <c r="AA40" i="54"/>
  <c r="AA49" i="54" s="1"/>
  <c r="AA57" i="54"/>
  <c r="N36" i="32"/>
  <c r="M36" i="32"/>
  <c r="L36" i="32"/>
  <c r="K36" i="32"/>
  <c r="J32" i="51" s="1"/>
  <c r="AO16" i="46"/>
  <c r="I36" i="32"/>
  <c r="H32" i="51" s="1"/>
  <c r="AO12" i="46"/>
  <c r="E36" i="32"/>
  <c r="D32" i="51" s="1"/>
  <c r="AO14" i="46"/>
  <c r="G36" i="32"/>
  <c r="F32" i="51" s="1"/>
  <c r="AO13" i="46"/>
  <c r="F36" i="32"/>
  <c r="E32" i="51" s="1"/>
  <c r="AO15" i="46"/>
  <c r="H36" i="32"/>
  <c r="G32" i="51" s="1"/>
  <c r="AO17" i="46"/>
  <c r="J36" i="32"/>
  <c r="I32" i="51" s="1"/>
  <c r="E35" i="32"/>
  <c r="D31" i="51" s="1"/>
  <c r="M35" i="32"/>
  <c r="H35" i="32"/>
  <c r="G31" i="51" s="1"/>
  <c r="J27" i="32"/>
  <c r="F35" i="32"/>
  <c r="E31" i="51" s="1"/>
  <c r="N35" i="32"/>
  <c r="G35" i="32"/>
  <c r="F31" i="51" s="1"/>
  <c r="K35" i="32"/>
  <c r="J31" i="51" s="1"/>
  <c r="L35" i="32"/>
  <c r="I35" i="32"/>
  <c r="H31" i="51" s="1"/>
  <c r="J19" i="32"/>
  <c r="I15" i="51" s="1"/>
  <c r="N11" i="47" s="1"/>
  <c r="J35" i="32"/>
  <c r="I31" i="51" s="1"/>
  <c r="L23" i="32"/>
  <c r="L19" i="32"/>
  <c r="N19" i="32"/>
  <c r="K23" i="32"/>
  <c r="J19" i="51" s="1"/>
  <c r="P12" i="47" s="1"/>
  <c r="K19" i="32"/>
  <c r="J15" i="51" s="1"/>
  <c r="N12" i="47" s="1"/>
  <c r="J23" i="32"/>
  <c r="I19" i="51" s="1"/>
  <c r="P11" i="47" s="1"/>
  <c r="U11" i="47" s="1"/>
  <c r="I23" i="32"/>
  <c r="H19" i="51" s="1"/>
  <c r="P10" i="47" s="1"/>
  <c r="E23" i="32"/>
  <c r="D19" i="51" s="1"/>
  <c r="P6" i="47" s="1"/>
  <c r="F19" i="32"/>
  <c r="E15" i="51" s="1"/>
  <c r="N7" i="47" s="1"/>
  <c r="I19" i="32"/>
  <c r="H15" i="51" s="1"/>
  <c r="N10" i="47" s="1"/>
  <c r="H23" i="32"/>
  <c r="G19" i="51" s="1"/>
  <c r="P9" i="47" s="1"/>
  <c r="H19" i="32"/>
  <c r="G15" i="51" s="1"/>
  <c r="N9" i="47" s="1"/>
  <c r="M19" i="32"/>
  <c r="G23" i="32"/>
  <c r="F19" i="51" s="1"/>
  <c r="P8" i="47" s="1"/>
  <c r="E19" i="32"/>
  <c r="F23" i="32"/>
  <c r="E19" i="51" s="1"/>
  <c r="P7" i="47" s="1"/>
  <c r="G19" i="32"/>
  <c r="F15" i="51" s="1"/>
  <c r="N8" i="47" s="1"/>
  <c r="C33" i="55"/>
  <c r="G32" i="55"/>
  <c r="L32" i="32"/>
  <c r="H28" i="32"/>
  <c r="G24" i="51" s="1"/>
  <c r="L16" i="32"/>
  <c r="P12" i="32"/>
  <c r="H12" i="32"/>
  <c r="G8" i="51" s="1"/>
  <c r="H32" i="32"/>
  <c r="G28" i="51" s="1"/>
  <c r="K28" i="32"/>
  <c r="J24" i="51" s="1"/>
  <c r="J16" i="32"/>
  <c r="I12" i="51" s="1"/>
  <c r="G28" i="47" s="1"/>
  <c r="H29" i="47" s="1"/>
  <c r="M12" i="32"/>
  <c r="G32" i="32"/>
  <c r="F28" i="51" s="1"/>
  <c r="I16" i="32"/>
  <c r="H12" i="51" s="1"/>
  <c r="G27" i="47" s="1"/>
  <c r="H28" i="47" s="1"/>
  <c r="L12" i="32"/>
  <c r="F32" i="32"/>
  <c r="E28" i="51" s="1"/>
  <c r="E20" i="32"/>
  <c r="D16" i="51" s="1"/>
  <c r="O6" i="47" s="1"/>
  <c r="H16" i="32"/>
  <c r="G12" i="51" s="1"/>
  <c r="G26" i="47" s="1"/>
  <c r="H27" i="47" s="1"/>
  <c r="K12" i="32"/>
  <c r="J8" i="51" s="1"/>
  <c r="M32" i="32"/>
  <c r="F28" i="32"/>
  <c r="E24" i="51" s="1"/>
  <c r="O16" i="32"/>
  <c r="F16" i="32"/>
  <c r="E12" i="51" s="1"/>
  <c r="G24" i="47" s="1"/>
  <c r="H25" i="47" s="1"/>
  <c r="I12" i="32"/>
  <c r="H8" i="51" s="1"/>
  <c r="J32" i="32"/>
  <c r="I28" i="51" s="1"/>
  <c r="O12" i="32"/>
  <c r="E32" i="32"/>
  <c r="D28" i="51" s="1"/>
  <c r="P16" i="32"/>
  <c r="I36" i="53" s="1"/>
  <c r="F12" i="32"/>
  <c r="E8" i="51" s="1"/>
  <c r="E12" i="32"/>
  <c r="I32" i="32"/>
  <c r="H28" i="51" s="1"/>
  <c r="N12" i="32"/>
  <c r="J12" i="32"/>
  <c r="I8" i="51" s="1"/>
  <c r="K16" i="32"/>
  <c r="J12" i="51" s="1"/>
  <c r="G29" i="47" s="1"/>
  <c r="H30" i="47" s="1"/>
  <c r="N28" i="32"/>
  <c r="N16" i="32"/>
  <c r="G12" i="32"/>
  <c r="M16" i="32"/>
  <c r="N32" i="32"/>
  <c r="G16" i="32"/>
  <c r="F12" i="51" s="1"/>
  <c r="G25" i="47" s="1"/>
  <c r="H26" i="47" s="1"/>
  <c r="K32" i="32"/>
  <c r="J28" i="51" s="1"/>
  <c r="E16" i="32"/>
  <c r="D12" i="51" s="1"/>
  <c r="G23" i="47" s="1"/>
  <c r="H24" i="47" s="1"/>
  <c r="AE21" i="46"/>
  <c r="C22" i="32"/>
  <c r="C14" i="32"/>
  <c r="C30" i="32"/>
  <c r="C26" i="32"/>
  <c r="C18" i="32"/>
  <c r="C34" i="32"/>
  <c r="C10" i="32"/>
  <c r="AE19" i="46"/>
  <c r="AE20" i="46"/>
  <c r="AN15" i="46"/>
  <c r="AO19" i="46"/>
  <c r="AM12" i="46"/>
  <c r="AO18" i="46"/>
  <c r="AN12" i="46"/>
  <c r="AM20" i="46"/>
  <c r="AO20" i="46"/>
  <c r="AO21" i="46"/>
  <c r="H47" i="42"/>
  <c r="G48" i="42"/>
  <c r="I46" i="42"/>
  <c r="AC12" i="46"/>
  <c r="AD12" i="46"/>
  <c r="AE17" i="46"/>
  <c r="AE18" i="46"/>
  <c r="AD13" i="46"/>
  <c r="AC13" i="46"/>
  <c r="AC14" i="46"/>
  <c r="AC15" i="46"/>
  <c r="AD15" i="46"/>
  <c r="AM14" i="46"/>
  <c r="AN14" i="46"/>
  <c r="AM15" i="46"/>
  <c r="AN16" i="46"/>
  <c r="AM16" i="46"/>
  <c r="AM13" i="46"/>
  <c r="AN13" i="46"/>
  <c r="AD14" i="46"/>
  <c r="N24" i="32"/>
  <c r="Q20" i="46"/>
  <c r="M24" i="32" s="1"/>
  <c r="Q19" i="46"/>
  <c r="Q18" i="46"/>
  <c r="K24" i="32" s="1"/>
  <c r="J20" i="51" s="1"/>
  <c r="Q17" i="46"/>
  <c r="J24" i="32" s="1"/>
  <c r="I20" i="51" s="1"/>
  <c r="Q16" i="46"/>
  <c r="I24" i="32" s="1"/>
  <c r="H20" i="51" s="1"/>
  <c r="Q15" i="46"/>
  <c r="H24" i="32" s="1"/>
  <c r="G20" i="51" s="1"/>
  <c r="Q14" i="46"/>
  <c r="G24" i="32" s="1"/>
  <c r="F20" i="51" s="1"/>
  <c r="Q13" i="46"/>
  <c r="F24" i="32" s="1"/>
  <c r="E20" i="51" s="1"/>
  <c r="Q12" i="46"/>
  <c r="E24" i="32" s="1"/>
  <c r="D20" i="51" s="1"/>
  <c r="Q6" i="47" s="1"/>
  <c r="N20" i="32"/>
  <c r="F20" i="46"/>
  <c r="M20" i="32" s="1"/>
  <c r="L20" i="32"/>
  <c r="F18" i="46"/>
  <c r="F17" i="46"/>
  <c r="J20" i="32" s="1"/>
  <c r="I16" i="51" s="1"/>
  <c r="I20" i="32"/>
  <c r="H16" i="51" s="1"/>
  <c r="F15" i="46"/>
  <c r="H20" i="32" s="1"/>
  <c r="G16" i="51" s="1"/>
  <c r="F14" i="46"/>
  <c r="G20" i="32" s="1"/>
  <c r="F16" i="51" s="1"/>
  <c r="F13" i="46"/>
  <c r="F20" i="32" s="1"/>
  <c r="E16" i="51" s="1"/>
  <c r="F12" i="46"/>
  <c r="AI25" i="29"/>
  <c r="AI24" i="29"/>
  <c r="AI23" i="29"/>
  <c r="AI22" i="29"/>
  <c r="AI21" i="29"/>
  <c r="AI20" i="29"/>
  <c r="AI19" i="29"/>
  <c r="AI18" i="29"/>
  <c r="AI17" i="29"/>
  <c r="AI16" i="29"/>
  <c r="AA16" i="29"/>
  <c r="AH35" i="29"/>
  <c r="N29" i="6"/>
  <c r="J29" i="6"/>
  <c r="AA25" i="29"/>
  <c r="AA24" i="29"/>
  <c r="AA23" i="29"/>
  <c r="AA22" i="29"/>
  <c r="AA21" i="29"/>
  <c r="AA20" i="29"/>
  <c r="AA19" i="29"/>
  <c r="AA18" i="29"/>
  <c r="AA17" i="29"/>
  <c r="S25" i="29"/>
  <c r="M31" i="32" s="1"/>
  <c r="S24" i="29"/>
  <c r="L31" i="32" s="1"/>
  <c r="S23" i="29"/>
  <c r="C69" i="59" s="1"/>
  <c r="E69" i="59" s="1"/>
  <c r="S22" i="29"/>
  <c r="K31" i="32" s="1"/>
  <c r="J27" i="51" s="1"/>
  <c r="T12" i="47" s="1"/>
  <c r="S21" i="29"/>
  <c r="J31" i="32" s="1"/>
  <c r="S20" i="29"/>
  <c r="I31" i="32" s="1"/>
  <c r="H27" i="51" s="1"/>
  <c r="T10" i="47" s="1"/>
  <c r="S19" i="29"/>
  <c r="H31" i="32" s="1"/>
  <c r="G27" i="51" s="1"/>
  <c r="T9" i="47" s="1"/>
  <c r="S18" i="29"/>
  <c r="G31" i="32" s="1"/>
  <c r="F27" i="51" s="1"/>
  <c r="T8" i="47" s="1"/>
  <c r="S17" i="29"/>
  <c r="F31" i="32" s="1"/>
  <c r="E27" i="51" s="1"/>
  <c r="T7" i="47" s="1"/>
  <c r="S16" i="29"/>
  <c r="E31" i="32" s="1"/>
  <c r="D27" i="51" s="1"/>
  <c r="T6" i="47" s="1"/>
  <c r="K25" i="29"/>
  <c r="C55" i="59" s="1"/>
  <c r="E55" i="59" s="1"/>
  <c r="K24" i="29"/>
  <c r="C54" i="59" s="1"/>
  <c r="E54" i="59" s="1"/>
  <c r="K23" i="29"/>
  <c r="C53" i="59" s="1"/>
  <c r="E53" i="59" s="1"/>
  <c r="K21" i="29"/>
  <c r="K22" i="29"/>
  <c r="C52" i="59" s="1"/>
  <c r="E52" i="59" s="1"/>
  <c r="K20" i="29"/>
  <c r="C50" i="59" s="1"/>
  <c r="E50" i="59" s="1"/>
  <c r="K19" i="29"/>
  <c r="C49" i="59" s="1"/>
  <c r="E49" i="59" s="1"/>
  <c r="K18" i="29"/>
  <c r="C48" i="59" s="1"/>
  <c r="E48" i="59" s="1"/>
  <c r="K17" i="29"/>
  <c r="C47" i="59" s="1"/>
  <c r="E47" i="59" s="1"/>
  <c r="K16" i="29"/>
  <c r="C46" i="59" s="1"/>
  <c r="E46" i="59" s="1"/>
  <c r="C25" i="29"/>
  <c r="C24" i="29"/>
  <c r="C39" i="59" s="1"/>
  <c r="E39" i="59" s="1"/>
  <c r="C23" i="29"/>
  <c r="C38" i="59" s="1"/>
  <c r="E38" i="59" s="1"/>
  <c r="C22" i="29"/>
  <c r="C37" i="59" s="1"/>
  <c r="E37" i="59" s="1"/>
  <c r="C21" i="29"/>
  <c r="C20" i="29"/>
  <c r="C35" i="59" s="1"/>
  <c r="E35" i="59" s="1"/>
  <c r="C19" i="29"/>
  <c r="C34" i="59" s="1"/>
  <c r="E34" i="59" s="1"/>
  <c r="C18" i="29"/>
  <c r="C33" i="59" s="1"/>
  <c r="E33" i="59" s="1"/>
  <c r="C17" i="29"/>
  <c r="C16" i="29"/>
  <c r="C31" i="59" s="1"/>
  <c r="E31" i="59" s="1"/>
  <c r="I18" i="6"/>
  <c r="I17" i="6"/>
  <c r="AL20" i="46" s="1"/>
  <c r="AN20" i="46" s="1"/>
  <c r="I16" i="6"/>
  <c r="AL19" i="46" s="1"/>
  <c r="AN19" i="46" s="1"/>
  <c r="I15" i="6"/>
  <c r="AL18" i="46" s="1"/>
  <c r="AN18" i="46" s="1"/>
  <c r="I14" i="6"/>
  <c r="AL17" i="46" s="1"/>
  <c r="AN17" i="46" s="1"/>
  <c r="I13" i="6"/>
  <c r="AL16" i="46" s="1"/>
  <c r="I12" i="6"/>
  <c r="AL15" i="46" s="1"/>
  <c r="I11" i="6"/>
  <c r="AL14" i="46" s="1"/>
  <c r="I10" i="6"/>
  <c r="AL13" i="46" s="1"/>
  <c r="I9" i="6"/>
  <c r="AL12" i="46" s="1"/>
  <c r="M18" i="6"/>
  <c r="N28" i="6" s="1"/>
  <c r="M17" i="6"/>
  <c r="O54" i="59" s="1"/>
  <c r="M16" i="6"/>
  <c r="M15" i="6"/>
  <c r="M14" i="6"/>
  <c r="M13" i="6"/>
  <c r="M12" i="6"/>
  <c r="M11" i="6"/>
  <c r="M10" i="6"/>
  <c r="M9" i="6"/>
  <c r="R12" i="46" s="1"/>
  <c r="AB20" i="46"/>
  <c r="AC20" i="46" s="1"/>
  <c r="O16" i="6"/>
  <c r="O69" i="59" s="1"/>
  <c r="P69" i="59" s="1"/>
  <c r="O15" i="6"/>
  <c r="O68" i="59" s="1"/>
  <c r="P68" i="59" s="1"/>
  <c r="O14" i="6"/>
  <c r="O67" i="59" s="1"/>
  <c r="P67" i="59" s="1"/>
  <c r="O13" i="6"/>
  <c r="O66" i="59" s="1"/>
  <c r="P66" i="59" s="1"/>
  <c r="O12" i="6"/>
  <c r="O11" i="6"/>
  <c r="O64" i="59" s="1"/>
  <c r="P64" i="59" s="1"/>
  <c r="O10" i="6"/>
  <c r="O63" i="59" s="1"/>
  <c r="P63" i="59" s="1"/>
  <c r="O9" i="6"/>
  <c r="K18" i="6"/>
  <c r="O40" i="59" s="1"/>
  <c r="K17" i="6"/>
  <c r="K16" i="6"/>
  <c r="K15" i="6"/>
  <c r="K14" i="6"/>
  <c r="K13" i="6"/>
  <c r="K12" i="6"/>
  <c r="K11" i="6"/>
  <c r="K10" i="6"/>
  <c r="K9" i="6"/>
  <c r="G9" i="6"/>
  <c r="G10" i="6"/>
  <c r="G11" i="6"/>
  <c r="G12" i="6"/>
  <c r="G13" i="6"/>
  <c r="G14" i="6"/>
  <c r="G15" i="6"/>
  <c r="G16" i="6"/>
  <c r="G17" i="6"/>
  <c r="G18" i="6"/>
  <c r="O7" i="6"/>
  <c r="M7" i="6"/>
  <c r="H32" i="55" l="1"/>
  <c r="D35" i="4" s="1"/>
  <c r="AD39" i="54"/>
  <c r="AD58" i="54" s="1"/>
  <c r="AC58" i="54"/>
  <c r="AC38" i="54"/>
  <c r="AB40" i="54"/>
  <c r="AB49" i="54" s="1"/>
  <c r="AB57" i="54"/>
  <c r="N16" i="6"/>
  <c r="AV20" i="46"/>
  <c r="F70" i="59"/>
  <c r="N14" i="6"/>
  <c r="Q69" i="59"/>
  <c r="Q70" i="59"/>
  <c r="AV13" i="46"/>
  <c r="F63" i="59"/>
  <c r="Q67" i="59"/>
  <c r="Q68" i="59"/>
  <c r="AV17" i="46"/>
  <c r="F67" i="59"/>
  <c r="AB12" i="46"/>
  <c r="O62" i="59"/>
  <c r="P62" i="59" s="1"/>
  <c r="Q63" i="59" s="1"/>
  <c r="AV16" i="46"/>
  <c r="F66" i="59"/>
  <c r="AV12" i="46"/>
  <c r="F62" i="59"/>
  <c r="AV15" i="46"/>
  <c r="F65" i="59"/>
  <c r="Q64" i="59"/>
  <c r="R21" i="46"/>
  <c r="T21" i="46" s="1"/>
  <c r="O55" i="59"/>
  <c r="AV21" i="46"/>
  <c r="F71" i="59"/>
  <c r="AV14" i="46"/>
  <c r="F64" i="59"/>
  <c r="AB15" i="46"/>
  <c r="O65" i="59"/>
  <c r="P65" i="59" s="1"/>
  <c r="Q65" i="59" s="1"/>
  <c r="C40" i="59"/>
  <c r="K20" i="32"/>
  <c r="J16" i="51" s="1"/>
  <c r="G45" i="47" s="1"/>
  <c r="J18" i="46"/>
  <c r="L24" i="32"/>
  <c r="E40" i="53" s="1"/>
  <c r="C51" i="59"/>
  <c r="E51" i="59" s="1"/>
  <c r="J15" i="32"/>
  <c r="C36" i="59"/>
  <c r="E36" i="59" s="1"/>
  <c r="J11" i="32"/>
  <c r="I27" i="51"/>
  <c r="G20" i="46"/>
  <c r="H20" i="46" s="1"/>
  <c r="O39" i="59"/>
  <c r="P39" i="59" s="1"/>
  <c r="Q40" i="59" s="1"/>
  <c r="AV19" i="46"/>
  <c r="F69" i="59"/>
  <c r="G69" i="59" s="1"/>
  <c r="G19" i="46"/>
  <c r="H19" i="46" s="1"/>
  <c r="O38" i="59"/>
  <c r="P38" i="59" s="1"/>
  <c r="AV18" i="46"/>
  <c r="F68" i="59"/>
  <c r="G18" i="46"/>
  <c r="H18" i="46" s="1"/>
  <c r="O37" i="59"/>
  <c r="P37" i="59" s="1"/>
  <c r="G17" i="46"/>
  <c r="H17" i="46" s="1"/>
  <c r="O36" i="59"/>
  <c r="P36" i="59" s="1"/>
  <c r="G16" i="46"/>
  <c r="H16" i="46" s="1"/>
  <c r="O35" i="59"/>
  <c r="P35" i="59" s="1"/>
  <c r="G15" i="46"/>
  <c r="O34" i="59"/>
  <c r="P34" i="59" s="1"/>
  <c r="G14" i="46"/>
  <c r="O33" i="59"/>
  <c r="P33" i="59" s="1"/>
  <c r="G13" i="46"/>
  <c r="O32" i="59"/>
  <c r="P32" i="59" s="1"/>
  <c r="G12" i="46"/>
  <c r="O31" i="59"/>
  <c r="P31" i="59" s="1"/>
  <c r="N15" i="6"/>
  <c r="AM17" i="46"/>
  <c r="AM18" i="46"/>
  <c r="AM19" i="46"/>
  <c r="F27" i="32"/>
  <c r="C63" i="59"/>
  <c r="E63" i="59" s="1"/>
  <c r="G27" i="32"/>
  <c r="C64" i="59"/>
  <c r="E64" i="59" s="1"/>
  <c r="G64" i="59" s="1"/>
  <c r="K11" i="32"/>
  <c r="I27" i="32"/>
  <c r="C66" i="59"/>
  <c r="E66" i="59" s="1"/>
  <c r="C67" i="59"/>
  <c r="E67" i="59" s="1"/>
  <c r="M27" i="32"/>
  <c r="C71" i="59"/>
  <c r="E71" i="59" s="1"/>
  <c r="G71" i="59" s="1"/>
  <c r="C32" i="59"/>
  <c r="E32" i="59" s="1"/>
  <c r="K27" i="32"/>
  <c r="C68" i="59"/>
  <c r="E68" i="59" s="1"/>
  <c r="K15" i="32"/>
  <c r="H27" i="32"/>
  <c r="C65" i="59"/>
  <c r="E65" i="59" s="1"/>
  <c r="G65" i="59" s="1"/>
  <c r="E27" i="32"/>
  <c r="C62" i="59"/>
  <c r="E62" i="59" s="1"/>
  <c r="L27" i="32"/>
  <c r="C70" i="59"/>
  <c r="E70" i="59" s="1"/>
  <c r="G70" i="59" s="1"/>
  <c r="F11" i="32"/>
  <c r="N11" i="32"/>
  <c r="H11" i="32"/>
  <c r="I11" i="32"/>
  <c r="G15" i="32"/>
  <c r="N15" i="32"/>
  <c r="M11" i="32"/>
  <c r="G11" i="32"/>
  <c r="F15" i="32"/>
  <c r="H15" i="32"/>
  <c r="I15" i="32"/>
  <c r="L11" i="32"/>
  <c r="E15" i="32"/>
  <c r="L15" i="32"/>
  <c r="M15" i="32"/>
  <c r="E11" i="32"/>
  <c r="E60" i="47"/>
  <c r="C34" i="55"/>
  <c r="G33" i="55"/>
  <c r="H33" i="55" s="1"/>
  <c r="D36" i="4" s="1"/>
  <c r="R17" i="46"/>
  <c r="T17" i="46" s="1"/>
  <c r="AB19" i="46"/>
  <c r="AB18" i="46"/>
  <c r="AD18" i="46" s="1"/>
  <c r="AB17" i="46"/>
  <c r="AD17" i="46" s="1"/>
  <c r="AB16" i="46"/>
  <c r="AB14" i="46"/>
  <c r="AB13" i="46"/>
  <c r="AB21" i="46"/>
  <c r="AC21" i="46" s="1"/>
  <c r="L28" i="32"/>
  <c r="E42" i="53" s="1"/>
  <c r="I28" i="32"/>
  <c r="H24" i="51" s="1"/>
  <c r="G75" i="47" s="1"/>
  <c r="M28" i="32"/>
  <c r="F42" i="53" s="1"/>
  <c r="G28" i="32"/>
  <c r="F24" i="51" s="1"/>
  <c r="G73" i="47" s="1"/>
  <c r="H74" i="47" s="1"/>
  <c r="J28" i="32"/>
  <c r="I24" i="51" s="1"/>
  <c r="G76" i="47" s="1"/>
  <c r="E28" i="32"/>
  <c r="D24" i="51" s="1"/>
  <c r="G21" i="46"/>
  <c r="N10" i="6"/>
  <c r="R13" i="46"/>
  <c r="N11" i="6"/>
  <c r="R14" i="46"/>
  <c r="AD20" i="46"/>
  <c r="AL21" i="46"/>
  <c r="R18" i="46"/>
  <c r="T18" i="46" s="1"/>
  <c r="N12" i="6"/>
  <c r="R15" i="46"/>
  <c r="N13" i="6"/>
  <c r="R16" i="46"/>
  <c r="T16" i="46" s="1"/>
  <c r="R19" i="46"/>
  <c r="T19" i="46" s="1"/>
  <c r="N17" i="6"/>
  <c r="R20" i="46"/>
  <c r="T20" i="46" s="1"/>
  <c r="D15" i="51"/>
  <c r="G59" i="47"/>
  <c r="G60" i="47"/>
  <c r="F38" i="53"/>
  <c r="L16" i="51"/>
  <c r="G40" i="47"/>
  <c r="H41" i="47" s="1"/>
  <c r="G41" i="47"/>
  <c r="H42" i="47" s="1"/>
  <c r="G55" i="47"/>
  <c r="H56" i="47" s="1"/>
  <c r="F40" i="53"/>
  <c r="L20" i="51"/>
  <c r="G56" i="47"/>
  <c r="H57" i="47" s="1"/>
  <c r="G43" i="47"/>
  <c r="G57" i="47"/>
  <c r="H58" i="47" s="1"/>
  <c r="G44" i="47"/>
  <c r="E61" i="47"/>
  <c r="B22" i="53"/>
  <c r="B18" i="51"/>
  <c r="E89" i="47"/>
  <c r="E91" i="47"/>
  <c r="G58" i="47"/>
  <c r="H59" i="47" s="1"/>
  <c r="G12" i="47"/>
  <c r="H13" i="47" s="1"/>
  <c r="H34" i="53"/>
  <c r="K31" i="51"/>
  <c r="E28" i="53"/>
  <c r="F44" i="53"/>
  <c r="L28" i="51"/>
  <c r="G28" i="53"/>
  <c r="M31" i="51"/>
  <c r="F34" i="53"/>
  <c r="L8" i="51"/>
  <c r="G46" i="53"/>
  <c r="M32" i="51"/>
  <c r="F28" i="53"/>
  <c r="L31" i="51"/>
  <c r="F36" i="53"/>
  <c r="L12" i="51"/>
  <c r="G31" i="47" s="1"/>
  <c r="H32" i="47" s="1"/>
  <c r="M24" i="51"/>
  <c r="G42" i="53"/>
  <c r="G91" i="47"/>
  <c r="E43" i="47"/>
  <c r="G11" i="47"/>
  <c r="H12" i="47" s="1"/>
  <c r="G13" i="47"/>
  <c r="H14" i="47" s="1"/>
  <c r="K32" i="51"/>
  <c r="E46" i="53"/>
  <c r="E34" i="53"/>
  <c r="K8" i="51"/>
  <c r="F46" i="53"/>
  <c r="L32" i="51"/>
  <c r="G10" i="47"/>
  <c r="H11" i="47" s="1"/>
  <c r="E44" i="53"/>
  <c r="K28" i="51"/>
  <c r="B6" i="51"/>
  <c r="B16" i="53"/>
  <c r="O7" i="38"/>
  <c r="E20" i="53"/>
  <c r="K15" i="51"/>
  <c r="N13" i="47" s="1"/>
  <c r="I34" i="53"/>
  <c r="B30" i="51"/>
  <c r="B28" i="53"/>
  <c r="E42" i="47"/>
  <c r="F20" i="53"/>
  <c r="L15" i="51"/>
  <c r="N14" i="47" s="1"/>
  <c r="E40" i="47"/>
  <c r="G92" i="47"/>
  <c r="H36" i="53"/>
  <c r="E44" i="47"/>
  <c r="G39" i="47"/>
  <c r="H40" i="47" s="1"/>
  <c r="E45" i="47"/>
  <c r="E58" i="47"/>
  <c r="E36" i="53"/>
  <c r="K12" i="51"/>
  <c r="G30" i="47" s="1"/>
  <c r="H31" i="47" s="1"/>
  <c r="D8" i="51"/>
  <c r="E38" i="53"/>
  <c r="K16" i="51"/>
  <c r="E57" i="47"/>
  <c r="G40" i="53"/>
  <c r="M20" i="51"/>
  <c r="B24" i="53"/>
  <c r="B22" i="51"/>
  <c r="G93" i="47"/>
  <c r="G44" i="53"/>
  <c r="M28" i="51"/>
  <c r="E22" i="53"/>
  <c r="K19" i="51"/>
  <c r="P13" i="47" s="1"/>
  <c r="G77" i="47"/>
  <c r="B26" i="53"/>
  <c r="B26" i="51"/>
  <c r="E59" i="47"/>
  <c r="L27" i="51"/>
  <c r="T14" i="47" s="1"/>
  <c r="F26" i="53"/>
  <c r="F8" i="51"/>
  <c r="G34" i="53"/>
  <c r="M8" i="51"/>
  <c r="E41" i="47"/>
  <c r="E88" i="47"/>
  <c r="E90" i="47"/>
  <c r="G72" i="47"/>
  <c r="H73" i="47" s="1"/>
  <c r="E93" i="47"/>
  <c r="G90" i="47"/>
  <c r="B20" i="53"/>
  <c r="B14" i="51"/>
  <c r="E87" i="47"/>
  <c r="G87" i="47"/>
  <c r="E56" i="47"/>
  <c r="G38" i="53"/>
  <c r="M16" i="51"/>
  <c r="G42" i="47"/>
  <c r="H43" i="47" s="1"/>
  <c r="G20" i="53"/>
  <c r="M15" i="51"/>
  <c r="N15" i="47" s="1"/>
  <c r="G61" i="47"/>
  <c r="E26" i="53"/>
  <c r="K27" i="51"/>
  <c r="T13" i="47" s="1"/>
  <c r="B18" i="53"/>
  <c r="B10" i="51"/>
  <c r="B21" i="47" s="1"/>
  <c r="M4" i="47" s="1"/>
  <c r="M20" i="47" s="1"/>
  <c r="E55" i="47"/>
  <c r="G36" i="53"/>
  <c r="M12" i="51"/>
  <c r="G32" i="47" s="1"/>
  <c r="H33" i="47" s="1"/>
  <c r="G8" i="47"/>
  <c r="H9" i="47" s="1"/>
  <c r="G88" i="47"/>
  <c r="G89" i="47"/>
  <c r="P7" i="38"/>
  <c r="G74" i="47"/>
  <c r="H75" i="47" s="1"/>
  <c r="F52" i="32"/>
  <c r="I47" i="42"/>
  <c r="I48" i="42" s="1"/>
  <c r="H48" i="42"/>
  <c r="U12" i="46"/>
  <c r="T12" i="46"/>
  <c r="S12" i="46"/>
  <c r="U13" i="46"/>
  <c r="T13" i="46"/>
  <c r="S13" i="46"/>
  <c r="U14" i="46"/>
  <c r="T14" i="46"/>
  <c r="S14" i="46"/>
  <c r="U15" i="46"/>
  <c r="S15" i="46"/>
  <c r="T15" i="46"/>
  <c r="U16" i="46"/>
  <c r="U17" i="46"/>
  <c r="U18" i="46"/>
  <c r="U19" i="46"/>
  <c r="J19" i="46"/>
  <c r="I12" i="46"/>
  <c r="H12" i="46"/>
  <c r="J20" i="46"/>
  <c r="J13" i="46"/>
  <c r="I13" i="46"/>
  <c r="H13" i="46"/>
  <c r="J14" i="46"/>
  <c r="I14" i="46"/>
  <c r="H14" i="46"/>
  <c r="J15" i="46"/>
  <c r="I15" i="46"/>
  <c r="H15" i="46"/>
  <c r="J16" i="46"/>
  <c r="I16" i="46"/>
  <c r="J17" i="46"/>
  <c r="J12" i="46"/>
  <c r="AO25" i="46"/>
  <c r="AE25" i="46"/>
  <c r="N18" i="6"/>
  <c r="R11" i="30"/>
  <c r="O11" i="30"/>
  <c r="L11" i="30"/>
  <c r="J11" i="30"/>
  <c r="H11" i="30"/>
  <c r="Z35" i="29"/>
  <c r="G71" i="47" l="1"/>
  <c r="H72" i="47" s="1"/>
  <c r="S6" i="47"/>
  <c r="E39" i="47"/>
  <c r="N6" i="47"/>
  <c r="E92" i="47"/>
  <c r="F92" i="47" s="1"/>
  <c r="T11" i="47"/>
  <c r="AD38" i="54"/>
  <c r="AC40" i="54"/>
  <c r="AC49" i="54" s="1"/>
  <c r="AC57" i="54"/>
  <c r="I17" i="46"/>
  <c r="C34" i="42"/>
  <c r="D35" i="42"/>
  <c r="E36" i="42"/>
  <c r="F37" i="42"/>
  <c r="G38" i="42"/>
  <c r="H39" i="42"/>
  <c r="H40" i="42" s="1"/>
  <c r="G63" i="59"/>
  <c r="H64" i="59" s="1"/>
  <c r="N20" i="6"/>
  <c r="G66" i="59"/>
  <c r="H66" i="59" s="1"/>
  <c r="J51" i="32"/>
  <c r="G62" i="59"/>
  <c r="Q66" i="59"/>
  <c r="Q72" i="59" s="1"/>
  <c r="G67" i="59"/>
  <c r="S19" i="46"/>
  <c r="K20" i="51"/>
  <c r="G62" i="47" s="1"/>
  <c r="I19" i="46"/>
  <c r="E40" i="59"/>
  <c r="Q33" i="59"/>
  <c r="Q39" i="59"/>
  <c r="H77" i="47"/>
  <c r="H76" i="47"/>
  <c r="Q32" i="59"/>
  <c r="Q36" i="59"/>
  <c r="Q34" i="59"/>
  <c r="Q38" i="59"/>
  <c r="I20" i="46"/>
  <c r="I18" i="46"/>
  <c r="G68" i="59"/>
  <c r="H70" i="59"/>
  <c r="Q37" i="59"/>
  <c r="Q41" i="59" s="1"/>
  <c r="Q35" i="59"/>
  <c r="AC19" i="46"/>
  <c r="AD19" i="46"/>
  <c r="AC18" i="46"/>
  <c r="AC17" i="46"/>
  <c r="AD21" i="46"/>
  <c r="AD16" i="46"/>
  <c r="AC16" i="46"/>
  <c r="F42" i="47"/>
  <c r="K24" i="51"/>
  <c r="G78" i="47" s="1"/>
  <c r="AM21" i="46"/>
  <c r="AM25" i="46" s="1"/>
  <c r="AK40" i="46" s="1"/>
  <c r="AN21" i="46"/>
  <c r="AN25" i="46" s="1"/>
  <c r="AL41" i="46" s="1"/>
  <c r="H71" i="59"/>
  <c r="I21" i="46"/>
  <c r="H21" i="46"/>
  <c r="H25" i="46" s="1"/>
  <c r="F41" i="46" s="1"/>
  <c r="J25" i="46"/>
  <c r="S17" i="46"/>
  <c r="H61" i="47"/>
  <c r="H65" i="59"/>
  <c r="H60" i="47"/>
  <c r="H45" i="47"/>
  <c r="H44" i="47"/>
  <c r="F56" i="47"/>
  <c r="F58" i="47"/>
  <c r="F59" i="47"/>
  <c r="F60" i="47"/>
  <c r="F43" i="47"/>
  <c r="F44" i="47"/>
  <c r="F57" i="47"/>
  <c r="F41" i="47"/>
  <c r="F40" i="47"/>
  <c r="F61" i="47"/>
  <c r="F45" i="47"/>
  <c r="C35" i="55"/>
  <c r="G34" i="55"/>
  <c r="L24" i="51"/>
  <c r="G79" i="47" s="1"/>
  <c r="T25" i="46"/>
  <c r="S18" i="46"/>
  <c r="S16" i="46"/>
  <c r="G52" i="32"/>
  <c r="E52" i="32"/>
  <c r="M22" i="6"/>
  <c r="M23" i="6" s="1"/>
  <c r="M35" i="6" s="1"/>
  <c r="M36" i="53"/>
  <c r="N36" i="53"/>
  <c r="N34" i="53"/>
  <c r="M34" i="53"/>
  <c r="B38" i="53"/>
  <c r="B42" i="53"/>
  <c r="B36" i="53"/>
  <c r="B44" i="53"/>
  <c r="B46" i="53"/>
  <c r="B34" i="53"/>
  <c r="B40" i="53"/>
  <c r="F90" i="47"/>
  <c r="H92" i="47"/>
  <c r="H88" i="47"/>
  <c r="H89" i="47"/>
  <c r="F91" i="47"/>
  <c r="E94" i="47"/>
  <c r="F94" i="47" s="1"/>
  <c r="G48" i="47"/>
  <c r="G94" i="47"/>
  <c r="G14" i="47"/>
  <c r="H15" i="47" s="1"/>
  <c r="L52" i="32"/>
  <c r="E48" i="47"/>
  <c r="H90" i="47"/>
  <c r="H93" i="47"/>
  <c r="E47" i="47"/>
  <c r="G15" i="47"/>
  <c r="H16" i="47" s="1"/>
  <c r="G47" i="47"/>
  <c r="J52" i="32"/>
  <c r="F88" i="47"/>
  <c r="E95" i="47"/>
  <c r="B69" i="47"/>
  <c r="R4" i="47" s="1"/>
  <c r="P20" i="47" s="1"/>
  <c r="K5" i="38"/>
  <c r="O5" i="38"/>
  <c r="G80" i="47"/>
  <c r="F48" i="53"/>
  <c r="I52" i="32"/>
  <c r="G46" i="47"/>
  <c r="T34" i="53"/>
  <c r="S34" i="53"/>
  <c r="E46" i="47"/>
  <c r="E48" i="53"/>
  <c r="G5" i="38"/>
  <c r="B37" i="47"/>
  <c r="N4" i="47" s="1"/>
  <c r="N20" i="47" s="1"/>
  <c r="G16" i="47"/>
  <c r="H17" i="47" s="1"/>
  <c r="G48" i="53"/>
  <c r="K52" i="32"/>
  <c r="F93" i="47"/>
  <c r="B85" i="47"/>
  <c r="T4" i="47" s="1"/>
  <c r="Q20" i="47" s="1"/>
  <c r="M5" i="38"/>
  <c r="G64" i="47"/>
  <c r="H91" i="47"/>
  <c r="G95" i="47"/>
  <c r="F89" i="47"/>
  <c r="G63" i="47"/>
  <c r="N52" i="32"/>
  <c r="M52" i="32"/>
  <c r="E5" i="38"/>
  <c r="G96" i="47"/>
  <c r="G7" i="47"/>
  <c r="H8" i="47" s="1"/>
  <c r="G9" i="47"/>
  <c r="H10" i="47" s="1"/>
  <c r="E62" i="47"/>
  <c r="B5" i="47"/>
  <c r="L4" i="47" s="1"/>
  <c r="L20" i="47" s="1"/>
  <c r="C5" i="38"/>
  <c r="B53" i="47"/>
  <c r="P4" i="47" s="1"/>
  <c r="O20" i="47" s="1"/>
  <c r="I5" i="38"/>
  <c r="H52" i="32"/>
  <c r="M34" i="6"/>
  <c r="N35" i="6"/>
  <c r="N34" i="6"/>
  <c r="B119" i="52"/>
  <c r="B117" i="52"/>
  <c r="H34" i="55" l="1"/>
  <c r="D37" i="4" s="1"/>
  <c r="I39" i="42"/>
  <c r="P41" i="59"/>
  <c r="P42" i="59" s="1"/>
  <c r="AD40" i="54"/>
  <c r="AD49" i="54" s="1"/>
  <c r="AD57" i="54"/>
  <c r="I36" i="42"/>
  <c r="E40" i="42"/>
  <c r="D40" i="42"/>
  <c r="I35" i="42"/>
  <c r="G40" i="42"/>
  <c r="I38" i="42"/>
  <c r="I37" i="42"/>
  <c r="F40" i="42"/>
  <c r="C40" i="42"/>
  <c r="I34" i="42"/>
  <c r="H63" i="59"/>
  <c r="H67" i="59"/>
  <c r="P72" i="59"/>
  <c r="P73" i="59" s="1"/>
  <c r="H68" i="59"/>
  <c r="I25" i="46"/>
  <c r="G40" i="46" s="1"/>
  <c r="H79" i="47"/>
  <c r="H78" i="47"/>
  <c r="H80" i="47"/>
  <c r="H69" i="59"/>
  <c r="AC25" i="46"/>
  <c r="AA40" i="46" s="1"/>
  <c r="AD25" i="46"/>
  <c r="AB40" i="46" s="1"/>
  <c r="AK41" i="46"/>
  <c r="AL40" i="46"/>
  <c r="H48" i="47"/>
  <c r="H64" i="47"/>
  <c r="F47" i="47"/>
  <c r="H63" i="47"/>
  <c r="H62" i="47"/>
  <c r="H47" i="47"/>
  <c r="H46" i="47"/>
  <c r="F46" i="47"/>
  <c r="F62" i="47"/>
  <c r="F48" i="47"/>
  <c r="C36" i="55"/>
  <c r="G35" i="55"/>
  <c r="H35" i="55" s="1"/>
  <c r="D38" i="4" s="1"/>
  <c r="AA38" i="29"/>
  <c r="AA37" i="29"/>
  <c r="O34" i="53"/>
  <c r="O36" i="53"/>
  <c r="N12" i="51" s="1"/>
  <c r="F95" i="47"/>
  <c r="U34" i="53"/>
  <c r="O8" i="51" s="1"/>
  <c r="E84" i="62" s="1"/>
  <c r="H96" i="47"/>
  <c r="H95" i="47"/>
  <c r="H94" i="47"/>
  <c r="F40" i="46"/>
  <c r="R40" i="46"/>
  <c r="R41" i="46"/>
  <c r="G33" i="47" l="1"/>
  <c r="H34" i="47" s="1"/>
  <c r="D88" i="62"/>
  <c r="H72" i="59"/>
  <c r="F11" i="59" s="1"/>
  <c r="F19" i="59" s="1"/>
  <c r="I40" i="42"/>
  <c r="G41" i="46"/>
  <c r="AA41" i="46"/>
  <c r="AB41" i="46"/>
  <c r="C37" i="55"/>
  <c r="G36" i="55"/>
  <c r="H36" i="55" s="1"/>
  <c r="D39" i="4" s="1"/>
  <c r="N8" i="51"/>
  <c r="G18" i="47"/>
  <c r="K10" i="4"/>
  <c r="G17" i="47" l="1"/>
  <c r="H18" i="47" s="1"/>
  <c r="D84" i="62"/>
  <c r="F12" i="59"/>
  <c r="F20" i="59" s="1"/>
  <c r="C38" i="55"/>
  <c r="G37" i="55"/>
  <c r="H37" i="55" s="1"/>
  <c r="D40" i="4" s="1"/>
  <c r="L10" i="4"/>
  <c r="F84" i="62" l="1"/>
  <c r="C39" i="55"/>
  <c r="G38" i="55"/>
  <c r="H38" i="55" s="1"/>
  <c r="D41" i="4" s="1"/>
  <c r="M10" i="4"/>
  <c r="N10" i="4"/>
  <c r="M11" i="4"/>
  <c r="N11" i="4"/>
  <c r="M12" i="4"/>
  <c r="N12" i="4"/>
  <c r="M13" i="4"/>
  <c r="N13" i="4"/>
  <c r="M14" i="4"/>
  <c r="N14" i="4"/>
  <c r="M15" i="4"/>
  <c r="N15" i="4"/>
  <c r="M16" i="4"/>
  <c r="N16" i="4"/>
  <c r="M17" i="4"/>
  <c r="N17" i="4"/>
  <c r="M18" i="4"/>
  <c r="N18" i="4"/>
  <c r="M19" i="4"/>
  <c r="N19" i="4"/>
  <c r="M20" i="4"/>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C40" i="55" l="1"/>
  <c r="G40" i="55" s="1"/>
  <c r="G39" i="55"/>
  <c r="H39" i="55" s="1"/>
  <c r="D42" i="4" s="1"/>
  <c r="D169" i="4"/>
  <c r="C169" i="4"/>
  <c r="C167" i="4"/>
  <c r="D167" i="4"/>
  <c r="C168" i="4"/>
  <c r="D168" i="4"/>
  <c r="J28" i="6"/>
  <c r="C41" i="55" l="1"/>
  <c r="H40" i="55"/>
  <c r="D43" i="4" s="1"/>
  <c r="C42" i="55" l="1"/>
  <c r="G41" i="55"/>
  <c r="H41" i="55" s="1"/>
  <c r="D44" i="4" s="1"/>
  <c r="J18" i="6"/>
  <c r="J17" i="6"/>
  <c r="J16" i="6"/>
  <c r="J15" i="6"/>
  <c r="J14" i="6"/>
  <c r="J13" i="6"/>
  <c r="J12" i="6"/>
  <c r="J11" i="6"/>
  <c r="J10" i="6"/>
  <c r="E14" i="6"/>
  <c r="F51" i="59" s="1"/>
  <c r="G51" i="59" s="1"/>
  <c r="C14" i="6"/>
  <c r="F36" i="59" s="1"/>
  <c r="G36" i="59" s="1"/>
  <c r="J20" i="6" l="1"/>
  <c r="D42" i="55"/>
  <c r="C43" i="55" s="1"/>
  <c r="G42" i="55"/>
  <c r="E42" i="55"/>
  <c r="X14" i="6"/>
  <c r="H42" i="55" l="1"/>
  <c r="D45" i="4" s="1"/>
  <c r="D81" i="59"/>
  <c r="E81" i="59" s="1"/>
  <c r="G43" i="55"/>
  <c r="C44" i="55"/>
  <c r="J35" i="6"/>
  <c r="J34" i="6"/>
  <c r="AI37" i="29"/>
  <c r="AI38" i="29"/>
  <c r="H43" i="55" l="1"/>
  <c r="D46" i="4" s="1"/>
  <c r="J46" i="4" s="1"/>
  <c r="C45" i="55"/>
  <c r="G44" i="55"/>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B118" i="52"/>
  <c r="B116" i="52"/>
  <c r="B115" i="52"/>
  <c r="B114" i="52"/>
  <c r="B30" i="52"/>
  <c r="B53" i="52" s="1"/>
  <c r="B67" i="52" s="1"/>
  <c r="B81" i="52" s="1"/>
  <c r="B95" i="52" s="1"/>
  <c r="B109" i="52" s="1"/>
  <c r="B14" i="52"/>
  <c r="B37" i="52" s="1"/>
  <c r="B12" i="52"/>
  <c r="B35" i="52" s="1"/>
  <c r="B19" i="52"/>
  <c r="B42" i="52" s="1"/>
  <c r="B17" i="52"/>
  <c r="B40" i="52" s="1"/>
  <c r="B16" i="52"/>
  <c r="B39" i="52" s="1"/>
  <c r="B13" i="52"/>
  <c r="B36" i="52" s="1"/>
  <c r="B15" i="52"/>
  <c r="B38" i="52" s="1"/>
  <c r="B18" i="52"/>
  <c r="B41" i="52" s="1"/>
  <c r="B20" i="52"/>
  <c r="B43" i="52" s="1"/>
  <c r="B26" i="52"/>
  <c r="B49" i="52" s="1"/>
  <c r="B63" i="52" s="1"/>
  <c r="B77" i="52" s="1"/>
  <c r="B91" i="52" s="1"/>
  <c r="B105" i="52" s="1"/>
  <c r="B28" i="52"/>
  <c r="B51" i="52" s="1"/>
  <c r="B65" i="52" s="1"/>
  <c r="B79" i="52" s="1"/>
  <c r="B93" i="52" s="1"/>
  <c r="B107" i="52" s="1"/>
  <c r="B27" i="52"/>
  <c r="B50" i="52" s="1"/>
  <c r="B64" i="52" s="1"/>
  <c r="B78" i="52" s="1"/>
  <c r="B92" i="52" s="1"/>
  <c r="B106" i="52" s="1"/>
  <c r="B29" i="52"/>
  <c r="B52" i="52" s="1"/>
  <c r="B66" i="52" s="1"/>
  <c r="B80" i="52" s="1"/>
  <c r="B94" i="52" s="1"/>
  <c r="B108" i="52" s="1"/>
  <c r="B25" i="52"/>
  <c r="B48" i="52" s="1"/>
  <c r="B62" i="52" s="1"/>
  <c r="B76" i="52" s="1"/>
  <c r="B90" i="52" s="1"/>
  <c r="B104" i="52" s="1"/>
  <c r="B24" i="52"/>
  <c r="B47" i="52" s="1"/>
  <c r="B61" i="52" s="1"/>
  <c r="B75" i="52" s="1"/>
  <c r="B89" i="52" s="1"/>
  <c r="B103" i="52" s="1"/>
  <c r="B23" i="52"/>
  <c r="B46" i="52" s="1"/>
  <c r="B60" i="52" s="1"/>
  <c r="B74" i="52" s="1"/>
  <c r="B88" i="52" s="1"/>
  <c r="B102" i="52" s="1"/>
  <c r="B22" i="52"/>
  <c r="B45" i="52" s="1"/>
  <c r="B59" i="52" s="1"/>
  <c r="B73" i="52" s="1"/>
  <c r="B87" i="52" s="1"/>
  <c r="B101" i="52" s="1"/>
  <c r="B21" i="52"/>
  <c r="B44" i="52" s="1"/>
  <c r="B58" i="52" s="1"/>
  <c r="B72" i="52" s="1"/>
  <c r="Z21" i="52"/>
  <c r="Z22" i="52"/>
  <c r="Z23" i="52"/>
  <c r="Z24" i="52"/>
  <c r="Z25" i="52"/>
  <c r="V38" i="4" l="1"/>
  <c r="AC6" i="60"/>
  <c r="V37" i="4"/>
  <c r="AC5" i="60"/>
  <c r="AD5" i="60" s="1"/>
  <c r="H44" i="55"/>
  <c r="D47" i="4" s="1"/>
  <c r="J47" i="4" s="1"/>
  <c r="C46" i="55"/>
  <c r="G45" i="55"/>
  <c r="H50" i="46"/>
  <c r="H51" i="46"/>
  <c r="B86" i="52"/>
  <c r="B100" i="52" s="1"/>
  <c r="D16" i="29"/>
  <c r="F16" i="29" s="1"/>
  <c r="K11" i="4"/>
  <c r="AD6" i="60" l="1"/>
  <c r="W38" i="4"/>
  <c r="V50" i="4"/>
  <c r="V49" i="4"/>
  <c r="W37" i="4"/>
  <c r="H45" i="55"/>
  <c r="D48" i="4" s="1"/>
  <c r="J48" i="4" s="1"/>
  <c r="C47" i="55"/>
  <c r="G46" i="55"/>
  <c r="L16" i="29"/>
  <c r="B34" i="51"/>
  <c r="B38" i="51"/>
  <c r="B42" i="51"/>
  <c r="B38" i="32"/>
  <c r="B42" i="32"/>
  <c r="B46" i="32"/>
  <c r="B35" i="29"/>
  <c r="J35" i="29"/>
  <c r="R35" i="29"/>
  <c r="O10" i="4"/>
  <c r="O11" i="4"/>
  <c r="K12" i="4"/>
  <c r="O12" i="4"/>
  <c r="K13" i="4"/>
  <c r="O13" i="4"/>
  <c r="K14" i="4"/>
  <c r="O14" i="4"/>
  <c r="K15" i="4"/>
  <c r="O15" i="4"/>
  <c r="K16" i="4"/>
  <c r="O16" i="4"/>
  <c r="K17" i="4"/>
  <c r="O17" i="4"/>
  <c r="K18" i="4"/>
  <c r="O18" i="4"/>
  <c r="K19" i="4"/>
  <c r="O19" i="4"/>
  <c r="K20" i="4"/>
  <c r="O20" i="4"/>
  <c r="K21" i="4"/>
  <c r="O21" i="4"/>
  <c r="K22" i="4"/>
  <c r="O22" i="4"/>
  <c r="K23" i="4"/>
  <c r="O23" i="4"/>
  <c r="K24" i="4"/>
  <c r="O24" i="4"/>
  <c r="K25" i="4"/>
  <c r="O25" i="4"/>
  <c r="K26" i="4"/>
  <c r="O26" i="4"/>
  <c r="K27" i="4"/>
  <c r="O27" i="4"/>
  <c r="K28" i="4"/>
  <c r="O28" i="4"/>
  <c r="K29" i="4"/>
  <c r="O29" i="4"/>
  <c r="K30" i="4"/>
  <c r="O30" i="4"/>
  <c r="K31" i="4"/>
  <c r="O31" i="4"/>
  <c r="K32" i="4"/>
  <c r="O32" i="4"/>
  <c r="K33" i="4"/>
  <c r="O33" i="4"/>
  <c r="K34" i="4"/>
  <c r="O34" i="4"/>
  <c r="K35" i="4"/>
  <c r="O35" i="4"/>
  <c r="K36" i="4"/>
  <c r="O36" i="4"/>
  <c r="K37" i="4"/>
  <c r="O37" i="4"/>
  <c r="K38" i="4"/>
  <c r="O38" i="4"/>
  <c r="K39" i="4"/>
  <c r="O39" i="4"/>
  <c r="K40" i="4"/>
  <c r="O40" i="4"/>
  <c r="K41" i="4"/>
  <c r="O41" i="4"/>
  <c r="K42" i="4"/>
  <c r="O42" i="4"/>
  <c r="K43" i="4"/>
  <c r="O43" i="4"/>
  <c r="K44" i="4"/>
  <c r="O44" i="4"/>
  <c r="K45" i="4"/>
  <c r="O45" i="4"/>
  <c r="K46" i="4"/>
  <c r="O46" i="4"/>
  <c r="K47" i="4"/>
  <c r="O47" i="4"/>
  <c r="K48" i="4"/>
  <c r="O48" i="4"/>
  <c r="K49" i="4"/>
  <c r="O49" i="4"/>
  <c r="K50" i="4"/>
  <c r="O50" i="4"/>
  <c r="K51" i="4"/>
  <c r="O51" i="4"/>
  <c r="K52" i="4"/>
  <c r="O52" i="4"/>
  <c r="K53" i="4"/>
  <c r="O53" i="4"/>
  <c r="K54" i="4"/>
  <c r="O54" i="4"/>
  <c r="K55" i="4"/>
  <c r="O55" i="4"/>
  <c r="K56" i="4"/>
  <c r="O56" i="4"/>
  <c r="K57" i="4"/>
  <c r="O57" i="4"/>
  <c r="K58" i="4"/>
  <c r="O58" i="4"/>
  <c r="K59" i="4"/>
  <c r="O59" i="4"/>
  <c r="K60" i="4"/>
  <c r="O60" i="4"/>
  <c r="K61" i="4"/>
  <c r="O61" i="4"/>
  <c r="K62" i="4"/>
  <c r="O62" i="4"/>
  <c r="K63" i="4"/>
  <c r="O63" i="4"/>
  <c r="K64" i="4"/>
  <c r="O64" i="4"/>
  <c r="K65" i="4"/>
  <c r="O65" i="4"/>
  <c r="K66" i="4"/>
  <c r="O66" i="4"/>
  <c r="K67" i="4"/>
  <c r="O67" i="4"/>
  <c r="K68" i="4"/>
  <c r="O68" i="4"/>
  <c r="K69" i="4"/>
  <c r="O69" i="4"/>
  <c r="K70" i="4"/>
  <c r="O70" i="4"/>
  <c r="K71" i="4"/>
  <c r="O71" i="4"/>
  <c r="K72" i="4"/>
  <c r="O72" i="4"/>
  <c r="K73" i="4"/>
  <c r="O73" i="4"/>
  <c r="K74" i="4"/>
  <c r="O74" i="4"/>
  <c r="K75" i="4"/>
  <c r="O75" i="4"/>
  <c r="K76" i="4"/>
  <c r="O76" i="4"/>
  <c r="K77" i="4"/>
  <c r="O77" i="4"/>
  <c r="K78" i="4"/>
  <c r="O78" i="4"/>
  <c r="K79" i="4"/>
  <c r="O79" i="4"/>
  <c r="K80" i="4"/>
  <c r="O80" i="4"/>
  <c r="K81" i="4"/>
  <c r="O81" i="4"/>
  <c r="K82" i="4"/>
  <c r="O82" i="4"/>
  <c r="K83" i="4"/>
  <c r="O83" i="4"/>
  <c r="K84" i="4"/>
  <c r="O84" i="4"/>
  <c r="K85" i="4"/>
  <c r="O85" i="4"/>
  <c r="K86" i="4"/>
  <c r="O86" i="4"/>
  <c r="K87" i="4"/>
  <c r="O87" i="4"/>
  <c r="K88" i="4"/>
  <c r="O88" i="4"/>
  <c r="K89" i="4"/>
  <c r="O89" i="4"/>
  <c r="K90" i="4"/>
  <c r="O90" i="4"/>
  <c r="K91" i="4"/>
  <c r="O91" i="4"/>
  <c r="K92" i="4"/>
  <c r="O92" i="4"/>
  <c r="K93" i="4"/>
  <c r="O93" i="4"/>
  <c r="K94" i="4"/>
  <c r="O94" i="4"/>
  <c r="K95" i="4"/>
  <c r="O95" i="4"/>
  <c r="K96" i="4"/>
  <c r="O96" i="4"/>
  <c r="K97" i="4"/>
  <c r="O97" i="4"/>
  <c r="K98" i="4"/>
  <c r="O98" i="4"/>
  <c r="K99" i="4"/>
  <c r="O99" i="4"/>
  <c r="K100" i="4"/>
  <c r="O100" i="4"/>
  <c r="K101" i="4"/>
  <c r="O101" i="4"/>
  <c r="K102" i="4"/>
  <c r="O102" i="4"/>
  <c r="K103" i="4"/>
  <c r="O103" i="4"/>
  <c r="K104" i="4"/>
  <c r="O104" i="4"/>
  <c r="K105" i="4"/>
  <c r="O105" i="4"/>
  <c r="K106" i="4"/>
  <c r="O106" i="4"/>
  <c r="K107" i="4"/>
  <c r="O107" i="4"/>
  <c r="K108" i="4"/>
  <c r="O108" i="4"/>
  <c r="K109" i="4"/>
  <c r="O109" i="4"/>
  <c r="K110" i="4"/>
  <c r="O110" i="4"/>
  <c r="K111" i="4"/>
  <c r="O111" i="4"/>
  <c r="K112" i="4"/>
  <c r="O112" i="4"/>
  <c r="K113" i="4"/>
  <c r="O113" i="4"/>
  <c r="K114" i="4"/>
  <c r="O114" i="4"/>
  <c r="K115" i="4"/>
  <c r="O115" i="4"/>
  <c r="K116" i="4"/>
  <c r="O116" i="4"/>
  <c r="K117" i="4"/>
  <c r="O117" i="4"/>
  <c r="K118" i="4"/>
  <c r="K119" i="4"/>
  <c r="O119" i="4"/>
  <c r="K120" i="4"/>
  <c r="O120" i="4"/>
  <c r="K121" i="4"/>
  <c r="O121" i="4"/>
  <c r="K122" i="4"/>
  <c r="O122" i="4"/>
  <c r="K123" i="4"/>
  <c r="O123" i="4"/>
  <c r="K124" i="4"/>
  <c r="O124" i="4"/>
  <c r="K125" i="4"/>
  <c r="O125" i="4"/>
  <c r="K126" i="4"/>
  <c r="O126" i="4"/>
  <c r="K127" i="4"/>
  <c r="O127" i="4"/>
  <c r="K128" i="4"/>
  <c r="O128" i="4"/>
  <c r="K129" i="4"/>
  <c r="N130" i="4" s="1"/>
  <c r="O129" i="4"/>
  <c r="C7" i="6"/>
  <c r="E7" i="6"/>
  <c r="G7" i="6"/>
  <c r="I7" i="6"/>
  <c r="K7" i="6"/>
  <c r="Q7" i="6"/>
  <c r="S7" i="6"/>
  <c r="U7" i="6"/>
  <c r="B9" i="6"/>
  <c r="B16" i="29" s="1"/>
  <c r="C9" i="6"/>
  <c r="E9" i="6"/>
  <c r="Q9" i="6"/>
  <c r="S9" i="6"/>
  <c r="U9" i="6"/>
  <c r="B10" i="6"/>
  <c r="C10" i="6"/>
  <c r="E10" i="6"/>
  <c r="H10" i="6"/>
  <c r="Q10" i="6"/>
  <c r="S10" i="6"/>
  <c r="U10" i="6"/>
  <c r="B11" i="6"/>
  <c r="C11" i="6"/>
  <c r="F33" i="59" s="1"/>
  <c r="G33" i="59" s="1"/>
  <c r="E11" i="6"/>
  <c r="F48" i="59" s="1"/>
  <c r="G48" i="59" s="1"/>
  <c r="P11" i="6"/>
  <c r="Q11" i="6"/>
  <c r="S11" i="6"/>
  <c r="U11" i="6"/>
  <c r="B12" i="6"/>
  <c r="U51" i="4" s="1"/>
  <c r="C12" i="6"/>
  <c r="F34" i="59" s="1"/>
  <c r="G34" i="59" s="1"/>
  <c r="E12" i="6"/>
  <c r="F49" i="59" s="1"/>
  <c r="G49" i="59" s="1"/>
  <c r="Q12" i="6"/>
  <c r="S12" i="6"/>
  <c r="U12" i="6"/>
  <c r="B13" i="6"/>
  <c r="B20" i="29" s="1"/>
  <c r="C13" i="6"/>
  <c r="F35" i="59" s="1"/>
  <c r="G35" i="59" s="1"/>
  <c r="E13" i="6"/>
  <c r="F50" i="59" s="1"/>
  <c r="G50" i="59" s="1"/>
  <c r="L14" i="6"/>
  <c r="Q13" i="6"/>
  <c r="S13" i="6"/>
  <c r="U13" i="6"/>
  <c r="B14" i="6"/>
  <c r="Q14" i="6"/>
  <c r="S14" i="6"/>
  <c r="U14" i="6"/>
  <c r="B15" i="6"/>
  <c r="C15" i="6"/>
  <c r="F37" i="59" s="1"/>
  <c r="G37" i="59" s="1"/>
  <c r="H37" i="59" s="1"/>
  <c r="E15" i="6"/>
  <c r="F52" i="59" s="1"/>
  <c r="G52" i="59" s="1"/>
  <c r="H52" i="59" s="1"/>
  <c r="Q15" i="6"/>
  <c r="S15" i="6"/>
  <c r="U15" i="6"/>
  <c r="B16" i="6"/>
  <c r="C16" i="6"/>
  <c r="F38" i="59" s="1"/>
  <c r="G38" i="59" s="1"/>
  <c r="E16" i="6"/>
  <c r="F53" i="59" s="1"/>
  <c r="G53" i="59" s="1"/>
  <c r="Q16" i="6"/>
  <c r="S16" i="6"/>
  <c r="U16" i="6"/>
  <c r="B17" i="6"/>
  <c r="B20" i="46" s="1"/>
  <c r="C17" i="6"/>
  <c r="F39" i="59" s="1"/>
  <c r="G39" i="59" s="1"/>
  <c r="E17" i="6"/>
  <c r="F54" i="59" s="1"/>
  <c r="G54" i="59" s="1"/>
  <c r="Q17" i="6"/>
  <c r="S17" i="6"/>
  <c r="U17" i="6"/>
  <c r="B18" i="6"/>
  <c r="C18" i="6"/>
  <c r="F40" i="59" s="1"/>
  <c r="G40" i="59" s="1"/>
  <c r="E18" i="6"/>
  <c r="Q18" i="6"/>
  <c r="R28" i="6" s="1"/>
  <c r="S18" i="6"/>
  <c r="U18" i="6"/>
  <c r="V28" i="6" s="1"/>
  <c r="B22" i="6"/>
  <c r="B23" i="6"/>
  <c r="B28" i="6"/>
  <c r="B29" i="6"/>
  <c r="R29" i="6"/>
  <c r="T29" i="6"/>
  <c r="V29" i="6"/>
  <c r="D11" i="30"/>
  <c r="F11" i="30"/>
  <c r="U11" i="30"/>
  <c r="W11" i="30"/>
  <c r="Y11" i="30"/>
  <c r="AA11"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105" i="30"/>
  <c r="B106" i="30"/>
  <c r="B107" i="30"/>
  <c r="B108" i="30"/>
  <c r="B109" i="30"/>
  <c r="B110" i="30"/>
  <c r="B111" i="30"/>
  <c r="B112" i="30"/>
  <c r="B113" i="30"/>
  <c r="B114" i="30"/>
  <c r="B115" i="30"/>
  <c r="B116" i="30"/>
  <c r="B117" i="30"/>
  <c r="B118" i="30"/>
  <c r="B119" i="30"/>
  <c r="B120" i="30"/>
  <c r="B121" i="30"/>
  <c r="B122" i="30"/>
  <c r="B123" i="30"/>
  <c r="B124" i="30"/>
  <c r="B125" i="30"/>
  <c r="B126" i="30"/>
  <c r="B127" i="30"/>
  <c r="B128" i="30"/>
  <c r="B129" i="30"/>
  <c r="B130" i="30"/>
  <c r="B131" i="30"/>
  <c r="B132" i="30"/>
  <c r="B133" i="30"/>
  <c r="B134" i="30"/>
  <c r="B135" i="30"/>
  <c r="B136" i="30"/>
  <c r="B137" i="30"/>
  <c r="B138" i="30"/>
  <c r="B139" i="30"/>
  <c r="B140" i="30"/>
  <c r="B141" i="30"/>
  <c r="B142" i="30"/>
  <c r="B143" i="30"/>
  <c r="B144" i="30"/>
  <c r="B145" i="30"/>
  <c r="B146" i="30"/>
  <c r="B147" i="30"/>
  <c r="B148" i="30"/>
  <c r="B149" i="30"/>
  <c r="B150" i="30"/>
  <c r="B151" i="30"/>
  <c r="B152" i="30"/>
  <c r="B153" i="30"/>
  <c r="B154" i="30"/>
  <c r="B155" i="30"/>
  <c r="B156" i="30"/>
  <c r="B157" i="30"/>
  <c r="B158" i="30"/>
  <c r="B159" i="30"/>
  <c r="B143" i="4" l="1"/>
  <c r="B143" i="57"/>
  <c r="B103" i="4"/>
  <c r="B103" i="57"/>
  <c r="B71" i="4"/>
  <c r="B71" i="57"/>
  <c r="B39" i="4"/>
  <c r="B39" i="57"/>
  <c r="B23" i="4"/>
  <c r="B23" i="57"/>
  <c r="B150" i="4"/>
  <c r="B150" i="57"/>
  <c r="B118" i="4"/>
  <c r="B118" i="57"/>
  <c r="B86" i="4"/>
  <c r="B86" i="57"/>
  <c r="B54" i="4"/>
  <c r="B54" i="57"/>
  <c r="B22" i="4"/>
  <c r="B22" i="57"/>
  <c r="B153" i="4"/>
  <c r="B153" i="57"/>
  <c r="B145" i="4"/>
  <c r="B145" i="57"/>
  <c r="B137" i="4"/>
  <c r="B137" i="57"/>
  <c r="B129" i="4"/>
  <c r="B129" i="57"/>
  <c r="B121" i="4"/>
  <c r="B121" i="57"/>
  <c r="B113" i="4"/>
  <c r="B113" i="57"/>
  <c r="B105" i="4"/>
  <c r="B105" i="57"/>
  <c r="B97" i="4"/>
  <c r="B97" i="57"/>
  <c r="B89" i="4"/>
  <c r="B89" i="57"/>
  <c r="B81" i="4"/>
  <c r="B81" i="57"/>
  <c r="B73" i="4"/>
  <c r="B73" i="57"/>
  <c r="B65" i="4"/>
  <c r="B65" i="57"/>
  <c r="B57" i="4"/>
  <c r="B57" i="57"/>
  <c r="B49" i="4"/>
  <c r="B49" i="57"/>
  <c r="B41" i="4"/>
  <c r="B41" i="57"/>
  <c r="B33" i="4"/>
  <c r="B33" i="57"/>
  <c r="B25" i="4"/>
  <c r="B25" i="57"/>
  <c r="B17" i="4"/>
  <c r="B17" i="57"/>
  <c r="B152" i="4"/>
  <c r="B152" i="57"/>
  <c r="B144" i="4"/>
  <c r="B144" i="57"/>
  <c r="B136" i="4"/>
  <c r="B136" i="57"/>
  <c r="B128" i="4"/>
  <c r="B128" i="57"/>
  <c r="B120" i="4"/>
  <c r="B120" i="57"/>
  <c r="B112" i="4"/>
  <c r="B112" i="57"/>
  <c r="B104" i="4"/>
  <c r="B104" i="57"/>
  <c r="B96" i="4"/>
  <c r="B96" i="57"/>
  <c r="B88" i="4"/>
  <c r="B88" i="57"/>
  <c r="B80" i="4"/>
  <c r="B80" i="57"/>
  <c r="B72" i="4"/>
  <c r="B72" i="57"/>
  <c r="B64" i="4"/>
  <c r="B64" i="57"/>
  <c r="B56" i="4"/>
  <c r="B56" i="57"/>
  <c r="B48" i="4"/>
  <c r="B48" i="57"/>
  <c r="B40" i="4"/>
  <c r="B40" i="57"/>
  <c r="B32" i="4"/>
  <c r="B32" i="57"/>
  <c r="B24" i="4"/>
  <c r="B24" i="57"/>
  <c r="B16" i="4"/>
  <c r="B16" i="57"/>
  <c r="B127" i="4"/>
  <c r="B127" i="57"/>
  <c r="B95" i="4"/>
  <c r="B95" i="57"/>
  <c r="B63" i="4"/>
  <c r="B63" i="57"/>
  <c r="B31" i="4"/>
  <c r="B31" i="57"/>
  <c r="B126" i="4"/>
  <c r="B126" i="57"/>
  <c r="B94" i="4"/>
  <c r="B94" i="57"/>
  <c r="B62" i="4"/>
  <c r="B62" i="57"/>
  <c r="B30" i="4"/>
  <c r="B30" i="57"/>
  <c r="B141" i="4"/>
  <c r="B141" i="57"/>
  <c r="B109" i="4"/>
  <c r="B109" i="57"/>
  <c r="B85" i="4"/>
  <c r="B85" i="57"/>
  <c r="B61" i="4"/>
  <c r="B61" i="57"/>
  <c r="B37" i="4"/>
  <c r="B37" i="57"/>
  <c r="B132" i="4"/>
  <c r="B132" i="57"/>
  <c r="B124" i="4"/>
  <c r="B124" i="57"/>
  <c r="B116" i="4"/>
  <c r="B116" i="57"/>
  <c r="B108" i="4"/>
  <c r="B108" i="57"/>
  <c r="B100" i="4"/>
  <c r="B100" i="57"/>
  <c r="B92" i="4"/>
  <c r="B92" i="57"/>
  <c r="B84" i="4"/>
  <c r="B84" i="57"/>
  <c r="B76" i="4"/>
  <c r="B76" i="57"/>
  <c r="B68" i="4"/>
  <c r="B68" i="57"/>
  <c r="B60" i="4"/>
  <c r="B60" i="57"/>
  <c r="B52" i="4"/>
  <c r="B52" i="57"/>
  <c r="B44" i="4"/>
  <c r="B44" i="57"/>
  <c r="B36" i="4"/>
  <c r="B36" i="57"/>
  <c r="B28" i="4"/>
  <c r="B28" i="57"/>
  <c r="B20" i="4"/>
  <c r="B20" i="57"/>
  <c r="B12" i="4"/>
  <c r="B12" i="57"/>
  <c r="B151" i="4"/>
  <c r="B151" i="57"/>
  <c r="B111" i="4"/>
  <c r="B111" i="57"/>
  <c r="B79" i="4"/>
  <c r="B79" i="57"/>
  <c r="B55" i="4"/>
  <c r="B55" i="57"/>
  <c r="B15" i="4"/>
  <c r="B15" i="57"/>
  <c r="B134" i="4"/>
  <c r="B134" i="57"/>
  <c r="B102" i="4"/>
  <c r="B102" i="57"/>
  <c r="B70" i="4"/>
  <c r="B70" i="57"/>
  <c r="B46" i="4"/>
  <c r="B46" i="57"/>
  <c r="B14" i="4"/>
  <c r="B14" i="57"/>
  <c r="B149" i="4"/>
  <c r="B149" i="57"/>
  <c r="B125" i="4"/>
  <c r="B125" i="57"/>
  <c r="B101" i="4"/>
  <c r="B101" i="57"/>
  <c r="B77" i="4"/>
  <c r="B77" i="57"/>
  <c r="B53" i="4"/>
  <c r="B53" i="57"/>
  <c r="B29" i="4"/>
  <c r="B29" i="57"/>
  <c r="B21" i="4"/>
  <c r="B21" i="57"/>
  <c r="B140" i="4"/>
  <c r="B140" i="57"/>
  <c r="B147" i="4"/>
  <c r="B147" i="57"/>
  <c r="B139" i="4"/>
  <c r="B139" i="57"/>
  <c r="B131" i="4"/>
  <c r="B131" i="57"/>
  <c r="B123" i="4"/>
  <c r="B123" i="57"/>
  <c r="B115" i="4"/>
  <c r="B115" i="57"/>
  <c r="B107" i="4"/>
  <c r="B107" i="57"/>
  <c r="B99" i="4"/>
  <c r="B99" i="57"/>
  <c r="B91" i="4"/>
  <c r="B91" i="57"/>
  <c r="B83" i="4"/>
  <c r="B83" i="57"/>
  <c r="B75" i="4"/>
  <c r="B75" i="57"/>
  <c r="B67" i="4"/>
  <c r="B67" i="57"/>
  <c r="B59" i="4"/>
  <c r="B59" i="57"/>
  <c r="B51" i="4"/>
  <c r="B51" i="57"/>
  <c r="B43" i="4"/>
  <c r="B43" i="57"/>
  <c r="B35" i="4"/>
  <c r="B35" i="57"/>
  <c r="B27" i="4"/>
  <c r="B27" i="57"/>
  <c r="B19" i="4"/>
  <c r="B19" i="57"/>
  <c r="B11" i="4"/>
  <c r="B11" i="57"/>
  <c r="B135" i="4"/>
  <c r="B135" i="57"/>
  <c r="B119" i="4"/>
  <c r="B119" i="57"/>
  <c r="B87" i="4"/>
  <c r="B87" i="57"/>
  <c r="B47" i="4"/>
  <c r="B47" i="57"/>
  <c r="B142" i="4"/>
  <c r="B142" i="57"/>
  <c r="B110" i="4"/>
  <c r="B110" i="57"/>
  <c r="B78" i="4"/>
  <c r="B78" i="57"/>
  <c r="B38" i="4"/>
  <c r="B38" i="57"/>
  <c r="B133" i="4"/>
  <c r="B133" i="57"/>
  <c r="B117" i="4"/>
  <c r="B117" i="57"/>
  <c r="B93" i="4"/>
  <c r="B93" i="57"/>
  <c r="B69" i="4"/>
  <c r="B69" i="57"/>
  <c r="B45" i="4"/>
  <c r="B45" i="57"/>
  <c r="B13" i="4"/>
  <c r="B13" i="57"/>
  <c r="B148" i="4"/>
  <c r="B148" i="57"/>
  <c r="B146" i="4"/>
  <c r="B146" i="57"/>
  <c r="B138" i="4"/>
  <c r="B138" i="57"/>
  <c r="B130" i="4"/>
  <c r="B130" i="57"/>
  <c r="B122" i="4"/>
  <c r="B122" i="57"/>
  <c r="B114" i="4"/>
  <c r="B114" i="57"/>
  <c r="B106" i="4"/>
  <c r="B106" i="57"/>
  <c r="B98" i="4"/>
  <c r="B98" i="57"/>
  <c r="B90" i="4"/>
  <c r="B90" i="57"/>
  <c r="B82" i="4"/>
  <c r="B82" i="57"/>
  <c r="B74" i="4"/>
  <c r="B74" i="57"/>
  <c r="B66" i="4"/>
  <c r="B66" i="57"/>
  <c r="B58" i="4"/>
  <c r="B58" i="57"/>
  <c r="B50" i="4"/>
  <c r="B50" i="57"/>
  <c r="B42" i="4"/>
  <c r="B42" i="57"/>
  <c r="B34" i="4"/>
  <c r="B34" i="57"/>
  <c r="B26" i="4"/>
  <c r="B26" i="57"/>
  <c r="B18" i="4"/>
  <c r="B18" i="57"/>
  <c r="B10" i="4"/>
  <c r="B10" i="57"/>
  <c r="H38" i="59"/>
  <c r="H34" i="59"/>
  <c r="V13" i="6"/>
  <c r="H54" i="59"/>
  <c r="H39" i="59"/>
  <c r="H40" i="59"/>
  <c r="F46" i="59"/>
  <c r="G46" i="59" s="1"/>
  <c r="E14" i="32"/>
  <c r="F55" i="59"/>
  <c r="G55" i="59" s="1"/>
  <c r="H55" i="59" s="1"/>
  <c r="X9" i="6"/>
  <c r="F31" i="59"/>
  <c r="G31" i="59" s="1"/>
  <c r="E10" i="32"/>
  <c r="D6" i="51" s="1"/>
  <c r="L21" i="47" s="1"/>
  <c r="H35" i="59"/>
  <c r="H36" i="59"/>
  <c r="F32" i="59"/>
  <c r="G32" i="59" s="1"/>
  <c r="H33" i="59" s="1"/>
  <c r="F10" i="32"/>
  <c r="E6" i="51" s="1"/>
  <c r="L22" i="47" s="1"/>
  <c r="H49" i="59"/>
  <c r="F47" i="59"/>
  <c r="G47" i="59" s="1"/>
  <c r="H48" i="59" s="1"/>
  <c r="F14" i="32"/>
  <c r="E10" i="51" s="1"/>
  <c r="H53" i="59"/>
  <c r="H50" i="59"/>
  <c r="H51" i="59"/>
  <c r="R10" i="4"/>
  <c r="K34" i="32"/>
  <c r="J30" i="51" s="1"/>
  <c r="E26" i="32"/>
  <c r="D22" i="51" s="1"/>
  <c r="P21" i="47" s="1"/>
  <c r="N34" i="32"/>
  <c r="M30" i="51" s="1"/>
  <c r="J34" i="32"/>
  <c r="I30" i="51" s="1"/>
  <c r="E34" i="32"/>
  <c r="D30" i="51" s="1"/>
  <c r="M34" i="32"/>
  <c r="L30" i="51" s="1"/>
  <c r="L34" i="32"/>
  <c r="K30" i="51" s="1"/>
  <c r="F26" i="32"/>
  <c r="E22" i="51" s="1"/>
  <c r="P22" i="47" s="1"/>
  <c r="H34" i="32"/>
  <c r="G30" i="51" s="1"/>
  <c r="G34" i="32"/>
  <c r="F30" i="51" s="1"/>
  <c r="O34" i="32"/>
  <c r="I34" i="32"/>
  <c r="H30" i="51" s="1"/>
  <c r="F34" i="32"/>
  <c r="E30" i="51" s="1"/>
  <c r="H46" i="55"/>
  <c r="D49" i="4" s="1"/>
  <c r="J49" i="4" s="1"/>
  <c r="F18" i="32"/>
  <c r="E14" i="51" s="1"/>
  <c r="N22" i="47" s="1"/>
  <c r="F22" i="32"/>
  <c r="E18" i="51" s="1"/>
  <c r="O22" i="47" s="1"/>
  <c r="E22" i="32"/>
  <c r="D18" i="51" s="1"/>
  <c r="O21" i="47" s="1"/>
  <c r="E18" i="32"/>
  <c r="D14" i="51" s="1"/>
  <c r="N21" i="47" s="1"/>
  <c r="E30" i="32"/>
  <c r="F30" i="32"/>
  <c r="E26" i="51" s="1"/>
  <c r="Q22" i="47" s="1"/>
  <c r="C48" i="55"/>
  <c r="G47" i="55"/>
  <c r="X17" i="6"/>
  <c r="H49" i="46"/>
  <c r="C171" i="4"/>
  <c r="D171" i="4"/>
  <c r="D170" i="4"/>
  <c r="C170" i="4"/>
  <c r="C166" i="4"/>
  <c r="D166" i="4"/>
  <c r="X18" i="6"/>
  <c r="X11" i="6"/>
  <c r="X12" i="6"/>
  <c r="X10" i="6"/>
  <c r="X15" i="6"/>
  <c r="Y15" i="6" s="1"/>
  <c r="X16" i="6"/>
  <c r="X13" i="6"/>
  <c r="U55" i="4"/>
  <c r="L9" i="32"/>
  <c r="L10" i="32"/>
  <c r="K6" i="51" s="1"/>
  <c r="L28" i="47" s="1"/>
  <c r="M10" i="32"/>
  <c r="L6" i="51" s="1"/>
  <c r="L29" i="47" s="1"/>
  <c r="H10" i="32"/>
  <c r="G6" i="51" s="1"/>
  <c r="L24" i="47" s="1"/>
  <c r="I10" i="32"/>
  <c r="H6" i="51" s="1"/>
  <c r="L25" i="47" s="1"/>
  <c r="G10" i="32"/>
  <c r="F6" i="51" s="1"/>
  <c r="L23" i="47" s="1"/>
  <c r="J10" i="32"/>
  <c r="I6" i="51" s="1"/>
  <c r="L26" i="47" s="1"/>
  <c r="K10" i="32"/>
  <c r="J6" i="51" s="1"/>
  <c r="L27" i="47" s="1"/>
  <c r="N10" i="32"/>
  <c r="M6" i="51" s="1"/>
  <c r="L30" i="47" s="1"/>
  <c r="H22" i="32"/>
  <c r="G18" i="51" s="1"/>
  <c r="O24" i="47" s="1"/>
  <c r="I26" i="32"/>
  <c r="H22" i="51" s="1"/>
  <c r="P25" i="47" s="1"/>
  <c r="H30" i="32"/>
  <c r="G26" i="51" s="1"/>
  <c r="Q24" i="47" s="1"/>
  <c r="K14" i="32"/>
  <c r="J10" i="51" s="1"/>
  <c r="L18" i="32"/>
  <c r="K14" i="51" s="1"/>
  <c r="N28" i="47" s="1"/>
  <c r="G30" i="32"/>
  <c r="F26" i="51" s="1"/>
  <c r="Q23" i="47" s="1"/>
  <c r="M30" i="32"/>
  <c r="L26" i="51" s="1"/>
  <c r="Q29" i="47" s="1"/>
  <c r="K22" i="32"/>
  <c r="J18" i="51" s="1"/>
  <c r="O27" i="47" s="1"/>
  <c r="K26" i="32"/>
  <c r="J22" i="51" s="1"/>
  <c r="P27" i="47" s="1"/>
  <c r="J30" i="32"/>
  <c r="I26" i="51" s="1"/>
  <c r="Q26" i="47" s="1"/>
  <c r="I30" i="32"/>
  <c r="H26" i="51" s="1"/>
  <c r="Q25" i="47" s="1"/>
  <c r="J14" i="32"/>
  <c r="I10" i="51" s="1"/>
  <c r="I18" i="32"/>
  <c r="H14" i="51" s="1"/>
  <c r="N25" i="47" s="1"/>
  <c r="K18" i="32"/>
  <c r="J14" i="51" s="1"/>
  <c r="N27" i="47" s="1"/>
  <c r="J18" i="32"/>
  <c r="I14" i="51" s="1"/>
  <c r="N26" i="47" s="1"/>
  <c r="N14" i="32"/>
  <c r="M10" i="51" s="1"/>
  <c r="L14" i="32"/>
  <c r="K10" i="51" s="1"/>
  <c r="G22" i="32"/>
  <c r="F18" i="51" s="1"/>
  <c r="O23" i="47" s="1"/>
  <c r="M18" i="32"/>
  <c r="L14" i="51" s="1"/>
  <c r="N29" i="47" s="1"/>
  <c r="G26" i="32"/>
  <c r="F22" i="51" s="1"/>
  <c r="P23" i="47" s="1"/>
  <c r="N30" i="32"/>
  <c r="M26" i="51" s="1"/>
  <c r="Q30" i="47" s="1"/>
  <c r="H18" i="32"/>
  <c r="G14" i="51" s="1"/>
  <c r="N24" i="47" s="1"/>
  <c r="I14" i="32"/>
  <c r="H10" i="51" s="1"/>
  <c r="N18" i="32"/>
  <c r="M14" i="51" s="1"/>
  <c r="N30" i="47" s="1"/>
  <c r="M22" i="32"/>
  <c r="L18" i="51" s="1"/>
  <c r="O29" i="47" s="1"/>
  <c r="M26" i="32"/>
  <c r="L22" i="51" s="1"/>
  <c r="P29" i="47" s="1"/>
  <c r="G14" i="32"/>
  <c r="F10" i="51" s="1"/>
  <c r="J26" i="32"/>
  <c r="I22" i="51" s="1"/>
  <c r="P26" i="47" s="1"/>
  <c r="L26" i="32"/>
  <c r="K22" i="51" s="1"/>
  <c r="P28" i="47" s="1"/>
  <c r="L30" i="32"/>
  <c r="K26" i="51" s="1"/>
  <c r="Q28" i="47" s="1"/>
  <c r="I22" i="32"/>
  <c r="H18" i="51" s="1"/>
  <c r="O25" i="47" s="1"/>
  <c r="J22" i="32"/>
  <c r="I18" i="51" s="1"/>
  <c r="G18" i="32"/>
  <c r="F14" i="51" s="1"/>
  <c r="N23" i="47" s="1"/>
  <c r="N26" i="32"/>
  <c r="M22" i="51" s="1"/>
  <c r="P30" i="47" s="1"/>
  <c r="K30" i="32"/>
  <c r="J26" i="51" s="1"/>
  <c r="Q27" i="47" s="1"/>
  <c r="M14" i="32"/>
  <c r="L10" i="51" s="1"/>
  <c r="L22" i="32"/>
  <c r="K18" i="51" s="1"/>
  <c r="O28" i="47" s="1"/>
  <c r="N22" i="32"/>
  <c r="M18" i="51" s="1"/>
  <c r="O30" i="47" s="1"/>
  <c r="H14" i="32"/>
  <c r="G10" i="51" s="1"/>
  <c r="H26" i="32"/>
  <c r="G22" i="51" s="1"/>
  <c r="P24" i="47" s="1"/>
  <c r="F57" i="46"/>
  <c r="AQ20" i="46"/>
  <c r="AG20" i="46"/>
  <c r="T10" i="6"/>
  <c r="T20" i="6" s="1"/>
  <c r="S22" i="6" s="1"/>
  <c r="S23" i="6" s="1"/>
  <c r="D14" i="6"/>
  <c r="T17" i="6"/>
  <c r="T12" i="6"/>
  <c r="L18" i="6"/>
  <c r="P16" i="6"/>
  <c r="R17" i="6"/>
  <c r="V17" i="6"/>
  <c r="D17" i="6"/>
  <c r="P10" i="6"/>
  <c r="F12" i="6"/>
  <c r="V14" i="6"/>
  <c r="V18" i="6"/>
  <c r="R15" i="6"/>
  <c r="R14" i="6"/>
  <c r="D12" i="6"/>
  <c r="H16" i="6"/>
  <c r="R12" i="6"/>
  <c r="D18" i="6"/>
  <c r="R18" i="6"/>
  <c r="V16" i="6"/>
  <c r="H12" i="6"/>
  <c r="F10" i="6"/>
  <c r="P12" i="6"/>
  <c r="T11" i="6"/>
  <c r="T15" i="6"/>
  <c r="T13" i="6"/>
  <c r="V12" i="6"/>
  <c r="R10" i="6"/>
  <c r="R20" i="6" s="1"/>
  <c r="Q22" i="6" s="1"/>
  <c r="Q23" i="6" s="1"/>
  <c r="R126" i="4"/>
  <c r="R118" i="4"/>
  <c r="R81" i="4"/>
  <c r="R73" i="4"/>
  <c r="R68" i="4"/>
  <c r="R60" i="4"/>
  <c r="R39" i="4"/>
  <c r="R29" i="4"/>
  <c r="R113" i="4"/>
  <c r="R105" i="4"/>
  <c r="R97" i="4"/>
  <c r="R89" i="4"/>
  <c r="R52" i="4"/>
  <c r="R44" i="4"/>
  <c r="R21" i="4"/>
  <c r="R13" i="4"/>
  <c r="R112" i="4"/>
  <c r="R96" i="4"/>
  <c r="R88" i="4"/>
  <c r="R80" i="4"/>
  <c r="R72" i="4"/>
  <c r="R67" i="4"/>
  <c r="R51" i="4"/>
  <c r="R43" i="4"/>
  <c r="R36" i="4"/>
  <c r="R20" i="4"/>
  <c r="R12" i="4"/>
  <c r="R125" i="4"/>
  <c r="R104" i="4"/>
  <c r="R59" i="4"/>
  <c r="R38" i="4"/>
  <c r="R28" i="4"/>
  <c r="R121" i="4"/>
  <c r="R116" i="4"/>
  <c r="R108" i="4"/>
  <c r="R100" i="4"/>
  <c r="R92" i="4"/>
  <c r="R84" i="4"/>
  <c r="R76" i="4"/>
  <c r="R63" i="4"/>
  <c r="R55" i="4"/>
  <c r="R47" i="4"/>
  <c r="R32" i="4"/>
  <c r="R24" i="4"/>
  <c r="R16" i="4"/>
  <c r="R122" i="4"/>
  <c r="R109" i="4"/>
  <c r="R101" i="4"/>
  <c r="R85" i="4"/>
  <c r="R77" i="4"/>
  <c r="R64" i="4"/>
  <c r="R25" i="4"/>
  <c r="R17" i="4"/>
  <c r="R127" i="4"/>
  <c r="R119" i="4"/>
  <c r="R114" i="4"/>
  <c r="R106" i="4"/>
  <c r="R98" i="4"/>
  <c r="R90" i="4"/>
  <c r="R82" i="4"/>
  <c r="R74" i="4"/>
  <c r="R69" i="4"/>
  <c r="R61" i="4"/>
  <c r="R53" i="4"/>
  <c r="R45" i="4"/>
  <c r="R40" i="4"/>
  <c r="R30" i="4"/>
  <c r="R22" i="4"/>
  <c r="R14" i="4"/>
  <c r="R124" i="4"/>
  <c r="R111" i="4"/>
  <c r="R103" i="4"/>
  <c r="R95" i="4"/>
  <c r="R87" i="4"/>
  <c r="R79" i="4"/>
  <c r="R71" i="4"/>
  <c r="R66" i="4"/>
  <c r="R58" i="4"/>
  <c r="R50" i="4"/>
  <c r="R42" i="4"/>
  <c r="R35" i="4"/>
  <c r="R27" i="4"/>
  <c r="R19" i="4"/>
  <c r="R11" i="4"/>
  <c r="R117" i="4"/>
  <c r="R93" i="4"/>
  <c r="R56" i="4"/>
  <c r="R48" i="4"/>
  <c r="R33" i="4"/>
  <c r="R37" i="4"/>
  <c r="R123" i="4"/>
  <c r="R110" i="4"/>
  <c r="R102" i="4"/>
  <c r="R94" i="4"/>
  <c r="R86" i="4"/>
  <c r="R78" i="4"/>
  <c r="R70" i="4"/>
  <c r="R65" i="4"/>
  <c r="R57" i="4"/>
  <c r="R49" i="4"/>
  <c r="R34" i="4"/>
  <c r="R26" i="4"/>
  <c r="R18" i="4"/>
  <c r="R128" i="4"/>
  <c r="R120" i="4"/>
  <c r="R115" i="4"/>
  <c r="R107" i="4"/>
  <c r="R99" i="4"/>
  <c r="R91" i="4"/>
  <c r="R83" i="4"/>
  <c r="R75" i="4"/>
  <c r="R62" i="4"/>
  <c r="R54" i="4"/>
  <c r="R46" i="4"/>
  <c r="R41" i="4"/>
  <c r="R31" i="4"/>
  <c r="R23" i="4"/>
  <c r="R15" i="4"/>
  <c r="R129" i="4"/>
  <c r="H14" i="6"/>
  <c r="V11" i="6"/>
  <c r="V10" i="6"/>
  <c r="V20" i="6" s="1"/>
  <c r="U22" i="6" s="1"/>
  <c r="U23" i="6" s="1"/>
  <c r="H18" i="6"/>
  <c r="R16" i="6"/>
  <c r="V15" i="6"/>
  <c r="F15" i="6"/>
  <c r="P14" i="6"/>
  <c r="T14" i="6"/>
  <c r="T16" i="6"/>
  <c r="T28" i="6"/>
  <c r="D16" i="6"/>
  <c r="R11" i="6"/>
  <c r="I22" i="6"/>
  <c r="I34" i="6" s="1"/>
  <c r="D13" i="6"/>
  <c r="L12" i="6"/>
  <c r="H13" i="6"/>
  <c r="F16" i="6"/>
  <c r="L16" i="6"/>
  <c r="F14" i="6"/>
  <c r="P18" i="6"/>
  <c r="F18" i="6"/>
  <c r="L17" i="6"/>
  <c r="M20" i="46"/>
  <c r="W20" i="46"/>
  <c r="P15" i="6"/>
  <c r="D15" i="6"/>
  <c r="B12" i="38"/>
  <c r="I5" i="51"/>
  <c r="J9" i="32"/>
  <c r="B17" i="46"/>
  <c r="B21" i="29"/>
  <c r="U53" i="4"/>
  <c r="R13" i="6"/>
  <c r="F13" i="6"/>
  <c r="H11" i="6"/>
  <c r="F5" i="51"/>
  <c r="B9" i="38"/>
  <c r="B14" i="46"/>
  <c r="G9" i="32"/>
  <c r="U50" i="4"/>
  <c r="B18" i="29"/>
  <c r="B8" i="38"/>
  <c r="E5" i="51"/>
  <c r="F9" i="32"/>
  <c r="B13" i="46"/>
  <c r="B17" i="29"/>
  <c r="U49" i="4"/>
  <c r="T18" i="6"/>
  <c r="B16" i="38"/>
  <c r="M5" i="51"/>
  <c r="N9" i="32"/>
  <c r="B25" i="29"/>
  <c r="B21" i="46"/>
  <c r="U57" i="4"/>
  <c r="F17" i="6"/>
  <c r="H15" i="6"/>
  <c r="J5" i="51"/>
  <c r="B13" i="38"/>
  <c r="B18" i="46"/>
  <c r="K9" i="32"/>
  <c r="U54" i="4"/>
  <c r="B22" i="29"/>
  <c r="L11" i="6"/>
  <c r="F11" i="6"/>
  <c r="L10" i="6"/>
  <c r="D10" i="6"/>
  <c r="B18" i="38"/>
  <c r="O5" i="51"/>
  <c r="P9" i="32"/>
  <c r="B23" i="46"/>
  <c r="B27" i="29"/>
  <c r="L15" i="6"/>
  <c r="P13" i="6"/>
  <c r="J16" i="29"/>
  <c r="Z16" i="29" s="1"/>
  <c r="R16" i="29"/>
  <c r="AH16" i="29" s="1"/>
  <c r="N5" i="51"/>
  <c r="B17" i="38"/>
  <c r="B22" i="46"/>
  <c r="O9" i="32"/>
  <c r="B26" i="29"/>
  <c r="P17" i="6"/>
  <c r="H17" i="6"/>
  <c r="L13" i="6"/>
  <c r="J20" i="29"/>
  <c r="Z20" i="29" s="1"/>
  <c r="R20" i="29"/>
  <c r="AH20" i="29" s="1"/>
  <c r="D11" i="6"/>
  <c r="B24" i="29"/>
  <c r="B14" i="38"/>
  <c r="K5" i="51"/>
  <c r="B19" i="46"/>
  <c r="B10" i="38"/>
  <c r="G5" i="51"/>
  <c r="H9" i="32"/>
  <c r="B15" i="46"/>
  <c r="B7" i="38"/>
  <c r="D5" i="51"/>
  <c r="B12" i="46"/>
  <c r="E9" i="32"/>
  <c r="B23" i="29"/>
  <c r="B15" i="38"/>
  <c r="L5" i="51"/>
  <c r="M9" i="32"/>
  <c r="B11" i="38"/>
  <c r="H5" i="51"/>
  <c r="I9" i="32"/>
  <c r="U56" i="4"/>
  <c r="U52" i="4"/>
  <c r="U48" i="4"/>
  <c r="D18" i="29"/>
  <c r="D17" i="29"/>
  <c r="F17" i="29" s="1"/>
  <c r="T16" i="29"/>
  <c r="V16" i="29" s="1"/>
  <c r="B19" i="29"/>
  <c r="B16" i="46"/>
  <c r="C30" i="47" l="1"/>
  <c r="M28" i="47"/>
  <c r="R28" i="47"/>
  <c r="I12" i="38"/>
  <c r="O26" i="47"/>
  <c r="C32" i="47"/>
  <c r="D32" i="47" s="1"/>
  <c r="M30" i="47"/>
  <c r="R30" i="47" s="1"/>
  <c r="C24" i="47"/>
  <c r="M22" i="47"/>
  <c r="R22" i="47" s="1"/>
  <c r="C27" i="47"/>
  <c r="M25" i="47"/>
  <c r="R25" i="47" s="1"/>
  <c r="C31" i="47"/>
  <c r="M29" i="47"/>
  <c r="R29" i="47" s="1"/>
  <c r="C28" i="47"/>
  <c r="D28" i="47" s="1"/>
  <c r="M26" i="47"/>
  <c r="C29" i="47"/>
  <c r="D30" i="47" s="1"/>
  <c r="M27" i="47"/>
  <c r="R27" i="47" s="1"/>
  <c r="C26" i="47"/>
  <c r="M24" i="47"/>
  <c r="R24" i="47" s="1"/>
  <c r="C25" i="47"/>
  <c r="M23" i="47"/>
  <c r="R23" i="47" s="1"/>
  <c r="D31" i="47"/>
  <c r="P138" i="4"/>
  <c r="P146" i="4"/>
  <c r="P133" i="4"/>
  <c r="P144" i="4"/>
  <c r="P139" i="4"/>
  <c r="P147" i="4"/>
  <c r="P149" i="4"/>
  <c r="P136" i="4"/>
  <c r="P137" i="4"/>
  <c r="P132" i="4"/>
  <c r="P140" i="4"/>
  <c r="P148" i="4"/>
  <c r="P141" i="4"/>
  <c r="P153" i="4"/>
  <c r="P134" i="4"/>
  <c r="P142" i="4"/>
  <c r="P150" i="4"/>
  <c r="P135" i="4"/>
  <c r="P151" i="4"/>
  <c r="P152" i="4"/>
  <c r="P145" i="4"/>
  <c r="N131" i="4"/>
  <c r="S129" i="4"/>
  <c r="N30" i="51"/>
  <c r="H47" i="59"/>
  <c r="H56" i="59" s="1"/>
  <c r="E22" i="6"/>
  <c r="H32" i="59"/>
  <c r="H41" i="59" s="1"/>
  <c r="G41" i="59" s="1"/>
  <c r="S117" i="4"/>
  <c r="E25" i="29"/>
  <c r="H47" i="55"/>
  <c r="D50" i="4" s="1"/>
  <c r="J50" i="4" s="1"/>
  <c r="D26" i="51"/>
  <c r="E50" i="32"/>
  <c r="K22" i="6"/>
  <c r="G11" i="59" s="1"/>
  <c r="L18" i="29"/>
  <c r="T18" i="29" s="1"/>
  <c r="AB18" i="29" s="1"/>
  <c r="F18" i="29"/>
  <c r="E21" i="29"/>
  <c r="M21" i="29" s="1"/>
  <c r="E16" i="29"/>
  <c r="G16" i="29" s="1"/>
  <c r="H16" i="29" s="1"/>
  <c r="L17" i="29"/>
  <c r="T17" i="29" s="1"/>
  <c r="AB17" i="29" s="1"/>
  <c r="C49" i="55"/>
  <c r="G48" i="55"/>
  <c r="I57" i="46"/>
  <c r="I54" i="46"/>
  <c r="AL22" i="46"/>
  <c r="AJ40" i="46" s="1"/>
  <c r="I58" i="46"/>
  <c r="I52" i="46"/>
  <c r="I49" i="46"/>
  <c r="I53" i="46"/>
  <c r="I51" i="46"/>
  <c r="I56" i="46"/>
  <c r="I50" i="46"/>
  <c r="I55" i="46"/>
  <c r="C9" i="47"/>
  <c r="D9" i="38"/>
  <c r="C11" i="47"/>
  <c r="D11" i="38"/>
  <c r="C10" i="47"/>
  <c r="D10" i="38"/>
  <c r="C16" i="47"/>
  <c r="D16" i="38"/>
  <c r="C14" i="47"/>
  <c r="D14" i="38"/>
  <c r="C15" i="47"/>
  <c r="D15" i="38"/>
  <c r="D13" i="38"/>
  <c r="C13" i="47"/>
  <c r="D8" i="38"/>
  <c r="C8" i="47"/>
  <c r="C12" i="47"/>
  <c r="D12" i="38"/>
  <c r="C7" i="47"/>
  <c r="D7" i="38"/>
  <c r="F11" i="38"/>
  <c r="C88" i="47"/>
  <c r="N8" i="38"/>
  <c r="M8" i="38"/>
  <c r="C74" i="47"/>
  <c r="L10" i="38"/>
  <c r="O12" i="38"/>
  <c r="P12" i="38"/>
  <c r="C59" i="47"/>
  <c r="J11" i="38"/>
  <c r="I11" i="38"/>
  <c r="F8" i="38"/>
  <c r="C73" i="47"/>
  <c r="L9" i="38"/>
  <c r="C45" i="47"/>
  <c r="G13" i="38"/>
  <c r="H13" i="38"/>
  <c r="C92" i="47"/>
  <c r="N12" i="38"/>
  <c r="M12" i="38"/>
  <c r="O14" i="38"/>
  <c r="P14" i="38"/>
  <c r="P10" i="38"/>
  <c r="O10" i="38"/>
  <c r="C94" i="47"/>
  <c r="N14" i="38"/>
  <c r="M14" i="38"/>
  <c r="C48" i="47"/>
  <c r="G16" i="38"/>
  <c r="H16" i="38"/>
  <c r="P15" i="38"/>
  <c r="O15" i="38"/>
  <c r="C77" i="47"/>
  <c r="L13" i="38"/>
  <c r="C95" i="47"/>
  <c r="N15" i="38"/>
  <c r="M15" i="38"/>
  <c r="F13" i="38"/>
  <c r="F15" i="38"/>
  <c r="C39" i="47"/>
  <c r="H7" i="38"/>
  <c r="G7" i="38"/>
  <c r="C76" i="47"/>
  <c r="L12" i="38"/>
  <c r="C56" i="47"/>
  <c r="I8" i="38"/>
  <c r="J8" i="38"/>
  <c r="C80" i="47"/>
  <c r="L16" i="38"/>
  <c r="F9" i="38"/>
  <c r="F16" i="38"/>
  <c r="O9" i="38"/>
  <c r="P9" i="38"/>
  <c r="O13" i="38"/>
  <c r="P13" i="38"/>
  <c r="C46" i="47"/>
  <c r="G14" i="38"/>
  <c r="H14" i="38"/>
  <c r="C47" i="47"/>
  <c r="G15" i="38"/>
  <c r="H15" i="38"/>
  <c r="C40" i="47"/>
  <c r="G8" i="38"/>
  <c r="H8" i="38"/>
  <c r="C93" i="47"/>
  <c r="M13" i="38"/>
  <c r="N13" i="38"/>
  <c r="C42" i="47"/>
  <c r="G10" i="38"/>
  <c r="H10" i="38"/>
  <c r="O8" i="38"/>
  <c r="P8" i="38"/>
  <c r="C90" i="47"/>
  <c r="M10" i="38"/>
  <c r="N10" i="38"/>
  <c r="C72" i="47"/>
  <c r="L8" i="38"/>
  <c r="O16" i="38"/>
  <c r="P16" i="38"/>
  <c r="C43" i="47"/>
  <c r="H11" i="38"/>
  <c r="G11" i="38"/>
  <c r="C55" i="47"/>
  <c r="J7" i="38"/>
  <c r="I7" i="38"/>
  <c r="C64" i="47"/>
  <c r="J16" i="38"/>
  <c r="C41" i="47"/>
  <c r="H9" i="38"/>
  <c r="G9" i="38"/>
  <c r="C79" i="47"/>
  <c r="L15" i="38"/>
  <c r="C96" i="47"/>
  <c r="N16" i="38"/>
  <c r="C44" i="47"/>
  <c r="G12" i="38"/>
  <c r="H12" i="38"/>
  <c r="F12" i="38"/>
  <c r="C58" i="47"/>
  <c r="I10" i="38"/>
  <c r="J10" i="38"/>
  <c r="C78" i="47"/>
  <c r="L14" i="38"/>
  <c r="C71" i="47"/>
  <c r="L7" i="38"/>
  <c r="C57" i="47"/>
  <c r="I9" i="38"/>
  <c r="J9" i="38"/>
  <c r="C89" i="47"/>
  <c r="N9" i="38"/>
  <c r="M9" i="38"/>
  <c r="F10" i="38"/>
  <c r="F14" i="38"/>
  <c r="C75" i="47"/>
  <c r="L11" i="38"/>
  <c r="C62" i="47"/>
  <c r="J14" i="38"/>
  <c r="I14" i="38"/>
  <c r="J12" i="38"/>
  <c r="C60" i="47"/>
  <c r="C63" i="47"/>
  <c r="J15" i="38"/>
  <c r="D10" i="51"/>
  <c r="C91" i="47"/>
  <c r="N11" i="38"/>
  <c r="M11" i="38"/>
  <c r="C61" i="47"/>
  <c r="J13" i="38"/>
  <c r="I13" i="38"/>
  <c r="P11" i="38"/>
  <c r="O11" i="38"/>
  <c r="F53" i="46"/>
  <c r="AQ16" i="46"/>
  <c r="AG16" i="46"/>
  <c r="F55" i="46"/>
  <c r="AQ18" i="46"/>
  <c r="AG18" i="46"/>
  <c r="F50" i="46"/>
  <c r="AQ13" i="46"/>
  <c r="AG13" i="46"/>
  <c r="F51" i="46"/>
  <c r="AQ14" i="46"/>
  <c r="AG14" i="46"/>
  <c r="F52" i="46"/>
  <c r="AQ15" i="46"/>
  <c r="AG15" i="46"/>
  <c r="F56" i="46"/>
  <c r="AQ19" i="46"/>
  <c r="AG19" i="46"/>
  <c r="B40" i="46"/>
  <c r="AQ22" i="46"/>
  <c r="AQ40" i="46" s="1"/>
  <c r="AG22" i="46"/>
  <c r="AG40" i="46" s="1"/>
  <c r="F54" i="46"/>
  <c r="AQ17" i="46"/>
  <c r="AG17" i="46"/>
  <c r="F58" i="46"/>
  <c r="AQ21" i="46"/>
  <c r="AG21" i="46"/>
  <c r="F49" i="46"/>
  <c r="AQ12" i="46"/>
  <c r="AG12" i="46"/>
  <c r="B41" i="46"/>
  <c r="AQ23" i="46"/>
  <c r="AQ41" i="46" s="1"/>
  <c r="AG23" i="46"/>
  <c r="AG41" i="46" s="1"/>
  <c r="Y17" i="6"/>
  <c r="AB16" i="29"/>
  <c r="Y10" i="6"/>
  <c r="Y12" i="6"/>
  <c r="Y11" i="6"/>
  <c r="Y18" i="6"/>
  <c r="Y16" i="6"/>
  <c r="Y13" i="6"/>
  <c r="Y14" i="6"/>
  <c r="S21" i="4"/>
  <c r="G22" i="6"/>
  <c r="O22" i="6"/>
  <c r="N50" i="32"/>
  <c r="F50" i="32"/>
  <c r="I46" i="51"/>
  <c r="F28" i="38" s="1"/>
  <c r="H46" i="51"/>
  <c r="F27" i="38" s="1"/>
  <c r="I50" i="32"/>
  <c r="L48" i="51"/>
  <c r="E48" i="51"/>
  <c r="G48" i="51"/>
  <c r="H48" i="51"/>
  <c r="D48" i="51"/>
  <c r="M48" i="51"/>
  <c r="J48" i="51"/>
  <c r="R23" i="29"/>
  <c r="AH23" i="29" s="1"/>
  <c r="J23" i="29"/>
  <c r="Z23" i="29" s="1"/>
  <c r="M19" i="46"/>
  <c r="W19" i="46"/>
  <c r="M50" i="32"/>
  <c r="W22" i="46"/>
  <c r="W40" i="46" s="1"/>
  <c r="M22" i="46"/>
  <c r="M40" i="46" s="1"/>
  <c r="G46" i="51"/>
  <c r="F26" i="38" s="1"/>
  <c r="I23" i="6"/>
  <c r="I35" i="6" s="1"/>
  <c r="M13" i="46"/>
  <c r="W13" i="46"/>
  <c r="J18" i="29"/>
  <c r="Z18" i="29" s="1"/>
  <c r="R18" i="29"/>
  <c r="AH18" i="29" s="1"/>
  <c r="M14" i="46"/>
  <c r="W14" i="46"/>
  <c r="K50" i="32"/>
  <c r="N16" i="29"/>
  <c r="M15" i="46"/>
  <c r="W15" i="46"/>
  <c r="L46" i="51"/>
  <c r="F31" i="38" s="1"/>
  <c r="G50" i="32"/>
  <c r="L50" i="32"/>
  <c r="J27" i="29"/>
  <c r="Z27" i="29" s="1"/>
  <c r="R27" i="29"/>
  <c r="AH27" i="29" s="1"/>
  <c r="B38" i="29"/>
  <c r="J22" i="29"/>
  <c r="Z22" i="29" s="1"/>
  <c r="R22" i="29"/>
  <c r="AH22" i="29" s="1"/>
  <c r="M18" i="46"/>
  <c r="W18" i="46"/>
  <c r="J46" i="51"/>
  <c r="F29" i="38" s="1"/>
  <c r="R19" i="29"/>
  <c r="AH19" i="29" s="1"/>
  <c r="J19" i="29"/>
  <c r="Z19" i="29" s="1"/>
  <c r="K48" i="51"/>
  <c r="F46" i="51"/>
  <c r="F25" i="38" s="1"/>
  <c r="J26" i="29"/>
  <c r="Z26" i="29" s="1"/>
  <c r="R26" i="29"/>
  <c r="AH26" i="29" s="1"/>
  <c r="B37" i="29"/>
  <c r="K46" i="51"/>
  <c r="F30" i="38" s="1"/>
  <c r="W23" i="46"/>
  <c r="W41" i="46" s="1"/>
  <c r="M23" i="46"/>
  <c r="M41" i="46" s="1"/>
  <c r="M21" i="46"/>
  <c r="W21" i="46"/>
  <c r="R21" i="29"/>
  <c r="AH21" i="29" s="1"/>
  <c r="J21" i="29"/>
  <c r="Z21" i="29" s="1"/>
  <c r="I48" i="51"/>
  <c r="F48" i="51"/>
  <c r="M16" i="46"/>
  <c r="W16" i="46"/>
  <c r="E46" i="51"/>
  <c r="F24" i="38" s="1"/>
  <c r="J50" i="32"/>
  <c r="M46" i="51"/>
  <c r="F32" i="38" s="1"/>
  <c r="W12" i="46"/>
  <c r="M12" i="46"/>
  <c r="R24" i="29"/>
  <c r="AH24" i="29" s="1"/>
  <c r="J24" i="29"/>
  <c r="Z24" i="29" s="1"/>
  <c r="H50" i="32"/>
  <c r="R25" i="29"/>
  <c r="AH25" i="29" s="1"/>
  <c r="J25" i="29"/>
  <c r="Z25" i="29" s="1"/>
  <c r="R17" i="29"/>
  <c r="AH17" i="29" s="1"/>
  <c r="J17" i="29"/>
  <c r="Z17" i="29" s="1"/>
  <c r="M17" i="46"/>
  <c r="W17" i="46"/>
  <c r="S105" i="4"/>
  <c r="E23" i="29"/>
  <c r="S57" i="4"/>
  <c r="E18" i="29"/>
  <c r="E19" i="29"/>
  <c r="M19" i="29" s="1"/>
  <c r="E24" i="29"/>
  <c r="S69" i="4"/>
  <c r="S93" i="4"/>
  <c r="X42" i="4" s="1"/>
  <c r="S45" i="4"/>
  <c r="S81" i="4"/>
  <c r="E22" i="29"/>
  <c r="M22" i="29" s="1"/>
  <c r="S33" i="4"/>
  <c r="E20" i="29"/>
  <c r="E17" i="29"/>
  <c r="G30" i="38" l="1"/>
  <c r="H30" i="38" s="1"/>
  <c r="D26" i="47"/>
  <c r="D25" i="47"/>
  <c r="R26" i="47"/>
  <c r="D27" i="47"/>
  <c r="C87" i="47"/>
  <c r="Q21" i="47"/>
  <c r="G32" i="38"/>
  <c r="H32" i="38" s="1"/>
  <c r="D29" i="47"/>
  <c r="C23" i="47"/>
  <c r="D24" i="47" s="1"/>
  <c r="M21" i="47"/>
  <c r="X39" i="4"/>
  <c r="AE7" i="60"/>
  <c r="X44" i="4"/>
  <c r="AE12" i="60"/>
  <c r="X41" i="4"/>
  <c r="AE9" i="60"/>
  <c r="W54" i="4"/>
  <c r="X40" i="4"/>
  <c r="AE8" i="60"/>
  <c r="X37" i="4"/>
  <c r="AE5" i="60"/>
  <c r="X36" i="4"/>
  <c r="AE4" i="60"/>
  <c r="AG4" i="60" s="1"/>
  <c r="X43" i="4"/>
  <c r="AE11" i="60"/>
  <c r="X45" i="4"/>
  <c r="AE13" i="60"/>
  <c r="X38" i="4"/>
  <c r="AE6" i="60"/>
  <c r="AE10" i="60"/>
  <c r="G26" i="38"/>
  <c r="H26" i="38" s="1"/>
  <c r="G28" i="38"/>
  <c r="H28" i="38" s="1"/>
  <c r="G29" i="38"/>
  <c r="H29" i="38" s="1"/>
  <c r="G31" i="38"/>
  <c r="H31" i="38" s="1"/>
  <c r="G25" i="38"/>
  <c r="H25" i="38" s="1"/>
  <c r="D46" i="51"/>
  <c r="F23" i="38" s="1"/>
  <c r="G24" i="38" s="1"/>
  <c r="H24" i="38" s="1"/>
  <c r="G27" i="38"/>
  <c r="H27" i="38" s="1"/>
  <c r="N132" i="4"/>
  <c r="G56" i="59"/>
  <c r="V18" i="29"/>
  <c r="G19" i="59"/>
  <c r="H48" i="55"/>
  <c r="D51" i="4" s="1"/>
  <c r="J51" i="4" s="1"/>
  <c r="N18" i="29"/>
  <c r="N7" i="38"/>
  <c r="M7" i="38"/>
  <c r="I23" i="51"/>
  <c r="R11" i="47" s="1"/>
  <c r="N17" i="29"/>
  <c r="V17" i="29"/>
  <c r="C50" i="55"/>
  <c r="G49" i="55"/>
  <c r="L28" i="6"/>
  <c r="L34" i="6" s="1"/>
  <c r="K34" i="6"/>
  <c r="E34" i="6"/>
  <c r="F28" i="6"/>
  <c r="F34" i="6" s="1"/>
  <c r="G23" i="6"/>
  <c r="C34" i="6"/>
  <c r="D28" i="6"/>
  <c r="AL23" i="46"/>
  <c r="AJ41" i="46" s="1"/>
  <c r="P34" i="32"/>
  <c r="O30" i="51" s="1"/>
  <c r="X22" i="6"/>
  <c r="D75" i="47"/>
  <c r="D88" i="47"/>
  <c r="D48" i="47"/>
  <c r="D41" i="47"/>
  <c r="D12" i="47"/>
  <c r="D44" i="47"/>
  <c r="D63" i="47"/>
  <c r="D78" i="47"/>
  <c r="D45" i="47"/>
  <c r="D56" i="47"/>
  <c r="D40" i="47"/>
  <c r="D94" i="47"/>
  <c r="D59" i="47"/>
  <c r="D14" i="47"/>
  <c r="D10" i="47"/>
  <c r="D46" i="47"/>
  <c r="D8" i="47"/>
  <c r="D16" i="47"/>
  <c r="D11" i="47"/>
  <c r="D15" i="47"/>
  <c r="D91" i="47"/>
  <c r="D93" i="47"/>
  <c r="D13" i="47"/>
  <c r="D9" i="47"/>
  <c r="D74" i="47"/>
  <c r="D60" i="47"/>
  <c r="D72" i="47"/>
  <c r="D61" i="47"/>
  <c r="D58" i="47"/>
  <c r="D42" i="47"/>
  <c r="D76" i="47"/>
  <c r="D80" i="47"/>
  <c r="D62" i="47"/>
  <c r="D43" i="47"/>
  <c r="D47" i="47"/>
  <c r="D64" i="47"/>
  <c r="D79" i="47"/>
  <c r="D95" i="47"/>
  <c r="D96" i="47"/>
  <c r="D90" i="47"/>
  <c r="D73" i="47"/>
  <c r="D57" i="47"/>
  <c r="F7" i="38"/>
  <c r="D89" i="47"/>
  <c r="D77" i="47"/>
  <c r="D92" i="47"/>
  <c r="AD17" i="29"/>
  <c r="AJ17" i="29"/>
  <c r="AD16" i="29"/>
  <c r="AJ16" i="29"/>
  <c r="AD18" i="29"/>
  <c r="AJ18" i="29"/>
  <c r="O23" i="6"/>
  <c r="Y20" i="6"/>
  <c r="E23" i="6"/>
  <c r="G18" i="29"/>
  <c r="H18" i="29" s="1"/>
  <c r="C23" i="6"/>
  <c r="K23" i="6"/>
  <c r="G12" i="59" s="1"/>
  <c r="G20" i="59" s="1"/>
  <c r="R37" i="29"/>
  <c r="AH37" i="29" s="1"/>
  <c r="J37" i="29"/>
  <c r="Z37" i="29" s="1"/>
  <c r="J38" i="29"/>
  <c r="Z38" i="29" s="1"/>
  <c r="R38" i="29"/>
  <c r="AH38" i="29" s="1"/>
  <c r="M24" i="29"/>
  <c r="U24" i="29" s="1"/>
  <c r="M18" i="29"/>
  <c r="U18" i="29" s="1"/>
  <c r="M23" i="29"/>
  <c r="M20" i="29"/>
  <c r="U20" i="29" s="1"/>
  <c r="M25" i="29"/>
  <c r="U21" i="29"/>
  <c r="G17" i="29"/>
  <c r="H17" i="29" s="1"/>
  <c r="M17" i="29"/>
  <c r="U22" i="29"/>
  <c r="M16" i="29"/>
  <c r="U19" i="29"/>
  <c r="D34" i="6" l="1"/>
  <c r="R21" i="47"/>
  <c r="W55" i="4"/>
  <c r="Y43" i="4"/>
  <c r="W48" i="4"/>
  <c r="X48" i="4" s="1"/>
  <c r="Z36" i="4"/>
  <c r="Y41" i="4"/>
  <c r="W53" i="4"/>
  <c r="AF13" i="60"/>
  <c r="AF8" i="60"/>
  <c r="Y44" i="4"/>
  <c r="W56" i="4"/>
  <c r="AG5" i="60"/>
  <c r="AF5" i="60"/>
  <c r="W50" i="4"/>
  <c r="X50" i="4" s="1"/>
  <c r="Z38" i="4"/>
  <c r="Y38" i="4"/>
  <c r="AF12" i="60"/>
  <c r="W57" i="4"/>
  <c r="Y45" i="4"/>
  <c r="Y40" i="4"/>
  <c r="W52" i="4"/>
  <c r="AF7" i="60"/>
  <c r="AF9" i="60"/>
  <c r="AG6" i="60"/>
  <c r="AF6" i="60"/>
  <c r="W49" i="4"/>
  <c r="X49" i="4" s="1"/>
  <c r="Z37" i="4"/>
  <c r="Y37" i="4"/>
  <c r="Y42" i="4"/>
  <c r="W51" i="4"/>
  <c r="Y39" i="4"/>
  <c r="AF10" i="60"/>
  <c r="AF11" i="60"/>
  <c r="D11" i="59"/>
  <c r="D19" i="59" s="1"/>
  <c r="N133" i="4"/>
  <c r="E11" i="59"/>
  <c r="E19" i="59" s="1"/>
  <c r="G42" i="59"/>
  <c r="D12" i="59" s="1"/>
  <c r="D20" i="59" s="1"/>
  <c r="G57" i="59"/>
  <c r="E12" i="59" s="1"/>
  <c r="E20" i="59" s="1"/>
  <c r="I11" i="59"/>
  <c r="I19" i="59" s="1"/>
  <c r="H49" i="55"/>
  <c r="D52" i="4" s="1"/>
  <c r="J52" i="4" s="1"/>
  <c r="K12" i="38"/>
  <c r="E76" i="47"/>
  <c r="C51" i="55"/>
  <c r="G50" i="55"/>
  <c r="X28" i="6"/>
  <c r="Y28" i="6" s="1"/>
  <c r="L29" i="6"/>
  <c r="L35" i="6" s="1"/>
  <c r="K35" i="6"/>
  <c r="G22" i="46"/>
  <c r="E40" i="46" s="1"/>
  <c r="O18" i="32"/>
  <c r="N14" i="51" s="1"/>
  <c r="D90" i="62" s="1"/>
  <c r="F29" i="6"/>
  <c r="F35" i="6" s="1"/>
  <c r="E35" i="6"/>
  <c r="O14" i="32"/>
  <c r="N10" i="51" s="1"/>
  <c r="D86" i="62" s="1"/>
  <c r="K37" i="29"/>
  <c r="O34" i="6"/>
  <c r="G34" i="6"/>
  <c r="H28" i="6"/>
  <c r="H34" i="6" s="1"/>
  <c r="H29" i="6"/>
  <c r="H35" i="6" s="1"/>
  <c r="G35" i="6"/>
  <c r="D29" i="6"/>
  <c r="D35" i="6" s="1"/>
  <c r="C35" i="6"/>
  <c r="O10" i="32"/>
  <c r="N6" i="51" s="1"/>
  <c r="C37" i="29"/>
  <c r="F7" i="51"/>
  <c r="L8" i="47" s="1"/>
  <c r="X23" i="6"/>
  <c r="E7" i="51"/>
  <c r="L7" i="47" s="1"/>
  <c r="AL18" i="29"/>
  <c r="AL16" i="29"/>
  <c r="AL17" i="29"/>
  <c r="AC22" i="29"/>
  <c r="AC21" i="29"/>
  <c r="AC20" i="29"/>
  <c r="W18" i="29"/>
  <c r="AC18" i="29"/>
  <c r="AC24" i="29"/>
  <c r="AC19" i="29"/>
  <c r="U23" i="29"/>
  <c r="O18" i="29"/>
  <c r="U25" i="29"/>
  <c r="U16" i="29"/>
  <c r="W16" i="29" s="1"/>
  <c r="D23" i="51" s="1"/>
  <c r="R6" i="47" s="1"/>
  <c r="O16" i="29"/>
  <c r="O17" i="29"/>
  <c r="U17" i="29"/>
  <c r="P28" i="6" l="1"/>
  <c r="P34" i="6" s="1"/>
  <c r="L31" i="47"/>
  <c r="D82" i="62"/>
  <c r="C49" i="47"/>
  <c r="D49" i="47" s="1"/>
  <c r="N31" i="47"/>
  <c r="C33" i="47"/>
  <c r="D33" i="47" s="1"/>
  <c r="M31" i="47"/>
  <c r="N134" i="4"/>
  <c r="P29" i="6"/>
  <c r="P35" i="6" s="1"/>
  <c r="I12" i="59"/>
  <c r="I20" i="59" s="1"/>
  <c r="AV23" i="46"/>
  <c r="AT41" i="46" s="1"/>
  <c r="P30" i="32"/>
  <c r="O26" i="51" s="1"/>
  <c r="E102" i="62" s="1"/>
  <c r="S37" i="29"/>
  <c r="O30" i="32"/>
  <c r="N26" i="51" s="1"/>
  <c r="D102" i="62" s="1"/>
  <c r="H50" i="55"/>
  <c r="D53" i="4" s="1"/>
  <c r="J53" i="4" s="1"/>
  <c r="Y34" i="6"/>
  <c r="E71" i="47"/>
  <c r="K7" i="38"/>
  <c r="X18" i="29"/>
  <c r="F23" i="51"/>
  <c r="R8" i="47" s="1"/>
  <c r="C52" i="55"/>
  <c r="G51" i="55"/>
  <c r="G23" i="46"/>
  <c r="E41" i="46" s="1"/>
  <c r="S38" i="29"/>
  <c r="P18" i="32"/>
  <c r="O14" i="51" s="1"/>
  <c r="E90" i="62" s="1"/>
  <c r="F90" i="62" s="1"/>
  <c r="F17" i="38"/>
  <c r="P14" i="32"/>
  <c r="O10" i="51" s="1"/>
  <c r="E86" i="62" s="1"/>
  <c r="F86" i="62" s="1"/>
  <c r="K38" i="29"/>
  <c r="R22" i="46"/>
  <c r="P40" i="46" s="1"/>
  <c r="O22" i="32"/>
  <c r="N18" i="51" s="1"/>
  <c r="D94" i="62" s="1"/>
  <c r="X29" i="6"/>
  <c r="Y29" i="6" s="1"/>
  <c r="Y35" i="6" s="1"/>
  <c r="O35" i="6"/>
  <c r="P26" i="32" s="1"/>
  <c r="O22" i="51" s="1"/>
  <c r="E98" i="62" s="1"/>
  <c r="AV22" i="46"/>
  <c r="AT40" i="46" s="1"/>
  <c r="AB22" i="46"/>
  <c r="Z40" i="46" s="1"/>
  <c r="O26" i="32"/>
  <c r="N22" i="51" s="1"/>
  <c r="D98" i="62" s="1"/>
  <c r="X34" i="6"/>
  <c r="C17" i="47"/>
  <c r="D17" i="47" s="1"/>
  <c r="D17" i="38"/>
  <c r="P10" i="32"/>
  <c r="O6" i="51" s="1"/>
  <c r="C38" i="29"/>
  <c r="E9" i="47"/>
  <c r="C9" i="38"/>
  <c r="P18" i="29"/>
  <c r="F11" i="51"/>
  <c r="E8" i="47"/>
  <c r="C8" i="38"/>
  <c r="P17" i="29"/>
  <c r="E11" i="51"/>
  <c r="P16" i="29"/>
  <c r="D11" i="51"/>
  <c r="D7" i="51"/>
  <c r="L6" i="47" s="1"/>
  <c r="AK24" i="29"/>
  <c r="AK21" i="29"/>
  <c r="AK22" i="29"/>
  <c r="AE18" i="29"/>
  <c r="AF18" i="29" s="1"/>
  <c r="AK18" i="29"/>
  <c r="AK19" i="29"/>
  <c r="AK20" i="29"/>
  <c r="X16" i="29"/>
  <c r="AC16" i="29"/>
  <c r="AC25" i="29"/>
  <c r="AC23" i="29"/>
  <c r="W17" i="29"/>
  <c r="AC17" i="29"/>
  <c r="F98" i="62" l="1"/>
  <c r="F102" i="62"/>
  <c r="L32" i="47"/>
  <c r="E82" i="62"/>
  <c r="U6" i="47"/>
  <c r="D106" i="62"/>
  <c r="C82" i="47"/>
  <c r="P32" i="47"/>
  <c r="C98" i="47"/>
  <c r="Q32" i="47"/>
  <c r="E24" i="47"/>
  <c r="M7" i="47"/>
  <c r="C97" i="47"/>
  <c r="D97" i="47" s="1"/>
  <c r="Q31" i="47"/>
  <c r="E25" i="47"/>
  <c r="M8" i="47"/>
  <c r="C34" i="47"/>
  <c r="D34" i="47" s="1"/>
  <c r="M32" i="47"/>
  <c r="E23" i="47"/>
  <c r="M6" i="47"/>
  <c r="C65" i="47"/>
  <c r="D65" i="47" s="1"/>
  <c r="O31" i="47"/>
  <c r="C81" i="47"/>
  <c r="D81" i="47" s="1"/>
  <c r="P31" i="47"/>
  <c r="C50" i="47"/>
  <c r="D50" i="47" s="1"/>
  <c r="N32" i="47"/>
  <c r="F24" i="47"/>
  <c r="O130" i="4"/>
  <c r="O131" i="4" s="1"/>
  <c r="O132" i="4" s="1"/>
  <c r="O133" i="4" s="1"/>
  <c r="O134" i="4" s="1"/>
  <c r="O135" i="4" s="1"/>
  <c r="O136" i="4" s="1"/>
  <c r="O137" i="4" s="1"/>
  <c r="O138" i="4" s="1"/>
  <c r="O139" i="4" s="1"/>
  <c r="O140" i="4" s="1"/>
  <c r="O141" i="4" s="1"/>
  <c r="K130" i="4"/>
  <c r="K131" i="4" s="1"/>
  <c r="K132" i="4" s="1"/>
  <c r="K133" i="4" s="1"/>
  <c r="K134" i="4" s="1"/>
  <c r="K135" i="4" s="1"/>
  <c r="N135" i="4"/>
  <c r="AB23" i="46"/>
  <c r="Z41" i="46" s="1"/>
  <c r="H51" i="55"/>
  <c r="D54" i="4" s="1"/>
  <c r="J54" i="4" s="1"/>
  <c r="K130" i="57"/>
  <c r="K131" i="57" s="1"/>
  <c r="O142" i="4"/>
  <c r="O143" i="4" s="1"/>
  <c r="O144" i="4" s="1"/>
  <c r="O145" i="4" s="1"/>
  <c r="O146" i="4" s="1"/>
  <c r="O147" i="4" s="1"/>
  <c r="O148" i="4" s="1"/>
  <c r="O149" i="4" s="1"/>
  <c r="O150" i="4" s="1"/>
  <c r="O151" i="4" s="1"/>
  <c r="O152" i="4" s="1"/>
  <c r="O153" i="4" s="1"/>
  <c r="F9" i="47"/>
  <c r="X17" i="29"/>
  <c r="E23" i="51"/>
  <c r="E73" i="47"/>
  <c r="K9" i="38"/>
  <c r="C53" i="55"/>
  <c r="G52" i="55"/>
  <c r="P22" i="32"/>
  <c r="O18" i="51" s="1"/>
  <c r="E94" i="62" s="1"/>
  <c r="F94" i="62" s="1"/>
  <c r="R23" i="46"/>
  <c r="P41" i="46" s="1"/>
  <c r="X35" i="6"/>
  <c r="O50" i="32"/>
  <c r="N46" i="51"/>
  <c r="F33" i="38" s="1"/>
  <c r="G33" i="38" s="1"/>
  <c r="H33" i="38" s="1"/>
  <c r="C18" i="47"/>
  <c r="D18" i="47" s="1"/>
  <c r="D18" i="38"/>
  <c r="E7" i="38"/>
  <c r="E51" i="32"/>
  <c r="E7" i="47"/>
  <c r="F8" i="47" s="1"/>
  <c r="C7" i="38"/>
  <c r="E8" i="38"/>
  <c r="E9" i="38"/>
  <c r="D47" i="51"/>
  <c r="AE17" i="29"/>
  <c r="AF17" i="29" s="1"/>
  <c r="AK17" i="29"/>
  <c r="AE16" i="29"/>
  <c r="AF16" i="29" s="1"/>
  <c r="AK16" i="29"/>
  <c r="AK23" i="29"/>
  <c r="AM18" i="29"/>
  <c r="AN18" i="29" s="1"/>
  <c r="AK25" i="29"/>
  <c r="F47" i="51"/>
  <c r="G51" i="32"/>
  <c r="E106" i="62" l="1"/>
  <c r="F106" i="62" s="1"/>
  <c r="F82" i="62"/>
  <c r="F25" i="47"/>
  <c r="D82" i="47"/>
  <c r="D98" i="47"/>
  <c r="R31" i="47"/>
  <c r="E47" i="51"/>
  <c r="F12" i="58" s="1"/>
  <c r="F14" i="58" s="1"/>
  <c r="F16" i="58" s="1"/>
  <c r="F20" i="58" s="1"/>
  <c r="R7" i="47"/>
  <c r="C66" i="47"/>
  <c r="D66" i="47" s="1"/>
  <c r="O32" i="47"/>
  <c r="R32" i="47" s="1"/>
  <c r="G12" i="58"/>
  <c r="G14" i="58" s="1"/>
  <c r="G16" i="58" s="1"/>
  <c r="G20" i="58" s="1"/>
  <c r="C25" i="38"/>
  <c r="E12" i="58"/>
  <c r="E14" i="58" s="1"/>
  <c r="E16" i="58" s="1"/>
  <c r="E20" i="58" s="1"/>
  <c r="C23" i="38"/>
  <c r="K136" i="4"/>
  <c r="N136" i="4"/>
  <c r="H52" i="55"/>
  <c r="D55" i="4" s="1"/>
  <c r="J55" i="4" s="1"/>
  <c r="N130" i="57"/>
  <c r="K132" i="57"/>
  <c r="N131" i="57"/>
  <c r="E72" i="47"/>
  <c r="K8" i="38"/>
  <c r="F51" i="32"/>
  <c r="C54" i="55"/>
  <c r="G53" i="55"/>
  <c r="O46" i="51"/>
  <c r="F34" i="38" s="1"/>
  <c r="G34" i="38" s="1"/>
  <c r="H34" i="38" s="1"/>
  <c r="P50" i="32"/>
  <c r="AM17" i="29"/>
  <c r="AN17" i="29" s="1"/>
  <c r="AM16" i="29"/>
  <c r="AN16" i="29" s="1"/>
  <c r="C24" i="38" l="1"/>
  <c r="D24" i="38"/>
  <c r="E24" i="38" s="1"/>
  <c r="D25" i="38"/>
  <c r="E25" i="38" s="1"/>
  <c r="K137" i="4"/>
  <c r="N137" i="4"/>
  <c r="H53" i="55"/>
  <c r="D56" i="4" s="1"/>
  <c r="J56" i="4" s="1"/>
  <c r="K133" i="57"/>
  <c r="N132" i="57"/>
  <c r="F73" i="47"/>
  <c r="F72" i="47"/>
  <c r="D54" i="55"/>
  <c r="C55" i="55" s="1"/>
  <c r="G54" i="55"/>
  <c r="D82" i="59" s="1"/>
  <c r="E82" i="59" s="1"/>
  <c r="E54" i="55"/>
  <c r="R135" i="4"/>
  <c r="R130" i="4"/>
  <c r="R133" i="4"/>
  <c r="R134" i="4"/>
  <c r="R131" i="4"/>
  <c r="R136" i="4"/>
  <c r="R132" i="4"/>
  <c r="R137" i="4" l="1"/>
  <c r="K138" i="4"/>
  <c r="N138" i="4"/>
  <c r="H54" i="55"/>
  <c r="D57" i="4" s="1"/>
  <c r="J57" i="4" s="1"/>
  <c r="K134" i="57"/>
  <c r="N133" i="57"/>
  <c r="G55" i="55"/>
  <c r="C56" i="55"/>
  <c r="V39" i="4" l="1"/>
  <c r="AC7" i="60"/>
  <c r="K139" i="4"/>
  <c r="N139" i="4"/>
  <c r="R138" i="4"/>
  <c r="H52" i="46"/>
  <c r="D19" i="29"/>
  <c r="L19" i="29" s="1"/>
  <c r="H55" i="55"/>
  <c r="D58" i="4" s="1"/>
  <c r="J58" i="4" s="1"/>
  <c r="K135" i="57"/>
  <c r="N134" i="57"/>
  <c r="C57" i="55"/>
  <c r="G56" i="55"/>
  <c r="AD7" i="60" l="1"/>
  <c r="AG7" i="60"/>
  <c r="W39" i="4"/>
  <c r="V51" i="4"/>
  <c r="X51" i="4" s="1"/>
  <c r="Z39" i="4"/>
  <c r="K140" i="4"/>
  <c r="N140" i="4"/>
  <c r="R139" i="4"/>
  <c r="F19" i="29"/>
  <c r="G19" i="29" s="1"/>
  <c r="H19" i="29" s="1"/>
  <c r="H56" i="55"/>
  <c r="D59" i="4" s="1"/>
  <c r="J59" i="4" s="1"/>
  <c r="K136" i="57"/>
  <c r="N135" i="57"/>
  <c r="T19" i="29"/>
  <c r="N19" i="29"/>
  <c r="O19" i="29" s="1"/>
  <c r="C58" i="55"/>
  <c r="G57" i="55"/>
  <c r="K141" i="4" l="1"/>
  <c r="N141" i="4"/>
  <c r="R140" i="4"/>
  <c r="H57" i="55"/>
  <c r="D60" i="4" s="1"/>
  <c r="J60" i="4" s="1"/>
  <c r="K137" i="57"/>
  <c r="N136" i="57"/>
  <c r="G11" i="51"/>
  <c r="P19" i="29"/>
  <c r="V19" i="29"/>
  <c r="W19" i="29" s="1"/>
  <c r="AB19" i="29"/>
  <c r="G7" i="51"/>
  <c r="L9" i="47" s="1"/>
  <c r="C59" i="55"/>
  <c r="G58" i="55"/>
  <c r="E26" i="47" l="1"/>
  <c r="F26" i="47" s="1"/>
  <c r="M9" i="47"/>
  <c r="K142" i="4"/>
  <c r="N142" i="4"/>
  <c r="R141" i="4"/>
  <c r="S141" i="4" s="1"/>
  <c r="H58" i="55"/>
  <c r="D61" i="4" s="1"/>
  <c r="J61" i="4" s="1"/>
  <c r="K138" i="57"/>
  <c r="N137" i="57"/>
  <c r="E10" i="38"/>
  <c r="E10" i="47"/>
  <c r="C10" i="38"/>
  <c r="AD19" i="29"/>
  <c r="AE19" i="29" s="1"/>
  <c r="AF19" i="29" s="1"/>
  <c r="AJ19" i="29"/>
  <c r="AL19" i="29" s="1"/>
  <c r="AM19" i="29" s="1"/>
  <c r="AN19" i="29" s="1"/>
  <c r="X19" i="29"/>
  <c r="C60" i="55"/>
  <c r="G59" i="55"/>
  <c r="O32" i="32"/>
  <c r="H44" i="53" s="1"/>
  <c r="N37" i="29"/>
  <c r="V37" i="29"/>
  <c r="E26" i="29" l="1"/>
  <c r="M26" i="29" s="1"/>
  <c r="U26" i="29" s="1"/>
  <c r="AC26" i="29" s="1"/>
  <c r="AK26" i="29" s="1"/>
  <c r="K143" i="4"/>
  <c r="N143" i="4"/>
  <c r="R142" i="4"/>
  <c r="H59" i="55"/>
  <c r="D62" i="4" s="1"/>
  <c r="J62" i="4" s="1"/>
  <c r="K139" i="57"/>
  <c r="N138" i="57"/>
  <c r="F10" i="47"/>
  <c r="G23" i="51"/>
  <c r="R9" i="47" s="1"/>
  <c r="H51" i="32"/>
  <c r="C61" i="55"/>
  <c r="G60" i="55"/>
  <c r="N44" i="53"/>
  <c r="K144" i="4" l="1"/>
  <c r="N144" i="4"/>
  <c r="R143" i="4"/>
  <c r="H60" i="55"/>
  <c r="D63" i="4" s="1"/>
  <c r="J63" i="4" s="1"/>
  <c r="K140" i="57"/>
  <c r="N139" i="57"/>
  <c r="G47" i="51"/>
  <c r="E74" i="47"/>
  <c r="K10" i="38"/>
  <c r="C62" i="55"/>
  <c r="G61" i="55"/>
  <c r="H12" i="58" l="1"/>
  <c r="H14" i="58" s="1"/>
  <c r="H16" i="58" s="1"/>
  <c r="H20" i="58" s="1"/>
  <c r="C26" i="38"/>
  <c r="D26" i="38" s="1"/>
  <c r="E26" i="38" s="1"/>
  <c r="K145" i="4"/>
  <c r="N145" i="4"/>
  <c r="R144" i="4"/>
  <c r="H61" i="55"/>
  <c r="D64" i="4" s="1"/>
  <c r="J64" i="4" s="1"/>
  <c r="K141" i="57"/>
  <c r="N140" i="57"/>
  <c r="F74" i="47"/>
  <c r="C63" i="55"/>
  <c r="G62" i="55"/>
  <c r="K146" i="4" l="1"/>
  <c r="N146" i="4"/>
  <c r="R145" i="4"/>
  <c r="H62" i="55"/>
  <c r="D65" i="4" s="1"/>
  <c r="J65" i="4" s="1"/>
  <c r="K142" i="57"/>
  <c r="N141" i="57"/>
  <c r="O141" i="57" s="1"/>
  <c r="C64" i="55"/>
  <c r="G63" i="55"/>
  <c r="K147" i="4" l="1"/>
  <c r="N147" i="4"/>
  <c r="R146" i="4"/>
  <c r="H63" i="55"/>
  <c r="D66" i="4" s="1"/>
  <c r="J66" i="4" s="1"/>
  <c r="K143" i="57"/>
  <c r="N142" i="57"/>
  <c r="C65" i="55"/>
  <c r="G64" i="55"/>
  <c r="K148" i="4" l="1"/>
  <c r="N148" i="4"/>
  <c r="R147" i="4"/>
  <c r="H64" i="55"/>
  <c r="D67" i="4" s="1"/>
  <c r="J67" i="4" s="1"/>
  <c r="K144" i="57"/>
  <c r="N143" i="57"/>
  <c r="C66" i="55"/>
  <c r="G65" i="55"/>
  <c r="K149" i="4" l="1"/>
  <c r="N149" i="4"/>
  <c r="R148" i="4"/>
  <c r="H65" i="55"/>
  <c r="D68" i="4" s="1"/>
  <c r="J68" i="4" s="1"/>
  <c r="K145" i="57"/>
  <c r="N144" i="57"/>
  <c r="D66" i="55"/>
  <c r="C67" i="55" s="1"/>
  <c r="G66" i="55"/>
  <c r="D83" i="59" s="1"/>
  <c r="E83" i="59" s="1"/>
  <c r="E66" i="55"/>
  <c r="K150" i="4" l="1"/>
  <c r="N150" i="4"/>
  <c r="R149" i="4"/>
  <c r="H66" i="55"/>
  <c r="D69" i="4" s="1"/>
  <c r="J69" i="4" s="1"/>
  <c r="K146" i="57"/>
  <c r="N145" i="57"/>
  <c r="G67" i="55"/>
  <c r="C68" i="55"/>
  <c r="AC8" i="60" l="1"/>
  <c r="V40" i="4"/>
  <c r="K151" i="4"/>
  <c r="N151" i="4"/>
  <c r="R150" i="4"/>
  <c r="H53" i="46"/>
  <c r="D20" i="29"/>
  <c r="F20" i="29" s="1"/>
  <c r="G20" i="29" s="1"/>
  <c r="H20" i="29" s="1"/>
  <c r="H67" i="55"/>
  <c r="D70" i="4" s="1"/>
  <c r="J70" i="4" s="1"/>
  <c r="K147" i="57"/>
  <c r="N146" i="57"/>
  <c r="C69" i="55"/>
  <c r="G68" i="55"/>
  <c r="W40" i="4" l="1"/>
  <c r="V52" i="4"/>
  <c r="X52" i="4" s="1"/>
  <c r="Z40" i="4"/>
  <c r="L20" i="29"/>
  <c r="T20" i="29" s="1"/>
  <c r="AD8" i="60"/>
  <c r="AG8" i="60"/>
  <c r="K152" i="4"/>
  <c r="N152" i="4"/>
  <c r="R151" i="4"/>
  <c r="H68" i="55"/>
  <c r="D71" i="4" s="1"/>
  <c r="J71" i="4" s="1"/>
  <c r="K148" i="57"/>
  <c r="N147" i="57"/>
  <c r="C70" i="55"/>
  <c r="G69" i="55"/>
  <c r="P32" i="32"/>
  <c r="I44" i="53" s="1"/>
  <c r="T44" i="53" s="1"/>
  <c r="N20" i="29" l="1"/>
  <c r="O20" i="29" s="1"/>
  <c r="P20" i="29" s="1"/>
  <c r="K153" i="4"/>
  <c r="N153" i="4"/>
  <c r="R152" i="4"/>
  <c r="H69" i="55"/>
  <c r="D72" i="4" s="1"/>
  <c r="J72" i="4" s="1"/>
  <c r="K149" i="57"/>
  <c r="N148" i="57"/>
  <c r="AB20" i="29"/>
  <c r="V20" i="29"/>
  <c r="W20" i="29" s="1"/>
  <c r="H7" i="51"/>
  <c r="L10" i="47" s="1"/>
  <c r="H11" i="51"/>
  <c r="C71" i="55"/>
  <c r="G70" i="55"/>
  <c r="E27" i="47" l="1"/>
  <c r="F27" i="47" s="1"/>
  <c r="M10" i="47"/>
  <c r="R153" i="4"/>
  <c r="S153" i="4" s="1"/>
  <c r="H70" i="55"/>
  <c r="D73" i="4" s="1"/>
  <c r="J73" i="4" s="1"/>
  <c r="K150" i="57"/>
  <c r="N149" i="57"/>
  <c r="E11" i="38"/>
  <c r="E11" i="47"/>
  <c r="F11" i="47" s="1"/>
  <c r="C11" i="38"/>
  <c r="H23" i="51"/>
  <c r="X20" i="29"/>
  <c r="AD20" i="29"/>
  <c r="AE20" i="29" s="1"/>
  <c r="AF20" i="29" s="1"/>
  <c r="AJ20" i="29"/>
  <c r="AL20" i="29" s="1"/>
  <c r="AM20" i="29" s="1"/>
  <c r="AN20" i="29" s="1"/>
  <c r="C72" i="55"/>
  <c r="G71" i="55"/>
  <c r="H47" i="51" l="1"/>
  <c r="C27" i="38" s="1"/>
  <c r="D27" i="38" s="1"/>
  <c r="E27" i="38" s="1"/>
  <c r="R10" i="47"/>
  <c r="E27" i="29"/>
  <c r="M27" i="29" s="1"/>
  <c r="H71" i="55"/>
  <c r="D74" i="4" s="1"/>
  <c r="J74" i="4" s="1"/>
  <c r="K151" i="57"/>
  <c r="N150" i="57"/>
  <c r="I51" i="32"/>
  <c r="E75" i="47"/>
  <c r="K11" i="38"/>
  <c r="C73" i="55"/>
  <c r="G72" i="55"/>
  <c r="U27" i="29" l="1"/>
  <c r="AC27" i="29" s="1"/>
  <c r="AK27" i="29" s="1"/>
  <c r="I12" i="58"/>
  <c r="I14" i="58" s="1"/>
  <c r="I16" i="58" s="1"/>
  <c r="I20" i="58" s="1"/>
  <c r="H72" i="55"/>
  <c r="D75" i="4" s="1"/>
  <c r="J75" i="4" s="1"/>
  <c r="K152" i="57"/>
  <c r="N151" i="57"/>
  <c r="F76" i="47"/>
  <c r="F75" i="47"/>
  <c r="C74" i="55"/>
  <c r="G73" i="55"/>
  <c r="H73" i="55" l="1"/>
  <c r="D76" i="4" s="1"/>
  <c r="J76" i="4" s="1"/>
  <c r="K153" i="57"/>
  <c r="N153" i="57" s="1"/>
  <c r="N152" i="57"/>
  <c r="C75" i="55"/>
  <c r="G74" i="55"/>
  <c r="H74" i="55" l="1"/>
  <c r="D77" i="4" s="1"/>
  <c r="J77" i="4" s="1"/>
  <c r="O153" i="57"/>
  <c r="Q153" i="57" s="1"/>
  <c r="C76" i="55"/>
  <c r="G75" i="55"/>
  <c r="H75" i="55" l="1"/>
  <c r="D78" i="4" s="1"/>
  <c r="J78" i="4" s="1"/>
  <c r="C77" i="55"/>
  <c r="G76" i="55"/>
  <c r="S36" i="53"/>
  <c r="H76" i="55" l="1"/>
  <c r="D79" i="4" s="1"/>
  <c r="J79" i="4" s="1"/>
  <c r="C78" i="55"/>
  <c r="G77" i="55"/>
  <c r="H77" i="55" l="1"/>
  <c r="D80" i="4" s="1"/>
  <c r="J80" i="4" s="1"/>
  <c r="D78" i="55"/>
  <c r="C79" i="55" s="1"/>
  <c r="G78" i="55"/>
  <c r="D84" i="59" s="1"/>
  <c r="E84" i="59" s="1"/>
  <c r="E78" i="55"/>
  <c r="H78" i="55" l="1"/>
  <c r="D81" i="4" s="1"/>
  <c r="J81" i="4" s="1"/>
  <c r="G79" i="55"/>
  <c r="C80" i="55"/>
  <c r="V41" i="4" l="1"/>
  <c r="AC9" i="60"/>
  <c r="D21" i="29"/>
  <c r="L21" i="29" s="1"/>
  <c r="H54" i="46"/>
  <c r="H79" i="55"/>
  <c r="D82" i="4" s="1"/>
  <c r="J82" i="4" s="1"/>
  <c r="C81" i="55"/>
  <c r="G80" i="55"/>
  <c r="AD9" i="60" l="1"/>
  <c r="AG9" i="60"/>
  <c r="V53" i="4"/>
  <c r="X53" i="4" s="1"/>
  <c r="W41" i="4"/>
  <c r="Z41" i="4"/>
  <c r="F21" i="29"/>
  <c r="G21" i="29" s="1"/>
  <c r="H21" i="29" s="1"/>
  <c r="H80" i="55"/>
  <c r="D83" i="4" s="1"/>
  <c r="J83" i="4" s="1"/>
  <c r="T21" i="29"/>
  <c r="N21" i="29"/>
  <c r="O21" i="29" s="1"/>
  <c r="C82" i="55"/>
  <c r="G81" i="55"/>
  <c r="H81" i="55" l="1"/>
  <c r="D84" i="4" s="1"/>
  <c r="J84" i="4" s="1"/>
  <c r="I11" i="51"/>
  <c r="P21" i="29"/>
  <c r="AB21" i="29"/>
  <c r="V21" i="29"/>
  <c r="W21" i="29" s="1"/>
  <c r="X21" i="29" s="1"/>
  <c r="I7" i="51"/>
  <c r="L11" i="47" s="1"/>
  <c r="C83" i="55"/>
  <c r="G82" i="55"/>
  <c r="P20" i="46"/>
  <c r="U20" i="46" s="1"/>
  <c r="E28" i="47" l="1"/>
  <c r="F28" i="47" s="1"/>
  <c r="M11" i="47"/>
  <c r="H82" i="55"/>
  <c r="D85" i="4" s="1"/>
  <c r="J85" i="4" s="1"/>
  <c r="S20" i="46"/>
  <c r="L54" i="59"/>
  <c r="N54" i="59" s="1"/>
  <c r="P54" i="59" s="1"/>
  <c r="Q54" i="59" s="1"/>
  <c r="M23" i="32"/>
  <c r="L19" i="51" s="1"/>
  <c r="P14" i="47" s="1"/>
  <c r="I47" i="51"/>
  <c r="AD21" i="29"/>
  <c r="AE21" i="29" s="1"/>
  <c r="AF21" i="29" s="1"/>
  <c r="AJ21" i="29"/>
  <c r="AL21" i="29" s="1"/>
  <c r="AM21" i="29" s="1"/>
  <c r="AN21" i="29" s="1"/>
  <c r="C12" i="38"/>
  <c r="E12" i="47"/>
  <c r="F12" i="47" s="1"/>
  <c r="E12" i="38"/>
  <c r="C84" i="55"/>
  <c r="G83" i="55"/>
  <c r="P21" i="46"/>
  <c r="U21" i="46" s="1"/>
  <c r="U25" i="46" s="1"/>
  <c r="J12" i="58" l="1"/>
  <c r="J14" i="58" s="1"/>
  <c r="J16" i="58" s="1"/>
  <c r="J20" i="58" s="1"/>
  <c r="C28" i="38"/>
  <c r="D28" i="38" s="1"/>
  <c r="E28" i="38" s="1"/>
  <c r="H83" i="55"/>
  <c r="D86" i="4" s="1"/>
  <c r="J86" i="4" s="1"/>
  <c r="F22" i="53"/>
  <c r="S21" i="46"/>
  <c r="S25" i="46" s="1"/>
  <c r="Q40" i="46" s="1"/>
  <c r="L55" i="59"/>
  <c r="N55" i="59" s="1"/>
  <c r="N23" i="32"/>
  <c r="C85" i="55"/>
  <c r="G84" i="55"/>
  <c r="P55" i="59" l="1"/>
  <c r="Q55" i="59" s="1"/>
  <c r="Q56" i="59" s="1"/>
  <c r="H84" i="55"/>
  <c r="D87" i="4" s="1"/>
  <c r="J87" i="4" s="1"/>
  <c r="Q41" i="46"/>
  <c r="M19" i="51"/>
  <c r="P15" i="47" s="1"/>
  <c r="G22" i="53"/>
  <c r="E63" i="47"/>
  <c r="I15" i="38"/>
  <c r="C86" i="55"/>
  <c r="G85" i="55"/>
  <c r="P56" i="59" l="1"/>
  <c r="H11" i="59" s="1"/>
  <c r="H85" i="55"/>
  <c r="D88" i="4" s="1"/>
  <c r="J88" i="4" s="1"/>
  <c r="F63" i="47"/>
  <c r="E64" i="47"/>
  <c r="F64" i="47" s="1"/>
  <c r="I16" i="38"/>
  <c r="C87" i="55"/>
  <c r="G86" i="55"/>
  <c r="C11" i="59" l="1"/>
  <c r="J11" i="59"/>
  <c r="H19" i="59"/>
  <c r="J19" i="59" s="1"/>
  <c r="P57" i="59"/>
  <c r="H12" i="59" s="1"/>
  <c r="H86" i="55"/>
  <c r="D89" i="4" s="1"/>
  <c r="J89" i="4" s="1"/>
  <c r="C88" i="55"/>
  <c r="G87" i="55"/>
  <c r="H20" i="59" l="1"/>
  <c r="J20" i="59" s="1"/>
  <c r="C12" i="59"/>
  <c r="J12" i="59"/>
  <c r="H87" i="55"/>
  <c r="D90" i="4" s="1"/>
  <c r="J90" i="4" s="1"/>
  <c r="C89" i="55"/>
  <c r="G88" i="55"/>
  <c r="H88" i="55" l="1"/>
  <c r="D91" i="4" s="1"/>
  <c r="J91" i="4" s="1"/>
  <c r="C90" i="55"/>
  <c r="G89" i="55"/>
  <c r="H89" i="55" l="1"/>
  <c r="D92" i="4" s="1"/>
  <c r="J92" i="4" s="1"/>
  <c r="G90" i="55"/>
  <c r="D85" i="59" s="1"/>
  <c r="E85" i="59" s="1"/>
  <c r="D90" i="55"/>
  <c r="C91" i="55" s="1"/>
  <c r="E90" i="55"/>
  <c r="H90" i="55" l="1"/>
  <c r="D93" i="4" s="1"/>
  <c r="J93" i="4" s="1"/>
  <c r="G91" i="55"/>
  <c r="C92" i="55"/>
  <c r="V42" i="4" l="1"/>
  <c r="AC10" i="60"/>
  <c r="H55" i="46"/>
  <c r="D22" i="29"/>
  <c r="L22" i="29" s="1"/>
  <c r="H91" i="55"/>
  <c r="D94" i="4" s="1"/>
  <c r="J94" i="4" s="1"/>
  <c r="C93" i="55"/>
  <c r="G92" i="55"/>
  <c r="AD10" i="60" l="1"/>
  <c r="AG10" i="60"/>
  <c r="V54" i="4"/>
  <c r="X54" i="4" s="1"/>
  <c r="W42" i="4"/>
  <c r="Z42" i="4"/>
  <c r="H92" i="55"/>
  <c r="D95" i="4" s="1"/>
  <c r="J95" i="4" s="1"/>
  <c r="F22" i="29"/>
  <c r="G22" i="29" s="1"/>
  <c r="H22" i="29" s="1"/>
  <c r="T22" i="29"/>
  <c r="N22" i="29"/>
  <c r="O22" i="29" s="1"/>
  <c r="C94" i="55"/>
  <c r="G93" i="55"/>
  <c r="H93" i="55" l="1"/>
  <c r="D96" i="4" s="1"/>
  <c r="J96" i="4" s="1"/>
  <c r="V22" i="29"/>
  <c r="W22" i="29" s="1"/>
  <c r="AB22" i="29"/>
  <c r="J7" i="51"/>
  <c r="L12" i="47" s="1"/>
  <c r="P22" i="29"/>
  <c r="J11" i="51"/>
  <c r="C95" i="55"/>
  <c r="G94" i="55"/>
  <c r="E29" i="47" l="1"/>
  <c r="M12" i="47"/>
  <c r="F29" i="47"/>
  <c r="H94" i="55"/>
  <c r="D97" i="4" s="1"/>
  <c r="J97" i="4" s="1"/>
  <c r="E13" i="38"/>
  <c r="AD22" i="29"/>
  <c r="AE22" i="29" s="1"/>
  <c r="AF22" i="29" s="1"/>
  <c r="AJ22" i="29"/>
  <c r="AL22" i="29" s="1"/>
  <c r="AM22" i="29" s="1"/>
  <c r="AN22" i="29" s="1"/>
  <c r="K51" i="32"/>
  <c r="E13" i="47"/>
  <c r="C13" i="38"/>
  <c r="X22" i="29"/>
  <c r="J23" i="51"/>
  <c r="R12" i="47" s="1"/>
  <c r="C96" i="55"/>
  <c r="G95" i="55"/>
  <c r="H95" i="55" l="1"/>
  <c r="D98" i="4" s="1"/>
  <c r="J98" i="4" s="1"/>
  <c r="F13" i="47"/>
  <c r="J47" i="51"/>
  <c r="E77" i="47"/>
  <c r="K13" i="38"/>
  <c r="C97" i="55"/>
  <c r="G96" i="55"/>
  <c r="K12" i="58" l="1"/>
  <c r="K14" i="58" s="1"/>
  <c r="K16" i="58" s="1"/>
  <c r="K20" i="58" s="1"/>
  <c r="C29" i="38"/>
  <c r="D29" i="38" s="1"/>
  <c r="E29" i="38" s="1"/>
  <c r="H96" i="55"/>
  <c r="D99" i="4" s="1"/>
  <c r="J99" i="4" s="1"/>
  <c r="F77" i="47"/>
  <c r="C98" i="55"/>
  <c r="G97" i="55"/>
  <c r="H97" i="55" l="1"/>
  <c r="D100" i="4" s="1"/>
  <c r="J100" i="4" s="1"/>
  <c r="C99" i="55"/>
  <c r="G98" i="55"/>
  <c r="H98" i="55" l="1"/>
  <c r="D101" i="4" s="1"/>
  <c r="J101" i="4" s="1"/>
  <c r="C100" i="55"/>
  <c r="G99" i="55"/>
  <c r="H99" i="55" l="1"/>
  <c r="D102" i="4" s="1"/>
  <c r="J102" i="4" s="1"/>
  <c r="C101" i="55"/>
  <c r="G100" i="55"/>
  <c r="H100" i="55" l="1"/>
  <c r="D103" i="4" s="1"/>
  <c r="J103" i="4" s="1"/>
  <c r="C102" i="55"/>
  <c r="G101" i="55"/>
  <c r="H101" i="55" l="1"/>
  <c r="D104" i="4" s="1"/>
  <c r="J104" i="4" s="1"/>
  <c r="G102" i="55"/>
  <c r="D86" i="59" s="1"/>
  <c r="E86" i="59" s="1"/>
  <c r="D102" i="55"/>
  <c r="C103" i="55" s="1"/>
  <c r="E102" i="55"/>
  <c r="H102" i="55" l="1"/>
  <c r="D105" i="4" s="1"/>
  <c r="J105" i="4" s="1"/>
  <c r="G103" i="55"/>
  <c r="C104" i="55"/>
  <c r="V43" i="4" l="1"/>
  <c r="AC11" i="60"/>
  <c r="H56" i="46"/>
  <c r="D23" i="29"/>
  <c r="F23" i="29" s="1"/>
  <c r="G23" i="29" s="1"/>
  <c r="H23" i="29" s="1"/>
  <c r="H103" i="55"/>
  <c r="D106" i="4" s="1"/>
  <c r="J106" i="4" s="1"/>
  <c r="C105" i="55"/>
  <c r="G104" i="55"/>
  <c r="AD11" i="60" l="1"/>
  <c r="AG11" i="60"/>
  <c r="W43" i="4"/>
  <c r="V55" i="4"/>
  <c r="X55" i="4" s="1"/>
  <c r="Z43" i="4"/>
  <c r="H104" i="55"/>
  <c r="D107" i="4" s="1"/>
  <c r="J107" i="4" s="1"/>
  <c r="L23" i="29"/>
  <c r="N23" i="29" s="1"/>
  <c r="O23" i="29" s="1"/>
  <c r="C106" i="55"/>
  <c r="G105" i="55"/>
  <c r="T23" i="29" l="1"/>
  <c r="AB23" i="29" s="1"/>
  <c r="H105" i="55"/>
  <c r="D108" i="4" s="1"/>
  <c r="J108" i="4" s="1"/>
  <c r="K7" i="51"/>
  <c r="L13" i="47" s="1"/>
  <c r="E16" i="53"/>
  <c r="P23" i="29"/>
  <c r="C107" i="55"/>
  <c r="G106" i="55"/>
  <c r="V23" i="29" l="1"/>
  <c r="W23" i="29" s="1"/>
  <c r="X23" i="29" s="1"/>
  <c r="H106" i="55"/>
  <c r="D109" i="4" s="1"/>
  <c r="J109" i="4" s="1"/>
  <c r="AD23" i="29"/>
  <c r="AE23" i="29" s="1"/>
  <c r="AF23" i="29" s="1"/>
  <c r="AJ23" i="29"/>
  <c r="AL23" i="29" s="1"/>
  <c r="AM23" i="29" s="1"/>
  <c r="AN23" i="29" s="1"/>
  <c r="E18" i="53"/>
  <c r="K11" i="51"/>
  <c r="C14" i="38"/>
  <c r="E14" i="47"/>
  <c r="C108" i="55"/>
  <c r="G107" i="55"/>
  <c r="E30" i="47" l="1"/>
  <c r="M13" i="47"/>
  <c r="F30" i="47"/>
  <c r="H107" i="55"/>
  <c r="D110" i="4" s="1"/>
  <c r="J110" i="4" s="1"/>
  <c r="F14" i="47"/>
  <c r="E14" i="38"/>
  <c r="K23" i="51"/>
  <c r="R13" i="47" s="1"/>
  <c r="E24" i="53"/>
  <c r="E30" i="53" s="1"/>
  <c r="L51" i="32"/>
  <c r="C109" i="55"/>
  <c r="G108" i="55"/>
  <c r="H108" i="55" l="1"/>
  <c r="D111" i="4" s="1"/>
  <c r="J111" i="4" s="1"/>
  <c r="K47" i="51"/>
  <c r="E78" i="47"/>
  <c r="K14" i="38"/>
  <c r="C110" i="55"/>
  <c r="G109" i="55"/>
  <c r="L12" i="58" l="1"/>
  <c r="L14" i="58" s="1"/>
  <c r="L16" i="58" s="1"/>
  <c r="L20" i="58" s="1"/>
  <c r="C30" i="38"/>
  <c r="D30" i="38" s="1"/>
  <c r="E30" i="38" s="1"/>
  <c r="H109" i="55"/>
  <c r="D112" i="4" s="1"/>
  <c r="J112" i="4" s="1"/>
  <c r="F78" i="47"/>
  <c r="C111" i="55"/>
  <c r="G110" i="55"/>
  <c r="H110" i="55" l="1"/>
  <c r="D113" i="4" s="1"/>
  <c r="J113" i="4" s="1"/>
  <c r="C112" i="55"/>
  <c r="G111" i="55"/>
  <c r="H111" i="55" l="1"/>
  <c r="D114" i="4" s="1"/>
  <c r="J114" i="4" s="1"/>
  <c r="C113" i="55"/>
  <c r="G112" i="55"/>
  <c r="H112" i="55" l="1"/>
  <c r="D115" i="4" s="1"/>
  <c r="J115" i="4" s="1"/>
  <c r="C114" i="55"/>
  <c r="G113" i="55"/>
  <c r="H113" i="55" l="1"/>
  <c r="D116" i="4" s="1"/>
  <c r="J116" i="4" s="1"/>
  <c r="D114" i="55"/>
  <c r="C115" i="55" s="1"/>
  <c r="G115" i="55" s="1"/>
  <c r="G114" i="55"/>
  <c r="D87" i="59" s="1"/>
  <c r="E87" i="59" s="1"/>
  <c r="E114" i="55"/>
  <c r="H114" i="55" l="1"/>
  <c r="D117" i="4" s="1"/>
  <c r="J117" i="4" s="1"/>
  <c r="C116" i="55"/>
  <c r="C117" i="55" s="1"/>
  <c r="V44" i="4" l="1"/>
  <c r="AC12" i="60"/>
  <c r="H57" i="46"/>
  <c r="D24" i="29"/>
  <c r="L24" i="29" s="1"/>
  <c r="H115" i="55"/>
  <c r="D118" i="4" s="1"/>
  <c r="J118" i="4" s="1"/>
  <c r="G116" i="55"/>
  <c r="C118" i="55"/>
  <c r="G117" i="55"/>
  <c r="AG12" i="60" l="1"/>
  <c r="AD12" i="60"/>
  <c r="V56" i="4"/>
  <c r="X56" i="4" s="1"/>
  <c r="Z44" i="4"/>
  <c r="W44" i="4"/>
  <c r="F24" i="29"/>
  <c r="G24" i="29" s="1"/>
  <c r="H24" i="29" s="1"/>
  <c r="H116" i="55"/>
  <c r="D119" i="4" s="1"/>
  <c r="J119" i="4" s="1"/>
  <c r="H117" i="55"/>
  <c r="D120" i="4" s="1"/>
  <c r="J120" i="4" s="1"/>
  <c r="T24" i="29"/>
  <c r="N24" i="29"/>
  <c r="O24" i="29" s="1"/>
  <c r="C119" i="55"/>
  <c r="G118" i="55"/>
  <c r="H118" i="55" l="1"/>
  <c r="D121" i="4" s="1"/>
  <c r="J121" i="4" s="1"/>
  <c r="P24" i="29"/>
  <c r="V24" i="29"/>
  <c r="W24" i="29" s="1"/>
  <c r="AB24" i="29"/>
  <c r="L7" i="51"/>
  <c r="L14" i="47" s="1"/>
  <c r="F16" i="53"/>
  <c r="C120" i="55"/>
  <c r="G119" i="55"/>
  <c r="H119" i="55" l="1"/>
  <c r="D122" i="4" s="1"/>
  <c r="J122" i="4" s="1"/>
  <c r="X24" i="29"/>
  <c r="E15" i="47"/>
  <c r="F15" i="47" s="1"/>
  <c r="C15" i="38"/>
  <c r="AD24" i="29"/>
  <c r="AE24" i="29" s="1"/>
  <c r="AF24" i="29" s="1"/>
  <c r="AJ24" i="29"/>
  <c r="AL24" i="29" s="1"/>
  <c r="AM24" i="29" s="1"/>
  <c r="AN24" i="29" s="1"/>
  <c r="F18" i="53"/>
  <c r="L11" i="51"/>
  <c r="C121" i="55"/>
  <c r="G120" i="55"/>
  <c r="E31" i="47" l="1"/>
  <c r="F31" i="47" s="1"/>
  <c r="M14" i="47"/>
  <c r="H120" i="55"/>
  <c r="D123" i="4" s="1"/>
  <c r="J123" i="4" s="1"/>
  <c r="L23" i="51"/>
  <c r="R14" i="47" s="1"/>
  <c r="F24" i="53"/>
  <c r="F30" i="53" s="1"/>
  <c r="M51" i="32"/>
  <c r="E15" i="38"/>
  <c r="C122" i="55"/>
  <c r="G121" i="55"/>
  <c r="H121" i="55" l="1"/>
  <c r="D124" i="4" s="1"/>
  <c r="J124" i="4" s="1"/>
  <c r="K15" i="38"/>
  <c r="E79" i="47"/>
  <c r="F79" i="47" s="1"/>
  <c r="L47" i="51"/>
  <c r="C123" i="55"/>
  <c r="G122" i="55"/>
  <c r="M12" i="58" l="1"/>
  <c r="M14" i="58" s="1"/>
  <c r="M16" i="58" s="1"/>
  <c r="M20" i="58" s="1"/>
  <c r="C31" i="38"/>
  <c r="D31" i="38" s="1"/>
  <c r="E31" i="38" s="1"/>
  <c r="H122" i="55"/>
  <c r="D125" i="4" s="1"/>
  <c r="J125" i="4" s="1"/>
  <c r="C124" i="55"/>
  <c r="G123" i="55"/>
  <c r="H123" i="55" l="1"/>
  <c r="D126" i="4" s="1"/>
  <c r="J126" i="4" s="1"/>
  <c r="C125" i="55"/>
  <c r="G124" i="55"/>
  <c r="H124" i="55" l="1"/>
  <c r="D127" i="4" s="1"/>
  <c r="J127" i="4" s="1"/>
  <c r="C126" i="55"/>
  <c r="G125" i="55"/>
  <c r="H125" i="55" l="1"/>
  <c r="D128" i="4" s="1"/>
  <c r="J128" i="4" s="1"/>
  <c r="D126" i="55"/>
  <c r="G126" i="55"/>
  <c r="E126" i="55"/>
  <c r="H126" i="55" l="1"/>
  <c r="D129" i="4" s="1"/>
  <c r="J129" i="4" s="1"/>
  <c r="AC13" i="60" s="1"/>
  <c r="D88" i="59"/>
  <c r="E88" i="59" s="1"/>
  <c r="V45" i="4"/>
  <c r="D25" i="29"/>
  <c r="F25" i="29" s="1"/>
  <c r="AH23" i="46"/>
  <c r="AJ23" i="46" s="1"/>
  <c r="H58" i="46" l="1"/>
  <c r="AR23" i="46"/>
  <c r="AT23" i="46" s="1"/>
  <c r="AX41" i="46" s="1"/>
  <c r="AR22" i="46"/>
  <c r="AT22" i="46" s="1"/>
  <c r="AX40" i="46" s="1"/>
  <c r="AH22" i="46"/>
  <c r="AJ22" i="46" s="1"/>
  <c r="AK22" i="46" s="1"/>
  <c r="V57" i="4"/>
  <c r="X57" i="4" s="1"/>
  <c r="X58" i="4" s="1"/>
  <c r="W45" i="4"/>
  <c r="Z45" i="4"/>
  <c r="AD13" i="60"/>
  <c r="AG13" i="60"/>
  <c r="AN41" i="46"/>
  <c r="P35" i="32" s="1"/>
  <c r="I28" i="53" s="1"/>
  <c r="AK23" i="46"/>
  <c r="L25" i="29"/>
  <c r="N25" i="29" s="1"/>
  <c r="AU23" i="46" l="1"/>
  <c r="AX23" i="46" s="1"/>
  <c r="AU22" i="46"/>
  <c r="AX22" i="46" s="1"/>
  <c r="AN40" i="46"/>
  <c r="O35" i="32" s="1"/>
  <c r="H28" i="53" s="1"/>
  <c r="AN22" i="46"/>
  <c r="AY40" i="46"/>
  <c r="AM22" i="46"/>
  <c r="AO40" i="46"/>
  <c r="O36" i="32" s="1"/>
  <c r="H46" i="53" s="1"/>
  <c r="N46" i="53" s="1"/>
  <c r="AY41" i="46"/>
  <c r="AM23" i="46"/>
  <c r="AN23" i="46"/>
  <c r="AO41" i="46"/>
  <c r="P36" i="32" s="1"/>
  <c r="I46" i="53" s="1"/>
  <c r="T46" i="53" s="1"/>
  <c r="G25" i="29"/>
  <c r="H25" i="29" s="1"/>
  <c r="X59" i="4"/>
  <c r="T25" i="29"/>
  <c r="AW22" i="46" l="1"/>
  <c r="AW23" i="46"/>
  <c r="V25" i="29"/>
  <c r="AB25" i="29"/>
  <c r="O25" i="29"/>
  <c r="F37" i="29" l="1"/>
  <c r="G16" i="53"/>
  <c r="M7" i="51"/>
  <c r="L15" i="47" s="1"/>
  <c r="P25" i="29"/>
  <c r="AJ25" i="29"/>
  <c r="AL25" i="29" s="1"/>
  <c r="AD25" i="29"/>
  <c r="W25" i="29"/>
  <c r="F38" i="29"/>
  <c r="N27" i="32" l="1"/>
  <c r="N31" i="32"/>
  <c r="G18" i="53"/>
  <c r="M11" i="51"/>
  <c r="AM25" i="29"/>
  <c r="AN25" i="29" s="1"/>
  <c r="AL26" i="29"/>
  <c r="X25" i="29"/>
  <c r="C16" i="38"/>
  <c r="E16" i="47"/>
  <c r="AE25" i="29"/>
  <c r="AF25" i="29" s="1"/>
  <c r="AD26" i="29"/>
  <c r="N38" i="29"/>
  <c r="E32" i="47" l="1"/>
  <c r="F32" i="47" s="1"/>
  <c r="M15" i="47"/>
  <c r="N51" i="32"/>
  <c r="M27" i="51"/>
  <c r="T15" i="47" s="1"/>
  <c r="G26" i="53"/>
  <c r="F16" i="47"/>
  <c r="T36" i="53"/>
  <c r="AD27" i="29"/>
  <c r="AE27" i="29" s="1"/>
  <c r="AE26" i="29"/>
  <c r="E16" i="38"/>
  <c r="AL27" i="29"/>
  <c r="AM27" i="29" s="1"/>
  <c r="AM26" i="29"/>
  <c r="G24" i="53"/>
  <c r="M23" i="51"/>
  <c r="R15" i="47" s="1"/>
  <c r="U15" i="47" l="1"/>
  <c r="M47" i="51"/>
  <c r="G30" i="53"/>
  <c r="E96" i="47"/>
  <c r="F96" i="47" s="1"/>
  <c r="M16" i="38"/>
  <c r="E80" i="47"/>
  <c r="K16" i="38"/>
  <c r="AB37" i="29"/>
  <c r="AD37" i="29" s="1"/>
  <c r="AF37" i="29" s="1"/>
  <c r="AJ38" i="29"/>
  <c r="AL38" i="29" s="1"/>
  <c r="AN38" i="29" s="1"/>
  <c r="AB38" i="29"/>
  <c r="AD38" i="29" s="1"/>
  <c r="AF38" i="29" s="1"/>
  <c r="AJ37" i="29"/>
  <c r="AL37" i="29" s="1"/>
  <c r="AN37" i="29" s="1"/>
  <c r="U36" i="53"/>
  <c r="N12" i="58" l="1"/>
  <c r="N14" i="58" s="1"/>
  <c r="O14" i="58" s="1"/>
  <c r="O16" i="58" s="1"/>
  <c r="C32" i="38"/>
  <c r="D32" i="38" s="1"/>
  <c r="E32" i="38" s="1"/>
  <c r="F80" i="47"/>
  <c r="O12" i="51"/>
  <c r="L16" i="53" l="1"/>
  <c r="N64" i="54"/>
  <c r="N67" i="54"/>
  <c r="R20" i="53"/>
  <c r="N66" i="54"/>
  <c r="O20" i="58"/>
  <c r="C15" i="59" s="1"/>
  <c r="C19" i="59" s="1"/>
  <c r="I23" i="59" s="1"/>
  <c r="I15" i="59" s="1"/>
  <c r="X22" i="46" s="1"/>
  <c r="Z22" i="46" s="1"/>
  <c r="G34" i="47"/>
  <c r="E88" i="62"/>
  <c r="N16" i="58"/>
  <c r="N20" i="58" s="1"/>
  <c r="C26" i="58"/>
  <c r="C30" i="58" s="1"/>
  <c r="F18" i="38"/>
  <c r="Q30" i="53" l="1"/>
  <c r="N68" i="54"/>
  <c r="F88" i="62"/>
  <c r="C16" i="59"/>
  <c r="C20" i="59" s="1"/>
  <c r="I24" i="59" s="1"/>
  <c r="I16" i="59" s="1"/>
  <c r="X23" i="46" s="1"/>
  <c r="Z23" i="46" s="1"/>
  <c r="AA23" i="46" s="1"/>
  <c r="E23" i="59"/>
  <c r="D23" i="59"/>
  <c r="D15" i="59" s="1"/>
  <c r="G26" i="29" s="1"/>
  <c r="H23" i="59"/>
  <c r="H15" i="59" s="1"/>
  <c r="N22" i="46" s="1"/>
  <c r="G23" i="59"/>
  <c r="F23" i="59"/>
  <c r="F15" i="59" s="1"/>
  <c r="W26" i="29" s="1"/>
  <c r="AA22" i="46"/>
  <c r="AD40" i="46"/>
  <c r="O27" i="32" s="1"/>
  <c r="H24" i="53" s="1"/>
  <c r="H24" i="59" l="1"/>
  <c r="AC23" i="46"/>
  <c r="AE41" i="46"/>
  <c r="P28" i="32" s="1"/>
  <c r="I42" i="53" s="1"/>
  <c r="AD41" i="46"/>
  <c r="P27" i="32" s="1"/>
  <c r="I24" i="53" s="1"/>
  <c r="G24" i="59"/>
  <c r="E15" i="59"/>
  <c r="O26" i="29" s="1"/>
  <c r="H37" i="29"/>
  <c r="H26" i="29"/>
  <c r="D37" i="29" s="1"/>
  <c r="X37" i="29"/>
  <c r="O31" i="32" s="1"/>
  <c r="H26" i="53" s="1"/>
  <c r="X26" i="29"/>
  <c r="T37" i="29" s="1"/>
  <c r="AD23" i="46"/>
  <c r="J23" i="59"/>
  <c r="P22" i="46"/>
  <c r="AE40" i="46"/>
  <c r="O28" i="32" s="1"/>
  <c r="H42" i="53" s="1"/>
  <c r="AD22" i="46"/>
  <c r="AC22" i="46"/>
  <c r="P37" i="29" l="1"/>
  <c r="O15" i="32" s="1"/>
  <c r="H18" i="53" s="1"/>
  <c r="P26" i="29"/>
  <c r="L37" i="29" s="1"/>
  <c r="T40" i="46"/>
  <c r="O23" i="32" s="1"/>
  <c r="H22" i="53" s="1"/>
  <c r="Q22" i="46"/>
  <c r="T22" i="46" s="1"/>
  <c r="M46" i="53"/>
  <c r="O46" i="53" s="1"/>
  <c r="N32" i="51" s="1"/>
  <c r="M44" i="53"/>
  <c r="O44" i="53" s="1"/>
  <c r="N28" i="51" s="1"/>
  <c r="D104" i="62" s="1"/>
  <c r="S44" i="53"/>
  <c r="U44" i="53" s="1"/>
  <c r="O28" i="51" s="1"/>
  <c r="E104" i="62" s="1"/>
  <c r="S46" i="53"/>
  <c r="U46" i="53" s="1"/>
  <c r="O32" i="51" s="1"/>
  <c r="F104" i="62" l="1"/>
  <c r="O11" i="32"/>
  <c r="H16" i="53" s="1"/>
  <c r="S22" i="46"/>
  <c r="U40" i="46"/>
  <c r="O24" i="32" s="1"/>
  <c r="H40" i="53" s="1"/>
  <c r="N40" i="53" s="1"/>
  <c r="G98" i="47"/>
  <c r="N18" i="38"/>
  <c r="P18" i="38"/>
  <c r="P17" i="38"/>
  <c r="N17" i="38"/>
  <c r="G97" i="47"/>
  <c r="H97" i="47" s="1"/>
  <c r="H98" i="47" l="1"/>
  <c r="G15" i="59" l="1"/>
  <c r="D24" i="59"/>
  <c r="D16" i="59" s="1"/>
  <c r="G27" i="29" s="1"/>
  <c r="E24" i="59"/>
  <c r="E16" i="59" s="1"/>
  <c r="O27" i="29" s="1"/>
  <c r="F24" i="59"/>
  <c r="F16" i="59" s="1"/>
  <c r="W27" i="29" s="1"/>
  <c r="G16" i="59"/>
  <c r="C23" i="46" s="1"/>
  <c r="E23" i="46" s="1"/>
  <c r="H16" i="59"/>
  <c r="P38" i="29" l="1"/>
  <c r="P27" i="29"/>
  <c r="L38" i="29" s="1"/>
  <c r="X27" i="29"/>
  <c r="T38" i="29" s="1"/>
  <c r="V38" i="29" s="1"/>
  <c r="X38" i="29" s="1"/>
  <c r="P31" i="32" s="1"/>
  <c r="I26" i="53" s="1"/>
  <c r="H38" i="29"/>
  <c r="P11" i="32" s="1"/>
  <c r="I16" i="53" s="1"/>
  <c r="S16" i="53" s="1"/>
  <c r="H27" i="29"/>
  <c r="D38" i="29" s="1"/>
  <c r="N23" i="46"/>
  <c r="P23" i="46" s="1"/>
  <c r="C22" i="46"/>
  <c r="E22" i="46" s="1"/>
  <c r="F23" i="46"/>
  <c r="I41" i="46"/>
  <c r="P19" i="32" s="1"/>
  <c r="I20" i="53" s="1"/>
  <c r="J15" i="59"/>
  <c r="J16" i="59"/>
  <c r="J24" i="59"/>
  <c r="P15" i="32" l="1"/>
  <c r="I18" i="53" s="1"/>
  <c r="T41" i="46"/>
  <c r="P23" i="32" s="1"/>
  <c r="I22" i="53" s="1"/>
  <c r="Q23" i="46"/>
  <c r="S23" i="46" s="1"/>
  <c r="F22" i="46"/>
  <c r="I22" i="46" s="1"/>
  <c r="I40" i="46"/>
  <c r="O19" i="32" s="1"/>
  <c r="O51" i="32" s="1"/>
  <c r="I23" i="46"/>
  <c r="H23" i="46"/>
  <c r="J41" i="46"/>
  <c r="P20" i="32" s="1"/>
  <c r="I30" i="53" l="1"/>
  <c r="R18" i="53" s="1"/>
  <c r="S18" i="53" s="1"/>
  <c r="U18" i="53" s="1"/>
  <c r="O11" i="51" s="1"/>
  <c r="E87" i="62" s="1"/>
  <c r="H22" i="46"/>
  <c r="J40" i="46"/>
  <c r="O20" i="32" s="1"/>
  <c r="H38" i="53" s="1"/>
  <c r="T23" i="46"/>
  <c r="U41" i="46"/>
  <c r="P24" i="32" s="1"/>
  <c r="I40" i="53" s="1"/>
  <c r="T40" i="53" s="1"/>
  <c r="P51" i="32"/>
  <c r="L18" i="53"/>
  <c r="R26" i="53"/>
  <c r="H20" i="53"/>
  <c r="H30" i="53" s="1"/>
  <c r="R22" i="53"/>
  <c r="R28" i="53"/>
  <c r="I38" i="53"/>
  <c r="H48" i="53" l="1"/>
  <c r="N38" i="53"/>
  <c r="E34" i="47"/>
  <c r="M17" i="47"/>
  <c r="S30" i="53"/>
  <c r="R16" i="53"/>
  <c r="E18" i="38"/>
  <c r="S22" i="53"/>
  <c r="M18" i="53"/>
  <c r="O18" i="53" s="1"/>
  <c r="N11" i="51" s="1"/>
  <c r="D87" i="62" s="1"/>
  <c r="F87" i="62" s="1"/>
  <c r="L28" i="53"/>
  <c r="O52" i="32"/>
  <c r="P52" i="32"/>
  <c r="L26" i="53"/>
  <c r="S20" i="53"/>
  <c r="S38" i="53" s="1"/>
  <c r="L22" i="53"/>
  <c r="S28" i="53"/>
  <c r="U28" i="53" s="1"/>
  <c r="O31" i="51" s="1"/>
  <c r="O18" i="38" s="1"/>
  <c r="I48" i="53"/>
  <c r="T38" i="53"/>
  <c r="S26" i="53"/>
  <c r="T26" i="53"/>
  <c r="E33" i="47" l="1"/>
  <c r="F34" i="47" s="1"/>
  <c r="M16" i="47"/>
  <c r="L24" i="53"/>
  <c r="M24" i="53" s="1"/>
  <c r="E17" i="38"/>
  <c r="S40" i="53"/>
  <c r="U40" i="53" s="1"/>
  <c r="O20" i="51" s="1"/>
  <c r="E96" i="62" s="1"/>
  <c r="U22" i="53"/>
  <c r="M22" i="53"/>
  <c r="M28" i="53"/>
  <c r="O28" i="53" s="1"/>
  <c r="N31" i="51" s="1"/>
  <c r="T42" i="53"/>
  <c r="T48" i="53" s="1"/>
  <c r="N26" i="53"/>
  <c r="S24" i="53"/>
  <c r="M16" i="53"/>
  <c r="U20" i="53"/>
  <c r="O15" i="51" s="1"/>
  <c r="E91" i="62" s="1"/>
  <c r="U16" i="53"/>
  <c r="U26" i="53"/>
  <c r="O27" i="51" s="1"/>
  <c r="E103" i="62" s="1"/>
  <c r="U38" i="53"/>
  <c r="N17" i="47" l="1"/>
  <c r="T17" i="47"/>
  <c r="F33" i="47"/>
  <c r="J18" i="38"/>
  <c r="Q17" i="47"/>
  <c r="O19" i="51"/>
  <c r="E95" i="62" s="1"/>
  <c r="E50" i="47"/>
  <c r="M42" i="53"/>
  <c r="N30" i="53"/>
  <c r="T30" i="53"/>
  <c r="G66" i="47"/>
  <c r="U24" i="53"/>
  <c r="O23" i="51" s="1"/>
  <c r="E99" i="62" s="1"/>
  <c r="O17" i="38"/>
  <c r="O22" i="53"/>
  <c r="N19" i="51" s="1"/>
  <c r="D95" i="62" s="1"/>
  <c r="M40" i="53"/>
  <c r="O40" i="53" s="1"/>
  <c r="N20" i="51" s="1"/>
  <c r="D96" i="62" s="1"/>
  <c r="F96" i="62" s="1"/>
  <c r="M26" i="53"/>
  <c r="O26" i="53" s="1"/>
  <c r="N27" i="51" s="1"/>
  <c r="D103" i="62" s="1"/>
  <c r="F103" i="62" s="1"/>
  <c r="S42" i="53"/>
  <c r="U42" i="53" s="1"/>
  <c r="O24" i="51" s="1"/>
  <c r="E100" i="62" s="1"/>
  <c r="O16" i="53"/>
  <c r="N7" i="51" s="1"/>
  <c r="D83" i="62" s="1"/>
  <c r="G18" i="38"/>
  <c r="O7" i="51"/>
  <c r="E83" i="62" s="1"/>
  <c r="O16" i="51"/>
  <c r="E92" i="62" s="1"/>
  <c r="E98" i="47"/>
  <c r="M18" i="38"/>
  <c r="F95" i="62" l="1"/>
  <c r="E108" i="62"/>
  <c r="E107" i="62"/>
  <c r="F83" i="62"/>
  <c r="P16" i="47"/>
  <c r="O17" i="47"/>
  <c r="L17" i="47"/>
  <c r="S17" i="47"/>
  <c r="T16" i="47"/>
  <c r="G65" i="47"/>
  <c r="H65" i="47" s="1"/>
  <c r="Q16" i="47"/>
  <c r="C17" i="38"/>
  <c r="L16" i="47"/>
  <c r="K18" i="38"/>
  <c r="R17" i="47"/>
  <c r="E66" i="47"/>
  <c r="P17" i="47"/>
  <c r="I18" i="38"/>
  <c r="L18" i="38"/>
  <c r="G82" i="47"/>
  <c r="E82" i="47"/>
  <c r="U30" i="53"/>
  <c r="N42" i="53"/>
  <c r="O24" i="53"/>
  <c r="N23" i="51" s="1"/>
  <c r="D99" i="62" s="1"/>
  <c r="F99" i="62" s="1"/>
  <c r="U48" i="53"/>
  <c r="O47" i="51"/>
  <c r="C34" i="38" s="1"/>
  <c r="S48" i="53"/>
  <c r="J17" i="38"/>
  <c r="M17" i="38"/>
  <c r="E97" i="47"/>
  <c r="F97" i="47" s="1"/>
  <c r="I17" i="38"/>
  <c r="E65" i="47"/>
  <c r="E17" i="47"/>
  <c r="E18" i="47"/>
  <c r="C18" i="38"/>
  <c r="O48" i="51"/>
  <c r="H18" i="38"/>
  <c r="G50" i="47"/>
  <c r="U17" i="47" l="1"/>
  <c r="V17" i="47"/>
  <c r="H66" i="47"/>
  <c r="R16" i="47"/>
  <c r="N48" i="53"/>
  <c r="O42" i="53"/>
  <c r="E81" i="47"/>
  <c r="K17" i="38"/>
  <c r="F98" i="47"/>
  <c r="F66" i="47"/>
  <c r="F65" i="47"/>
  <c r="F18" i="47"/>
  <c r="F17" i="47"/>
  <c r="F81" i="47" l="1"/>
  <c r="F82" i="47"/>
  <c r="N24" i="51"/>
  <c r="D100" i="62" s="1"/>
  <c r="F100" i="62" s="1"/>
  <c r="S16" i="47" l="1"/>
  <c r="L17" i="38"/>
  <c r="G81" i="47"/>
  <c r="H82" i="47" l="1"/>
  <c r="H81" i="47"/>
  <c r="L20" i="53"/>
  <c r="M20" i="53" s="1"/>
  <c r="M38" i="53" s="1"/>
  <c r="K30" i="53"/>
  <c r="O20" i="53" l="1"/>
  <c r="M30" i="53"/>
  <c r="O38" i="53" l="1"/>
  <c r="M48" i="53"/>
  <c r="N15" i="51"/>
  <c r="D91" i="62" s="1"/>
  <c r="O30" i="53"/>
  <c r="F91" i="62" l="1"/>
  <c r="D107" i="62"/>
  <c r="F107" i="62" s="1"/>
  <c r="N16" i="47"/>
  <c r="U16" i="47" s="1"/>
  <c r="O48" i="53"/>
  <c r="N16" i="51"/>
  <c r="D92" i="62" s="1"/>
  <c r="G17" i="38"/>
  <c r="E49" i="47"/>
  <c r="N47" i="51"/>
  <c r="C33" i="38" s="1"/>
  <c r="D108" i="62" l="1"/>
  <c r="F108" i="62" s="1"/>
  <c r="F92" i="62"/>
  <c r="O16" i="47"/>
  <c r="V16" i="47" s="1"/>
  <c r="D33" i="38"/>
  <c r="E33" i="38" s="1"/>
  <c r="D34" i="38"/>
  <c r="E34" i="38" s="1"/>
  <c r="F49" i="47"/>
  <c r="F50" i="47"/>
  <c r="N48" i="51"/>
  <c r="H17" i="38"/>
  <c r="G49" i="47"/>
  <c r="H49" i="47" l="1"/>
  <c r="H50" i="47"/>
</calcChain>
</file>

<file path=xl/comments1.xml><?xml version="1.0" encoding="utf-8"?>
<comments xmlns="http://schemas.openxmlformats.org/spreadsheetml/2006/main">
  <authors>
    <author>Author</author>
  </authors>
  <commentList>
    <comment ref="E8" authorId="0">
      <text>
        <r>
          <rPr>
            <b/>
            <sz val="9"/>
            <color indexed="81"/>
            <rFont val="Tahoma"/>
            <family val="2"/>
          </rPr>
          <t xml:space="preserve">Data Extrated from Actual Bills from WMP
</t>
        </r>
      </text>
    </comment>
    <comment ref="L153" authorId="0">
      <text>
        <r>
          <rPr>
            <b/>
            <sz val="9"/>
            <color indexed="81"/>
            <rFont val="Tahoma"/>
            <family val="2"/>
          </rPr>
          <t>WDI has choosen to use 20 year average HDD and CDD (overid formula)</t>
        </r>
      </text>
    </comment>
  </commentList>
</comments>
</file>

<file path=xl/comments2.xml><?xml version="1.0" encoding="utf-8"?>
<comments xmlns="http://schemas.openxmlformats.org/spreadsheetml/2006/main">
  <authors>
    <author>Author</author>
  </authors>
  <commentList>
    <comment ref="H18" authorId="0">
      <text>
        <r>
          <rPr>
            <b/>
            <sz val="9"/>
            <color indexed="81"/>
            <rFont val="Tahoma"/>
            <family val="2"/>
          </rPr>
          <t xml:space="preserve">Entered from Hydro One Run 1 
</t>
        </r>
      </text>
    </comment>
    <comment ref="I18" authorId="0">
      <text>
        <r>
          <rPr>
            <b/>
            <sz val="9"/>
            <color indexed="81"/>
            <rFont val="Tahoma"/>
            <family val="2"/>
          </rPr>
          <t xml:space="preserve">Entered from Hydro One Run 1 
</t>
        </r>
      </text>
    </comment>
  </commentList>
</comments>
</file>

<file path=xl/comments3.xml><?xml version="1.0" encoding="utf-8"?>
<comments xmlns="http://schemas.openxmlformats.org/spreadsheetml/2006/main">
  <authors>
    <author>Author</author>
  </authors>
  <commentList>
    <comment ref="C42" authorId="0">
      <text>
        <r>
          <rPr>
            <b/>
            <sz val="9"/>
            <color indexed="81"/>
            <rFont val="Tahoma"/>
            <family val="2"/>
          </rPr>
          <t>Amount = Projected Savings from Streetlights plus difference in target divided over 6 years</t>
        </r>
      </text>
    </comment>
    <comment ref="E74" authorId="0">
      <text>
        <r>
          <rPr>
            <b/>
            <sz val="9"/>
            <color indexed="81"/>
            <rFont val="Tahoma"/>
            <family val="2"/>
          </rPr>
          <t>Accounted for in 9.1 from adding back 2006-2014 CDM</t>
        </r>
      </text>
    </comment>
  </commentList>
</comments>
</file>

<file path=xl/comments4.xml><?xml version="1.0" encoding="utf-8"?>
<comments xmlns="http://schemas.openxmlformats.org/spreadsheetml/2006/main">
  <authors>
    <author>Author</author>
  </authors>
  <commentList>
    <comment ref="L30" authorId="0">
      <text>
        <r>
          <rPr>
            <b/>
            <sz val="9"/>
            <color indexed="81"/>
            <rFont val="Tahoma"/>
            <family val="2"/>
          </rPr>
          <t xml:space="preserve">Manual Rellocation in Column N adds back the 1/2 year from 2014 </t>
        </r>
      </text>
    </comment>
    <comment ref="T30" authorId="0">
      <text>
        <r>
          <rPr>
            <sz val="9"/>
            <color indexed="81"/>
            <rFont val="Tahoma"/>
            <family val="2"/>
          </rPr>
          <t xml:space="preserve">The Manual Reallocation adds back persistence from sheet X.2.  and allocates 1,373,891 for streetlights from CDM project.  
</t>
        </r>
      </text>
    </comment>
  </commentList>
</comments>
</file>

<file path=xl/comments5.xml><?xml version="1.0" encoding="utf-8"?>
<comments xmlns="http://schemas.openxmlformats.org/spreadsheetml/2006/main">
  <authors>
    <author>Author</author>
  </authors>
  <commentList>
    <comment ref="E4" authorId="0">
      <text>
        <r>
          <rPr>
            <b/>
            <sz val="9"/>
            <color indexed="81"/>
            <rFont val="Tahoma"/>
            <family val="2"/>
          </rPr>
          <t>50% Prior Year + 50% Current Year</t>
        </r>
      </text>
    </comment>
  </commentList>
</comments>
</file>

<file path=xl/comments6.xml><?xml version="1.0" encoding="utf-8"?>
<comments xmlns="http://schemas.openxmlformats.org/spreadsheetml/2006/main">
  <authors>
    <author>Author</author>
  </authors>
  <commentList>
    <comment ref="I31" authorId="0">
      <text>
        <r>
          <rPr>
            <b/>
            <sz val="9"/>
            <color indexed="81"/>
            <rFont val="Tahoma"/>
            <family val="2"/>
          </rPr>
          <t>Adjusted for 495 kWh.  (Not Material).  OPA Final Results and 2012 Gross - Net Savings Report discrepancy.</t>
        </r>
      </text>
    </comment>
    <comment ref="B33" authorId="0">
      <text>
        <r>
          <rPr>
            <sz val="9"/>
            <color indexed="81"/>
            <rFont val="Tahoma"/>
            <family val="2"/>
          </rPr>
          <t xml:space="preserve">Final 2014 Q4 - did not match ( Figures came from 2013 Final) n/m difference
</t>
        </r>
      </text>
    </comment>
    <comment ref="J34" authorId="0">
      <text>
        <r>
          <rPr>
            <b/>
            <sz val="9"/>
            <color indexed="81"/>
            <rFont val="Tahoma"/>
            <family val="2"/>
          </rPr>
          <t>Includes Adjustment to 2012 Verified Results</t>
        </r>
      </text>
    </comment>
    <comment ref="B37" authorId="0">
      <text>
        <r>
          <rPr>
            <b/>
            <sz val="9"/>
            <color indexed="81"/>
            <rFont val="Tahoma"/>
            <family val="2"/>
          </rPr>
          <t>No Change - Final 2014 come from Draft Final 2011-2014 CDM Results.  WDI used same lifecycle as 2013</t>
        </r>
      </text>
    </comment>
    <comment ref="K38" authorId="0">
      <text>
        <r>
          <rPr>
            <b/>
            <sz val="9"/>
            <color indexed="81"/>
            <rFont val="Tahoma"/>
            <family val="2"/>
          </rPr>
          <t xml:space="preserve">Includes Adjustment to 2012 and 2013 Verfied Results
</t>
        </r>
      </text>
    </comment>
    <comment ref="K50" authorId="0">
      <text>
        <r>
          <rPr>
            <sz val="9"/>
            <color indexed="81"/>
            <rFont val="Tahoma"/>
            <family val="2"/>
          </rPr>
          <t xml:space="preserve">Adjustments to Verfied Results were provided by the IESO in the year the adjustment was made.  The adjustements were included in the year that they were made to agree to the IESO 2011-2014 Final Results.  Therefore, the persistence savings from adjustments from past verified years were added to the correct period.  WDI did not account for the lifecycle of the savings on the adjustments unless provided by the IESO in the net to gross savings spreadsheets.
</t>
        </r>
      </text>
    </comment>
    <comment ref="L58" authorId="0">
      <text>
        <r>
          <rPr>
            <b/>
            <sz val="9"/>
            <color indexed="81"/>
            <rFont val="Tahoma"/>
            <family val="2"/>
          </rPr>
          <t xml:space="preserve">Adjusted for WMP
</t>
        </r>
      </text>
    </comment>
    <comment ref="M58" authorId="0">
      <text>
        <r>
          <rPr>
            <b/>
            <sz val="9"/>
            <color indexed="81"/>
            <rFont val="Tahoma"/>
            <family val="2"/>
          </rPr>
          <t>Adjusted for WMP</t>
        </r>
      </text>
    </comment>
    <comment ref="A59" authorId="0">
      <text>
        <r>
          <rPr>
            <b/>
            <sz val="9"/>
            <color indexed="81"/>
            <rFont val="Tahoma"/>
            <family val="2"/>
          </rPr>
          <t>Based on Actual Reported Net CDM Savings for the WMP</t>
        </r>
      </text>
    </comment>
    <comment ref="H63" authorId="0">
      <text>
        <r>
          <rPr>
            <b/>
            <sz val="9"/>
            <color indexed="81"/>
            <rFont val="Tahoma"/>
            <family val="2"/>
          </rPr>
          <t xml:space="preserve">This is used to assigned WDI's target less streetlight CDM project which is directly allocated to S/L account
</t>
        </r>
      </text>
    </comment>
    <comment ref="N63" authorId="0">
      <text>
        <r>
          <rPr>
            <b/>
            <sz val="9"/>
            <color indexed="81"/>
            <rFont val="Tahoma"/>
            <family val="2"/>
          </rPr>
          <t>Based on 2014 Actual Load %.  WDI has taken into consideration the IESO achievable potential study (considering WDI's residential load).  WDI prepared this application with the belief that they will achieve the assigned 2015 - 2016 target.</t>
        </r>
      </text>
    </comment>
  </commentList>
</comments>
</file>

<file path=xl/comments7.xml><?xml version="1.0" encoding="utf-8"?>
<comments xmlns="http://schemas.openxmlformats.org/spreadsheetml/2006/main">
  <authors>
    <author>Author</author>
  </authors>
  <commentList>
    <comment ref="R3" authorId="0">
      <text>
        <r>
          <rPr>
            <b/>
            <sz val="9"/>
            <color indexed="81"/>
            <rFont val="Tahoma"/>
            <family val="2"/>
          </rPr>
          <t>Extracted from Utilismart TSL - Settlement Report</t>
        </r>
      </text>
    </comment>
  </commentList>
</comments>
</file>

<file path=xl/comments8.xml><?xml version="1.0" encoding="utf-8"?>
<comments xmlns="http://schemas.openxmlformats.org/spreadsheetml/2006/main">
  <authors>
    <author>Author</author>
  </authors>
  <commentList>
    <comment ref="D4" authorId="0">
      <text>
        <r>
          <rPr>
            <b/>
            <sz val="9"/>
            <color indexed="81"/>
            <rFont val="Tahoma"/>
            <family val="2"/>
          </rPr>
          <t>Downloaded from STATCAN</t>
        </r>
        <r>
          <rPr>
            <sz val="9"/>
            <color indexed="81"/>
            <rFont val="Tahoma"/>
            <family val="2"/>
          </rPr>
          <t xml:space="preserve">
</t>
        </r>
      </text>
    </comment>
  </commentList>
</comments>
</file>

<file path=xl/comments9.xml><?xml version="1.0" encoding="utf-8"?>
<comments xmlns="http://schemas.openxmlformats.org/spreadsheetml/2006/main">
  <authors>
    <author>Author</author>
  </authors>
  <commentList>
    <comment ref="C31" authorId="0">
      <text>
        <r>
          <rPr>
            <b/>
            <sz val="9"/>
            <color indexed="81"/>
            <rFont val="Tahoma"/>
            <family val="2"/>
          </rPr>
          <t>Downloaded from STATCAN</t>
        </r>
        <r>
          <rPr>
            <sz val="9"/>
            <color indexed="81"/>
            <rFont val="Tahoma"/>
            <family val="2"/>
          </rPr>
          <t xml:space="preserve">
</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<sst xmlns="http://schemas.openxmlformats.org/spreadsheetml/2006/main" count="2110" uniqueCount="729">
  <si>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</si>
  <si>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</si>
  <si>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</si>
  <si>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</si>
  <si>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</si>
  <si>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</si>
  <si>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</si>
  <si>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</si>
  <si>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</si>
  <si>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</si>
  <si>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</si>
  <si>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</si>
  <si>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</si>
  <si>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</si>
  <si>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</si>
  <si>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</si>
  <si>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</si>
  <si>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</si>
  <si>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</si>
  <si>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</si>
  <si>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</si>
  <si>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</si>
  <si>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</si>
  <si>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</si>
  <si>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</si>
  <si>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</si>
  <si>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</si>
  <si>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</si>
  <si>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</si>
  <si>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</si>
  <si>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</si>
  <si>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</si>
  <si>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</si>
  <si>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</si>
  <si>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</si>
  <si>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</si>
  <si>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</si>
  <si>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</si>
  <si>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</si>
  <si>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</si>
  <si>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</si>
  <si>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</si>
  <si>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kWh Purchased</t>
  </si>
  <si>
    <t>year over year</t>
  </si>
  <si>
    <t>Purch. VS Adj.</t>
  </si>
  <si>
    <t>Mean Average Percentage Error (Mape) :</t>
  </si>
  <si>
    <t>per cust kWh</t>
  </si>
  <si>
    <t>4 Year (2011-2014) kWh Target:</t>
  </si>
  <si>
    <t>2011 CDM Programs</t>
  </si>
  <si>
    <t>2012 CDM Programs</t>
  </si>
  <si>
    <t>2013 CDM Programs</t>
  </si>
  <si>
    <t>2014 CDM Programs</t>
  </si>
  <si>
    <t>Total in Year</t>
  </si>
  <si>
    <t>"Gross"</t>
  </si>
  <si>
    <t>"Net"</t>
  </si>
  <si>
    <t>Difference</t>
  </si>
  <si>
    <t xml:space="preserve">Average per customer </t>
  </si>
  <si>
    <t>CDM Adjustment</t>
  </si>
  <si>
    <t>Share</t>
  </si>
  <si>
    <t>Target</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</si>
  <si>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</si>
  <si>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</si>
  <si>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</si>
  <si>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</si>
  <si>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</si>
  <si>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</si>
  <si>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</si>
  <si>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</si>
  <si>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</si>
  <si>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</si>
  <si>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</si>
  <si>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</si>
  <si>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</si>
  <si>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</si>
  <si>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</si>
  <si>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</si>
  <si>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</si>
  <si>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</si>
  <si>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each year's CDM program impact on 2014 load forecast</t>
  </si>
  <si>
    <t xml:space="preserve">Default Value selection rationale.  </t>
  </si>
  <si>
    <t>Amount used for CDM threshold for LRAMVA (2014)</t>
  </si>
  <si>
    <t>2015</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</si>
  <si>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</si>
  <si>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</si>
  <si>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</si>
  <si>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</si>
  <si>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</si>
  <si>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</si>
  <si>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</si>
  <si>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</si>
  <si>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</si>
  <si>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</si>
  <si>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</si>
  <si>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</si>
  <si>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</si>
  <si>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</si>
  <si>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Consumption by Rate Class</t>
  </si>
  <si>
    <t>LDC Info</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</si>
  <si>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</si>
  <si>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</si>
  <si>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</si>
  <si>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</si>
  <si>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</si>
  <si>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</si>
  <si>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</si>
  <si>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</si>
  <si>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</si>
  <si>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</si>
  <si>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</si>
  <si>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</si>
  <si>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</si>
  <si>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</si>
  <si>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</si>
  <si>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</si>
  <si>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</si>
  <si>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</si>
  <si>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</si>
  <si>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</si>
  <si>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</si>
  <si>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</si>
  <si>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</si>
  <si>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</si>
  <si>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</si>
  <si>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</si>
  <si>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</si>
  <si>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</si>
  <si>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</si>
  <si>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</si>
  <si>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</si>
  <si>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 5</t>
  </si>
  <si>
    <t>Adj 6</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</si>
  <si>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</si>
  <si>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</si>
  <si>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</si>
  <si>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</si>
  <si>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</si>
  <si>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</si>
  <si>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</si>
  <si>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</si>
  <si>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</si>
  <si>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</si>
  <si>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</si>
  <si>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</si>
  <si>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</si>
  <si>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</si>
  <si>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</si>
  <si>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</si>
  <si>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</si>
  <si>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 the model uses metered per class to determine the wholesale per class</t>
  </si>
  <si>
    <t>Wasaga Distribution Inc.</t>
  </si>
  <si>
    <t>Wasaga Beach</t>
  </si>
  <si>
    <t>705-429-2517</t>
  </si>
  <si>
    <t>Days in Month</t>
  </si>
  <si>
    <t>SUMMARY OUTPUT</t>
  </si>
  <si>
    <t>FINAL ADJUSTED NUMBERS</t>
  </si>
  <si>
    <t>Per Customer Weather Normalized (based on 2014 cust count)</t>
  </si>
  <si>
    <t>Wholesale Adjustment</t>
  </si>
  <si>
    <t>MicroFit/Fit Generation</t>
  </si>
  <si>
    <t>Load Displacement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</si>
  <si>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</si>
  <si>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</si>
  <si>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</si>
  <si>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</si>
  <si>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</si>
  <si>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</si>
  <si>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</si>
  <si>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</si>
  <si>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</si>
  <si>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</si>
  <si>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</si>
  <si>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</si>
  <si>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</si>
  <si>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</si>
  <si>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 xml:space="preserve"> Input Cell</t>
  </si>
  <si>
    <t>Regression Scenarios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</si>
  <si>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</si>
  <si>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</si>
  <si>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</si>
  <si>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</si>
  <si>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</si>
  <si>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 xml:space="preserve"> Drop Down Selection</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</si>
  <si>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</si>
  <si>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</si>
  <si>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</si>
  <si>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</si>
  <si>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</si>
  <si>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</si>
  <si>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</si>
  <si>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</si>
  <si>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</si>
  <si>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</si>
  <si>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</si>
  <si>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</si>
  <si>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</si>
  <si>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</si>
  <si>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</si>
  <si>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</si>
  <si>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</si>
  <si>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</si>
  <si>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</si>
  <si>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</si>
  <si>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</si>
  <si>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</si>
  <si>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</si>
  <si>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</si>
  <si>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</si>
  <si>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</si>
  <si>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</si>
  <si>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</si>
  <si>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</si>
  <si>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</si>
  <si>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</si>
  <si>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</si>
  <si>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</si>
  <si>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</si>
  <si>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</si>
  <si>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</si>
  <si>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</si>
  <si>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</si>
  <si>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</si>
  <si>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</si>
  <si>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</si>
  <si>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CDM Allocation Worksheet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</si>
  <si>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</si>
  <si>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</si>
  <si>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</si>
  <si>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</si>
  <si>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</si>
  <si>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</si>
  <si>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Final Load Forecast Results - CDM Adjusted</t>
  </si>
  <si>
    <t>Adjusted kWh</t>
  </si>
  <si>
    <t xml:space="preserve"> Input Cell/Drop Down Selection</t>
  </si>
  <si>
    <t>Linear Trending</t>
  </si>
  <si>
    <t>Linear Trending Calculation ( y=mx+b)</t>
  </si>
  <si>
    <t>Slope (m)</t>
  </si>
  <si>
    <t>Intercept (b)</t>
  </si>
  <si>
    <t>Non-WN/kW</t>
  </si>
  <si>
    <t>Streetlighting-Non-WN/kW</t>
  </si>
  <si>
    <t>N/A</t>
  </si>
  <si>
    <t>GS&lt;50</t>
  </si>
  <si>
    <t>GS&gt;50</t>
  </si>
  <si>
    <t>2016</t>
  </si>
  <si>
    <t>2012</t>
  </si>
  <si>
    <t>Blank</t>
  </si>
  <si>
    <t>(With Losses)</t>
  </si>
  <si>
    <t>N/A-Non-WN/kW</t>
  </si>
  <si>
    <t>(5 year)</t>
  </si>
  <si>
    <t>Normalized Data</t>
  </si>
  <si>
    <t>Normalized Purchases</t>
  </si>
  <si>
    <t>Normalized Consumption</t>
  </si>
  <si>
    <t>Unmetered Scattered Load-WN</t>
  </si>
  <si>
    <t>1. 2006-2010 OPA Final Results ( Net kWh savings)</t>
  </si>
  <si>
    <t>2. 2012 Gross-Net Savings</t>
  </si>
  <si>
    <t>CDM LIFE CYCLE 2006-2035</t>
  </si>
  <si>
    <t>VERIFIED NET CDM SAVINGS</t>
  </si>
  <si>
    <t>WASAGA DISTRIBUTION INC.</t>
  </si>
  <si>
    <t>Total Annual Net CDM Results</t>
  </si>
  <si>
    <t>Annual Change</t>
  </si>
  <si>
    <t>2006-January</t>
  </si>
  <si>
    <t>2006-February</t>
  </si>
  <si>
    <t>2006-March</t>
  </si>
  <si>
    <t>2006-April</t>
  </si>
  <si>
    <t>2006-May</t>
  </si>
  <si>
    <t>2006-June</t>
  </si>
  <si>
    <t>2006-July</t>
  </si>
  <si>
    <t>2006-August</t>
  </si>
  <si>
    <t>2006-September</t>
  </si>
  <si>
    <t>2006-October</t>
  </si>
  <si>
    <t>2006-November</t>
  </si>
  <si>
    <t>2006-December</t>
  </si>
  <si>
    <t>2007-January</t>
  </si>
  <si>
    <t>2007-February</t>
  </si>
  <si>
    <t>2007-March</t>
  </si>
  <si>
    <t>2007-April</t>
  </si>
  <si>
    <t>2007-May</t>
  </si>
  <si>
    <t>2007-June</t>
  </si>
  <si>
    <t>2007-July</t>
  </si>
  <si>
    <t>2007-August</t>
  </si>
  <si>
    <t>2007-September</t>
  </si>
  <si>
    <t>2007-October</t>
  </si>
  <si>
    <t>2007-November</t>
  </si>
  <si>
    <t>2007-December</t>
  </si>
  <si>
    <t>2008-January</t>
  </si>
  <si>
    <t>2008-February</t>
  </si>
  <si>
    <t>2008-March</t>
  </si>
  <si>
    <t>2008-April</t>
  </si>
  <si>
    <t>2008-May</t>
  </si>
  <si>
    <t>2008-June</t>
  </si>
  <si>
    <t>2008-July</t>
  </si>
  <si>
    <t>2008-August</t>
  </si>
  <si>
    <t>2008-September</t>
  </si>
  <si>
    <t>2008-October</t>
  </si>
  <si>
    <t>2008-November</t>
  </si>
  <si>
    <t>2008-December</t>
  </si>
  <si>
    <t>2009-January</t>
  </si>
  <si>
    <t>2009-February</t>
  </si>
  <si>
    <t>2009-March</t>
  </si>
  <si>
    <t>2009-April</t>
  </si>
  <si>
    <t>2009-May</t>
  </si>
  <si>
    <t>2009-June</t>
  </si>
  <si>
    <t>2009-July</t>
  </si>
  <si>
    <t>2009-August</t>
  </si>
  <si>
    <t>2009-September</t>
  </si>
  <si>
    <t>2009-October</t>
  </si>
  <si>
    <t>2009-November</t>
  </si>
  <si>
    <t>2009-December</t>
  </si>
  <si>
    <t>2010-January</t>
  </si>
  <si>
    <t>2010-February</t>
  </si>
  <si>
    <t>2010-March</t>
  </si>
  <si>
    <t>2010-April</t>
  </si>
  <si>
    <t>2010-May</t>
  </si>
  <si>
    <t>2010-June</t>
  </si>
  <si>
    <t>2010-July</t>
  </si>
  <si>
    <t>2010-August</t>
  </si>
  <si>
    <t>2010-September</t>
  </si>
  <si>
    <t>2010-October</t>
  </si>
  <si>
    <t>2010-November</t>
  </si>
  <si>
    <t>2010-December</t>
  </si>
  <si>
    <t>2011-January</t>
  </si>
  <si>
    <t>2011-February</t>
  </si>
  <si>
    <t>2011-March</t>
  </si>
  <si>
    <t>2011-April</t>
  </si>
  <si>
    <t>2011-May</t>
  </si>
  <si>
    <t>2011-June</t>
  </si>
  <si>
    <t>2011-July</t>
  </si>
  <si>
    <t>2011-August</t>
  </si>
  <si>
    <t>2011-September</t>
  </si>
  <si>
    <t>2011-October</t>
  </si>
  <si>
    <t>2011-November</t>
  </si>
  <si>
    <t>2011-December</t>
  </si>
  <si>
    <t>2012-January</t>
  </si>
  <si>
    <t>2012-February</t>
  </si>
  <si>
    <t>2012-March</t>
  </si>
  <si>
    <t>2012-April</t>
  </si>
  <si>
    <t>2012-May</t>
  </si>
  <si>
    <t>2012-June</t>
  </si>
  <si>
    <t>2012-July</t>
  </si>
  <si>
    <t>2012-August</t>
  </si>
  <si>
    <t>2012-September</t>
  </si>
  <si>
    <t>2012-October</t>
  </si>
  <si>
    <t>2012-November</t>
  </si>
  <si>
    <t>2012-December</t>
  </si>
  <si>
    <t>2013-January</t>
  </si>
  <si>
    <t>2013-February</t>
  </si>
  <si>
    <t>2013-March</t>
  </si>
  <si>
    <t>2013-April</t>
  </si>
  <si>
    <t>2013-May</t>
  </si>
  <si>
    <t>2013-June</t>
  </si>
  <si>
    <t>2013-July</t>
  </si>
  <si>
    <t>2013-August</t>
  </si>
  <si>
    <t>2013-September</t>
  </si>
  <si>
    <t>2013-October</t>
  </si>
  <si>
    <t>2013-November</t>
  </si>
  <si>
    <t>2013-December</t>
  </si>
  <si>
    <t>2014-January</t>
  </si>
  <si>
    <t>2014-February</t>
  </si>
  <si>
    <t>2014-March</t>
  </si>
  <si>
    <t>2014-April</t>
  </si>
  <si>
    <t>2014-May</t>
  </si>
  <si>
    <t>2014-June</t>
  </si>
  <si>
    <t>2014-July</t>
  </si>
  <si>
    <t>2014-August</t>
  </si>
  <si>
    <t>2014-September</t>
  </si>
  <si>
    <t>2014-October</t>
  </si>
  <si>
    <t>2014-November</t>
  </si>
  <si>
    <t>2014-December</t>
  </si>
  <si>
    <t>Half-Year of Increments</t>
  </si>
  <si>
    <t>"Actual" CDM Savings</t>
  </si>
  <si>
    <t>Increment</t>
  </si>
  <si>
    <t>CDM ACTIVITY VARIABLE</t>
  </si>
  <si>
    <t>CDM_2</t>
  </si>
  <si>
    <t>ENDING DEC 31. VALUE</t>
  </si>
  <si>
    <t>YEAR</t>
  </si>
  <si>
    <t>CHECK</t>
  </si>
  <si>
    <t>Months</t>
  </si>
  <si>
    <t>PERSISTANCE</t>
  </si>
  <si>
    <t>3. 2013 Gross-Net Savings</t>
  </si>
  <si>
    <t>5. 2011 Final CDM Results</t>
  </si>
  <si>
    <t>1. Lifecycle Trends from 2012 Gross-Net Savings report was used for 2011</t>
  </si>
  <si>
    <t>CDM ADJUSTMENT</t>
  </si>
  <si>
    <t>YEAR-MONTH</t>
  </si>
  <si>
    <t>SUMMARY OUTPUT ( Without CDM Adjustment in Regression)</t>
  </si>
  <si>
    <t>(Adjusted for losses 8.010%)</t>
  </si>
  <si>
    <t>2. OPA has made changes to final numbers - not material different</t>
  </si>
  <si>
    <t xml:space="preserve"> Metered kWh</t>
  </si>
  <si>
    <t>Normalized Load Forecast Results</t>
  </si>
  <si>
    <t>Data Normalized Load Forecast Results</t>
  </si>
  <si>
    <t>(Not Material)</t>
  </si>
  <si>
    <t>(5 years)</t>
  </si>
  <si>
    <t>CDM  CALCULATION SUPPORT</t>
  </si>
  <si>
    <t>Persistence</t>
  </si>
  <si>
    <t>Data extracted from:</t>
  </si>
  <si>
    <t>Wholesale Metered kWh</t>
  </si>
  <si>
    <t>Regression Analysis - Wholesale Metered Customer</t>
  </si>
  <si>
    <t>Adj Billing</t>
  </si>
  <si>
    <t>CDM Adj.</t>
  </si>
  <si>
    <t xml:space="preserve">2. Chiller - not differentiated between summer and winter </t>
  </si>
  <si>
    <t>Days</t>
  </si>
  <si>
    <t>KWh Allocation</t>
  </si>
  <si>
    <t>Without Losses</t>
  </si>
  <si>
    <t>CDM Programs - Net Verified Savings</t>
  </si>
  <si>
    <t>1. Verified savings identified as 67.85 KW demand for peak summer - Overall peak savings verified at 78.42 KW - As per 2012 IESO Gross Savings (pro rated summer months)</t>
  </si>
  <si>
    <t>Summer/Year (KW)</t>
  </si>
  <si>
    <t>1. Wholesale Market Participant CDM Retrofit (GS&gt;50) showed almost no reduction in energy consumption between 2012-2014 - not adjustment has been made</t>
  </si>
  <si>
    <t>Notes:</t>
  </si>
  <si>
    <t>2. Completion dates used to determine when energy savings began (as per IESO provided report)</t>
  </si>
  <si>
    <t>Note: A significant portion of the decrease is likely related to unverified conservation initiatives (efficiency upgrades) not captured through IESO reports.  Since, there is no variable that captures this decreasing trend, the regression might be reporting lower then expected results.  Furthermore, this might be explained by the 15% R-squared variation.</t>
  </si>
  <si>
    <t>per connectionkWh</t>
  </si>
  <si>
    <t>per connection kW</t>
  </si>
  <si>
    <t xml:space="preserve"> Adjusted load from 2016 Forecast</t>
  </si>
  <si>
    <t>Total for 2016</t>
  </si>
  <si>
    <t>Amount used for CDM threshold for LRAMVA (2016)</t>
  </si>
  <si>
    <t>Manual Adjustment for 2016 Load Forecast (billed basis)</t>
  </si>
  <si>
    <t xml:space="preserve">Demand (kW) </t>
  </si>
  <si>
    <t>Billed kW's</t>
  </si>
  <si>
    <t>Load Forecast CDM Adjustment Work Form (2016)</t>
  </si>
  <si>
    <t>(From X.1 CDM calculation)</t>
  </si>
  <si>
    <t>CDM</t>
  </si>
  <si>
    <t>LOSS ADJUSTED</t>
  </si>
  <si>
    <t>EB-2015-0107</t>
  </si>
  <si>
    <t>Wholesale Purchases with Losses</t>
  </si>
  <si>
    <t>Wholesale Purchases without Losses</t>
  </si>
  <si>
    <t>Jan-2007</t>
  </si>
  <si>
    <t>Jan-2005</t>
  </si>
  <si>
    <t>Feb-2005</t>
  </si>
  <si>
    <t>Mar-2005</t>
  </si>
  <si>
    <t>Apr-2005</t>
  </si>
  <si>
    <t>May-2005</t>
  </si>
  <si>
    <t>Jun-2005</t>
  </si>
  <si>
    <t>Jul-2005</t>
  </si>
  <si>
    <t>Aug-2005</t>
  </si>
  <si>
    <t>Sep-2005</t>
  </si>
  <si>
    <t>Oct-2005</t>
  </si>
  <si>
    <t>Nov-2005</t>
  </si>
  <si>
    <t>Dec-2005</t>
  </si>
  <si>
    <t>Jan-2006</t>
  </si>
  <si>
    <t>Feb-2006</t>
  </si>
  <si>
    <t>Mar-2006</t>
  </si>
  <si>
    <t>Apr-2006</t>
  </si>
  <si>
    <t>May-2006</t>
  </si>
  <si>
    <t>Jun-2006</t>
  </si>
  <si>
    <t>Jul-2006</t>
  </si>
  <si>
    <t>Aug-2006</t>
  </si>
  <si>
    <t>Sep-2006</t>
  </si>
  <si>
    <t>Oct-2006</t>
  </si>
  <si>
    <t>Nov-2006</t>
  </si>
  <si>
    <t>Dec-2006</t>
  </si>
  <si>
    <t>Feb-2007</t>
  </si>
  <si>
    <t>Mar-2007</t>
  </si>
  <si>
    <t>Apr-2007</t>
  </si>
  <si>
    <t>May-2007</t>
  </si>
  <si>
    <t>Jun-2007</t>
  </si>
  <si>
    <t>Jul-2007</t>
  </si>
  <si>
    <t>Aug-2007</t>
  </si>
  <si>
    <t>Sep-2007</t>
  </si>
  <si>
    <t>Oct-2007</t>
  </si>
  <si>
    <t>Nov-2007</t>
  </si>
  <si>
    <t>Dec-2007</t>
  </si>
  <si>
    <t>Jan-2008</t>
  </si>
  <si>
    <t>Feb-2008</t>
  </si>
  <si>
    <t>Mar-2008</t>
  </si>
  <si>
    <t>Apr-2008</t>
  </si>
  <si>
    <t>May-2008</t>
  </si>
  <si>
    <t>Jun-2008</t>
  </si>
  <si>
    <t>Jul-2008</t>
  </si>
  <si>
    <t>Aug-2008</t>
  </si>
  <si>
    <t>Sep-2008</t>
  </si>
  <si>
    <t>Oct-2008</t>
  </si>
  <si>
    <t>Nov-2008</t>
  </si>
  <si>
    <t>Dec-2008</t>
  </si>
  <si>
    <t>Jan-2009</t>
  </si>
  <si>
    <t>Feb-2009</t>
  </si>
  <si>
    <t>Mar-2009</t>
  </si>
  <si>
    <t>Apr-2009</t>
  </si>
  <si>
    <t>May-2009</t>
  </si>
  <si>
    <t>Jun-2009</t>
  </si>
  <si>
    <t>Jul-2009</t>
  </si>
  <si>
    <t>Aug-2009</t>
  </si>
  <si>
    <t>Sep-2009</t>
  </si>
  <si>
    <t>Oct-2009</t>
  </si>
  <si>
    <t>Nov-2009</t>
  </si>
  <si>
    <t>Dec-2009</t>
  </si>
  <si>
    <t>Jan-2010</t>
  </si>
  <si>
    <t>Feb-2010</t>
  </si>
  <si>
    <t>Mar-2010</t>
  </si>
  <si>
    <t>Apr-2010</t>
  </si>
  <si>
    <t>May-2010</t>
  </si>
  <si>
    <t>Jun-2010</t>
  </si>
  <si>
    <t>Jul-2010</t>
  </si>
  <si>
    <t>Aug-2010</t>
  </si>
  <si>
    <t>Sep-2010</t>
  </si>
  <si>
    <t>Oct-2010</t>
  </si>
  <si>
    <t>Nov-2010</t>
  </si>
  <si>
    <t>Dec-2010</t>
  </si>
  <si>
    <t>Jan-2011</t>
  </si>
  <si>
    <t>Feb-2011</t>
  </si>
  <si>
    <t>Mar-2011</t>
  </si>
  <si>
    <t>Apr-2011</t>
  </si>
  <si>
    <t>May-2011</t>
  </si>
  <si>
    <t>Jun-2011</t>
  </si>
  <si>
    <t>Jul-2011</t>
  </si>
  <si>
    <t>Aug-2011</t>
  </si>
  <si>
    <t>Sep-2011</t>
  </si>
  <si>
    <t>Oct-2011</t>
  </si>
  <si>
    <t>Nov-2011</t>
  </si>
  <si>
    <t>Dec-2011</t>
  </si>
  <si>
    <t>2005 Total</t>
  </si>
  <si>
    <t>2006 Total</t>
  </si>
  <si>
    <t>2007 Total</t>
  </si>
  <si>
    <t>2008 Total</t>
  </si>
  <si>
    <t>2009 Total</t>
  </si>
  <si>
    <t>2010 Total</t>
  </si>
  <si>
    <t>2011 Total</t>
  </si>
  <si>
    <t>Jan-2012</t>
  </si>
  <si>
    <t>Feb-2012</t>
  </si>
  <si>
    <t>Mar-2012</t>
  </si>
  <si>
    <t>Apr-2012</t>
  </si>
  <si>
    <t>May-2012</t>
  </si>
  <si>
    <t>Jun-2012</t>
  </si>
  <si>
    <t>Jul-2012</t>
  </si>
  <si>
    <t>Aug-2012</t>
  </si>
  <si>
    <t>Sep-2012</t>
  </si>
  <si>
    <t>Oct-2012</t>
  </si>
  <si>
    <t>Nov-2012</t>
  </si>
  <si>
    <t>Dec-2012</t>
  </si>
  <si>
    <t>Jan-2013</t>
  </si>
  <si>
    <t>Feb-2013</t>
  </si>
  <si>
    <t>Mar-2013</t>
  </si>
  <si>
    <t>Apr-2013</t>
  </si>
  <si>
    <t>May-2013</t>
  </si>
  <si>
    <t>Jun-2013</t>
  </si>
  <si>
    <t>Jul-2013</t>
  </si>
  <si>
    <t>Aug-2013</t>
  </si>
  <si>
    <t>Sep-2013</t>
  </si>
  <si>
    <t>Oct-2013</t>
  </si>
  <si>
    <t>Nov-2013</t>
  </si>
  <si>
    <t>Dec-2013</t>
  </si>
  <si>
    <t>Jan-2014</t>
  </si>
  <si>
    <t>Feb-2014</t>
  </si>
  <si>
    <t>Mar-2014</t>
  </si>
  <si>
    <t>Apr-2014</t>
  </si>
  <si>
    <t>May-2014</t>
  </si>
  <si>
    <t>Jun-2014</t>
  </si>
  <si>
    <t>Jul-2014</t>
  </si>
  <si>
    <t>Aug-2014</t>
  </si>
  <si>
    <t>Sep-2014</t>
  </si>
  <si>
    <t>Oct-2014</t>
  </si>
  <si>
    <t>Nov-2014</t>
  </si>
  <si>
    <t>Dec-2014</t>
  </si>
  <si>
    <t>2012 Total</t>
  </si>
  <si>
    <t>2013 Total</t>
  </si>
  <si>
    <t>2014 Total</t>
  </si>
  <si>
    <t>Supply Loss Factor</t>
  </si>
  <si>
    <t>A</t>
  </si>
  <si>
    <t>B</t>
  </si>
  <si>
    <t>C</t>
  </si>
  <si>
    <t>Net "Wholesale" kWh (A)-(B)</t>
  </si>
  <si>
    <t>D</t>
  </si>
  <si>
    <t>E</t>
  </si>
  <si>
    <t>G</t>
  </si>
  <si>
    <t>Distribution Loss Factor [(C)/(F)]</t>
  </si>
  <si>
    <t>H</t>
  </si>
  <si>
    <t>Supply Facility Loss Factor</t>
  </si>
  <si>
    <t>Total Utility Loss Adjustment Factor</t>
  </si>
  <si>
    <t>Total Loss Factor</t>
  </si>
  <si>
    <t>Secondary Metered Customer</t>
  </si>
  <si>
    <t xml:space="preserve">Total Loss Factor - Secondary Metered Customer &lt; 5,000kW     </t>
  </si>
  <si>
    <t xml:space="preserve">Total Loss Factor - Secondary Metered Customer &gt; 5,000kW    </t>
  </si>
  <si>
    <t>Primary Metered Customer</t>
  </si>
  <si>
    <t xml:space="preserve">Total Loss Factor - Primary Metered Customer &lt; 5,000kW    </t>
  </si>
  <si>
    <t xml:space="preserve">Total Loss Factor - Primary Metered Customer &gt; 5,000kW    </t>
  </si>
  <si>
    <r>
      <t xml:space="preserve">“Wholesale" kWh (IESO) </t>
    </r>
    <r>
      <rPr>
        <b/>
        <sz val="11"/>
        <rFont val="Arial"/>
        <family val="2"/>
      </rPr>
      <t>Qty at the Meter</t>
    </r>
  </si>
  <si>
    <t>Enter Data</t>
  </si>
  <si>
    <t>“Wholesale" kWh (GEN)</t>
  </si>
  <si>
    <t>"Wholesale" kWh (IESO) with Losses</t>
  </si>
  <si>
    <t>LAF</t>
  </si>
  <si>
    <r>
      <t xml:space="preserve">Final Load Forecast (Distributor) </t>
    </r>
    <r>
      <rPr>
        <b/>
        <sz val="11"/>
        <rFont val="Arial"/>
        <family val="2"/>
      </rPr>
      <t>Qty at the Meter</t>
    </r>
  </si>
  <si>
    <t>Less: Wholesale Market Participants</t>
  </si>
  <si>
    <r>
      <t xml:space="preserve">Net Retail kWh (Distributor) </t>
    </r>
    <r>
      <rPr>
        <b/>
        <sz val="11"/>
        <rFont val="Arial"/>
        <family val="2"/>
      </rPr>
      <t>Qty at the Meter [(D)-(E)]</t>
    </r>
  </si>
  <si>
    <t>RESIDUAL OUTPUT</t>
  </si>
  <si>
    <t>Non-Weather</t>
  </si>
  <si>
    <t>%Weather Sensitive</t>
  </si>
  <si>
    <t>Allocation of Weather Sensitive Data</t>
  </si>
  <si>
    <t>Weather Corrected</t>
  </si>
  <si>
    <t>Metered kWh</t>
  </si>
  <si>
    <t>Total Adjusted Consumed kWh</t>
  </si>
  <si>
    <t>Average kWh/Customer</t>
  </si>
  <si>
    <t>Average Customer</t>
  </si>
  <si>
    <t>% of Change</t>
  </si>
  <si>
    <t>1. Lighting Retrofit</t>
  </si>
  <si>
    <t>2. Chiller Retrofit</t>
  </si>
  <si>
    <t>4 Year Average</t>
  </si>
  <si>
    <t>GS&gt;50 - WMP</t>
  </si>
  <si>
    <t>Weather Normalized Load - Billed kWh's</t>
  </si>
  <si>
    <t>Joanne Tackaberry</t>
  </si>
  <si>
    <t>J.tackaberry@wasagadist.ca</t>
  </si>
  <si>
    <t>General Service &gt; 50 kW - 999 kW - Wholesale Market Participant</t>
  </si>
  <si>
    <t>General Service &gt; 50 kW - 999 kW - Excluding Wholesale Market Participant</t>
  </si>
  <si>
    <t>CPI Index Electrcity Change Relative to Overall CPI Index Change (Trend)</t>
  </si>
  <si>
    <t xml:space="preserve"> Wholesale Market Participant</t>
  </si>
  <si>
    <t>Target Allocation</t>
  </si>
  <si>
    <t>Average</t>
  </si>
  <si>
    <t>WMP</t>
  </si>
  <si>
    <t>Weather Sensitive Allocation</t>
  </si>
  <si>
    <t>GEOMEAN AVERAGE YEARS</t>
  </si>
  <si>
    <t>GEOMEAN YEARS</t>
  </si>
  <si>
    <t>Persistence of 2014 CDM Program into 2015 and 2015</t>
  </si>
  <si>
    <t>Proposed Loss Factor (TLF)</t>
  </si>
  <si>
    <t>Manual Adjustment for 2016 Load Forecast (system purchased basis)</t>
  </si>
  <si>
    <t>SUMMARY OUTPUT ( Using Trendline comparative to CPI)</t>
  </si>
  <si>
    <t>SUMMARY OUTPUT ( Using %  of Change of CPI Energy to CPI Overall)</t>
  </si>
  <si>
    <t>CPI Index Electrcity % of Change Relative to Overall CPI Index Change (Trend)</t>
  </si>
  <si>
    <t xml:space="preserve"> CPI Energy (Ontario) Growth Compared to CPI Overall ( Ontario) Change compared to Prior Month</t>
  </si>
  <si>
    <t xml:space="preserve"> CPI Energy (Ontario) Growth Compared to CPI Overall ( Ontario) Change compared to Prior Month ( Linear Trended)</t>
  </si>
  <si>
    <t>CPI Index Electrcity Increase Relative to Overall CPI Index (Linear Trended)</t>
  </si>
  <si>
    <t>Weight Factor for Inclusion in CDM Adjustment to 2016 Load Forecast</t>
  </si>
  <si>
    <t>Streetlights</t>
  </si>
  <si>
    <t>NOTE: WDI has allocated savings amongst commercial accounts, specifically GS&gt;50kw customers by actually identifiying each specific customer.  This was only feasible due to WDI's limited uptake in CDM activity (Past and Present)</t>
  </si>
  <si>
    <t>SUMMARY OUTPUT ( Without Days in Month)</t>
  </si>
  <si>
    <t>Overall</t>
  </si>
  <si>
    <t>Electricity</t>
  </si>
  <si>
    <t>% Increase</t>
  </si>
  <si>
    <t>kWh Adjusted</t>
  </si>
  <si>
    <t>10 year average</t>
  </si>
  <si>
    <t>20 year average</t>
  </si>
  <si>
    <t>2015-January</t>
  </si>
  <si>
    <t>2015-February</t>
  </si>
  <si>
    <t>2015-March</t>
  </si>
  <si>
    <t>2015-April</t>
  </si>
  <si>
    <t>2015-May</t>
  </si>
  <si>
    <t>2015-June</t>
  </si>
  <si>
    <t>2015-July</t>
  </si>
  <si>
    <t>2015-August</t>
  </si>
  <si>
    <t>2015-September</t>
  </si>
  <si>
    <t>2015-October</t>
  </si>
  <si>
    <t>2015-November</t>
  </si>
  <si>
    <t>2015-December</t>
  </si>
  <si>
    <t>2016-January</t>
  </si>
  <si>
    <t>2016-February</t>
  </si>
  <si>
    <t>2016-March</t>
  </si>
  <si>
    <t>2016-April</t>
  </si>
  <si>
    <t>2016-May</t>
  </si>
  <si>
    <t>2016-June</t>
  </si>
  <si>
    <t>2016-July</t>
  </si>
  <si>
    <t>2016-August</t>
  </si>
  <si>
    <t>2016-September</t>
  </si>
  <si>
    <t>2016-October</t>
  </si>
  <si>
    <t>2016-November</t>
  </si>
  <si>
    <t>2016-December</t>
  </si>
  <si>
    <t>Spring and Fall Flag</t>
  </si>
  <si>
    <t>CPI Index Electricity Relative to CPI Overall</t>
  </si>
  <si>
    <t>HDD    (10 Year)</t>
  </si>
  <si>
    <t>CDD       (10 Year)</t>
  </si>
  <si>
    <t>CDD       (20 Year)</t>
  </si>
  <si>
    <t>HDD    (20 Year)</t>
  </si>
  <si>
    <t>Predicted kWh</t>
  </si>
  <si>
    <t>Purchased kWh</t>
  </si>
  <si>
    <t>Residential Metered kWh</t>
  </si>
  <si>
    <t>General Service &lt; 50 kW Metered kWh</t>
  </si>
  <si>
    <t>Unmetered Scattered Load Metered kWh</t>
  </si>
  <si>
    <t>% Change</t>
  </si>
  <si>
    <t>Billed (kWh)</t>
  </si>
  <si>
    <t>Percentage Change %</t>
  </si>
  <si>
    <t>Customer/ Connection Count</t>
  </si>
  <si>
    <t>Growth (kWh)</t>
  </si>
  <si>
    <t>General Service &gt; 50 kW - 4999 kW - Excluding Wholesale Market Participant</t>
  </si>
  <si>
    <t>General Service &gt; 50 kW - 4999 kW - Wholesale Market Participant</t>
  </si>
  <si>
    <t>General Service &gt; 50 kW - 4999 kW - Excluding Wholesale Market Participant-Non-WN/kW</t>
  </si>
  <si>
    <t>General Service &gt; 50 kW - 4999 kW - Wholesale Market Participant-Non-WN/kW</t>
  </si>
  <si>
    <t>Adjusted kWh Purchased</t>
  </si>
  <si>
    <t>Wholesale Market Participant</t>
  </si>
  <si>
    <t>Microfit</t>
  </si>
  <si>
    <t>Table 326-0020 Consumer Price Index, monthly (2002=100 unless otherwise noted)(1,2,3,4,5,6,7,9,10)</t>
  </si>
  <si>
    <t>Survey or program details:</t>
  </si>
  <si>
    <t>Consumer Price Index - 2301</t>
  </si>
  <si>
    <t>Geography (10)</t>
  </si>
  <si>
    <t>Products and product groups (15)</t>
  </si>
  <si>
    <t>Canada</t>
  </si>
  <si>
    <t>All-items (16)</t>
  </si>
  <si>
    <t>[A]</t>
  </si>
  <si>
    <t>Electricity (20)</t>
  </si>
  <si>
    <t>[B]</t>
  </si>
  <si>
    <t>Due to changes in the Ontario electricity market that became effective May 1, 2002, it was necessary to adjust the treatment of electricity prices in the Consumer Price Index (CPI) for that province. A question and answer fact sheet that explains those changes is now available. To obtain the fact sheet on the treatment of electricity prices in Ontario, please contact the Consumer Prices Division at 1-866-230-2248 (toll-free) or by email at cpd-info-dpc@statcan.gc.ca.</t>
  </si>
  <si>
    <t>Variable 1 - Checked - Not Significant</t>
  </si>
  <si>
    <t>Variable 2 - Check - Somewhat Significant - Decreased 200,000 if using linear trending</t>
  </si>
  <si>
    <t>[A] - [B]</t>
  </si>
  <si>
    <t>PERIOD</t>
  </si>
  <si>
    <t>All-items - Growth Rate</t>
  </si>
  <si>
    <t>[C]</t>
  </si>
  <si>
    <t>Electricity - Growth Rate</t>
  </si>
  <si>
    <t>[D]</t>
  </si>
  <si>
    <t>[C] - [D]</t>
  </si>
  <si>
    <t>&lt;- Plotted Row 22</t>
  </si>
  <si>
    <t>Constructed Variable   - CPI Overall compared to CPI Electricity ( Using Line of Best Fit)</t>
  </si>
  <si>
    <t>Weather Adjusted kWh</t>
  </si>
  <si>
    <t>Purch. Versus Adjusted</t>
  </si>
  <si>
    <t>Non-Normal Weather Billed Energy Forecast (kWh)</t>
  </si>
  <si>
    <t>Adjustment for Weather (kWh)</t>
  </si>
  <si>
    <t>Weather Normalized Billed Energy Forecast (kWh)</t>
  </si>
  <si>
    <t>Average kWh Usage Per Customer/Connection             (CDM excluded)</t>
  </si>
  <si>
    <t>General Service &gt; 50 kW - 4999 kW - Excluding WMP</t>
  </si>
  <si>
    <t>General Service &gt; 50 kW - 4999 kW - WMP</t>
  </si>
  <si>
    <t>Total CDM</t>
  </si>
  <si>
    <t>Variance</t>
  </si>
  <si>
    <t>Customer Counts</t>
  </si>
  <si>
    <t>Customer Usage</t>
  </si>
  <si>
    <t>Purchases Versus Adjusted</t>
  </si>
  <si>
    <t xml:space="preserve">Average Growth </t>
  </si>
  <si>
    <t>CHECK:</t>
  </si>
  <si>
    <t>20 year Trend</t>
  </si>
  <si>
    <t>4. 2011-2014 IESO CDM FINAL Results</t>
  </si>
  <si>
    <t>Allocated</t>
  </si>
  <si>
    <t>% Actual Allocation</t>
  </si>
  <si>
    <t>NOTE: REMOVED 2014 CDM SAVINGS FROM ENERGY AUDIT.  DUPLICATE SAVINGS POTENTIALLY?</t>
  </si>
  <si>
    <t>2005</t>
  </si>
  <si>
    <t>2006</t>
  </si>
  <si>
    <t>2007</t>
  </si>
  <si>
    <t>2008</t>
  </si>
  <si>
    <t>2009</t>
  </si>
  <si>
    <t>2010</t>
  </si>
  <si>
    <t>2011</t>
  </si>
  <si>
    <t>2013</t>
  </si>
  <si>
    <t>2014</t>
  </si>
  <si>
    <t>TOTAL CHECK</t>
  </si>
  <si>
    <t>Tab X.1</t>
  </si>
  <si>
    <t>GS&gt;50 WMP</t>
  </si>
  <si>
    <t>Total CDM Savings Including Persistence (By Rate Class)</t>
  </si>
  <si>
    <t>Ontario</t>
  </si>
  <si>
    <t xml:space="preserve"> Y = -0.2195x + 2.4871</t>
  </si>
</sst>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_-* #,##0.0000_-;\-* #,##0.0000_-;_-* &quot;-&quot;??_-;_-@_-"/>
    <numFmt numFmtId="177" formatCode="#,##0.0000"/>
    <numFmt numFmtId="178" formatCode="_(* #,##0.0_);_(* \(#,##0.0\);_(* &quot;-&quot;??_);_(@_)"/>
    <numFmt numFmtId="179" formatCode="#,##0.0"/>
    <numFmt numFmtId="180" formatCode="mm/dd/yyyy"/>
    <numFmt numFmtId="181" formatCode="0\-0"/>
    <numFmt numFmtId="182" formatCode="&quot;$&quot;#,##0_);\(&quot;$&quot;#,##0\)"/>
    <numFmt numFmtId="183" formatCode="##\-#"/>
    <numFmt numFmtId="184" formatCode="_(* #,##0_);_(* \(#,##0\);_(* &quot;-&quot;??_);_(@_)"/>
    <numFmt numFmtId="185" formatCode="&quot;£ &quot;#,##0.00;[Red]\-&quot;£ &quot;#,##0.00"/>
    <numFmt numFmtId="186" formatCode="_-* #,##0.0000000_-;\-* #,##0.0000000_-;_-* &quot;-&quot;??_-;_-@_-"/>
    <numFmt numFmtId="187" formatCode="0.000%"/>
    <numFmt numFmtId="188" formatCode="_(* #,##0.0000_);_(* \(#,##0.0000\);_(* &quot;-&quot;??_);_(@_)"/>
    <numFmt numFmtId="189" formatCode="_(* #,##0.0000_);_(* \(#,##0.0000\);_(* &quot;-&quot;????_);_(@_)"/>
    <numFmt numFmtId="190" formatCode="0.0"/>
    <numFmt numFmtId="191" formatCode="0.0000%"/>
    <numFmt numFmtId="192" formatCode="[$-409]mmmm\ d\,\ yyyy;@"/>
    <numFmt numFmtId="193" formatCode="_(* #,##0.0_);_(* \(#,##0.0\);_(* \-??_);_(@_)"/>
    <numFmt numFmtId="194" formatCode="_-* #,##0.00_-;\-* #,##0.00_-;_-* \-??_-;_-@_-"/>
    <numFmt numFmtId="195" formatCode="_(* #,##0.00_);_(* \(#,##0.00\);_(* \-??_);_(@_)"/>
    <numFmt numFmtId="196" formatCode="_-\$* #,##0.00_-;&quot;-$&quot;* #,##0.00_-;_-\$* \-??_-;_-@_-"/>
    <numFmt numFmtId="197" formatCode="_(\$* #,##0.00_);_(\$* \(#,##0.00\);_(\$* \-??_);_(@_)"/>
    <numFmt numFmtId="198" formatCode="\$#,##0_);&quot;($&quot;#,##0\)"/>
    <numFmt numFmtId="199" formatCode="_(* #,##0_);_(* \(#,##0\);_(* \-??_);_(@_)"/>
    <numFmt numFmtId="200" formatCode="&quot;£ &quot;#,##0.00;[Red]&quot;-£ &quot;#,##0.00"/>
    <numFmt numFmtId="201" formatCode="_-* #,##0.0_-;\-* #,##0.0_-;_-* &quot;-&quot;??_-;_-@_-"/>
  </numFmts>
  <fonts count="229"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b/>
      <sz val="12"/>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u/>
      <sz val="10"/>
      <color theme="10"/>
      <name val="Times New Roman"/>
      <family val="1"/>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name val="Arial"/>
      <family val="2"/>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1"/>
      <color theme="1"/>
      <name val="Calibri"/>
      <family val="2"/>
      <scheme val="minor"/>
    </font>
    <font>
      <i/>
      <sz val="11"/>
      <color theme="1"/>
      <name val="Calibri"/>
      <family val="2"/>
      <scheme val="minor"/>
    </font>
    <font>
      <sz val="10"/>
      <name val="Calibri"/>
      <family val="2"/>
      <scheme val="minor"/>
    </font>
    <font>
      <sz val="11"/>
      <name val="Calibri"/>
      <family val="2"/>
      <scheme val="minor"/>
    </font>
    <font>
      <b/>
      <sz val="14"/>
      <color theme="1"/>
      <name val="Calibri"/>
      <family val="2"/>
      <scheme val="minor"/>
    </font>
    <font>
      <b/>
      <i/>
      <sz val="14"/>
      <color theme="1"/>
      <name val="Calibri"/>
      <family val="2"/>
      <scheme val="minor"/>
    </font>
    <font>
      <b/>
      <sz val="11"/>
      <name val="Calibri"/>
      <family val="2"/>
      <scheme val="minor"/>
    </font>
    <font>
      <b/>
      <sz val="12"/>
      <color theme="0"/>
      <name val="Calibri"/>
      <family val="2"/>
      <scheme val="minor"/>
    </font>
    <font>
      <sz val="10"/>
      <color theme="0"/>
      <name val="Times New Roman"/>
      <family val="1"/>
    </font>
    <font>
      <sz val="11"/>
      <color theme="0" tint="-0.499984740745262"/>
      <name val="Arial"/>
      <family val="2"/>
    </font>
    <font>
      <sz val="10"/>
      <color theme="0"/>
      <name val="Calibri"/>
      <family val="2"/>
      <scheme val="minor"/>
    </font>
    <font>
      <sz val="11"/>
      <name val="Times New Roman"/>
      <family val="1"/>
    </font>
    <font>
      <b/>
      <sz val="9"/>
      <color indexed="81"/>
      <name val="Tahoma"/>
      <family val="2"/>
    </font>
    <font>
      <u/>
      <sz val="11"/>
      <color theme="1"/>
      <name val="Calibri"/>
      <family val="2"/>
      <scheme val="minor"/>
    </font>
    <font>
      <b/>
      <sz val="12"/>
      <color theme="1"/>
      <name val="Calibri"/>
      <family val="2"/>
      <scheme val="minor"/>
    </font>
    <font>
      <sz val="9"/>
      <color indexed="81"/>
      <name val="Tahoma"/>
      <family val="2"/>
    </font>
    <font>
      <sz val="10"/>
      <color theme="0" tint="-0.249977111117893"/>
      <name val="Arial"/>
      <family val="2"/>
    </font>
    <font>
      <sz val="12"/>
      <name val="Arial"/>
      <family val="2"/>
    </font>
    <font>
      <sz val="12"/>
      <color theme="0"/>
      <name val="Arial"/>
      <family val="2"/>
    </font>
    <font>
      <b/>
      <i/>
      <sz val="10"/>
      <name val="Arial"/>
      <family val="2"/>
    </font>
    <font>
      <sz val="11"/>
      <color theme="0"/>
      <name val="Arial"/>
      <family val="2"/>
    </font>
    <font>
      <sz val="14"/>
      <color theme="0"/>
      <name val="Arial"/>
      <family val="2"/>
    </font>
    <font>
      <b/>
      <sz val="11"/>
      <color indexed="9"/>
      <name val="Arial"/>
      <family val="2"/>
    </font>
    <font>
      <b/>
      <sz val="16"/>
      <color theme="0"/>
      <name val="Arial"/>
      <family val="2"/>
    </font>
    <font>
      <b/>
      <sz val="18"/>
      <color theme="0"/>
      <name val="Arial"/>
      <family val="2"/>
    </font>
    <font>
      <b/>
      <sz val="10"/>
      <name val="Times New Roman"/>
      <family val="1"/>
    </font>
    <font>
      <sz val="11"/>
      <color theme="0" tint="-0.14999847407452621"/>
      <name val="Arial"/>
      <family val="2"/>
    </font>
    <font>
      <sz val="9"/>
      <name val="Times New Roman"/>
      <family val="1"/>
    </font>
    <font>
      <b/>
      <sz val="11"/>
      <name val="Times New Roman"/>
      <family val="1"/>
    </font>
    <font>
      <sz val="10"/>
      <name val="Arial"/>
      <family val="2"/>
    </font>
    <font>
      <sz val="10"/>
      <color indexed="9"/>
      <name val="Arial"/>
      <family val="2"/>
    </font>
    <font>
      <sz val="10"/>
      <color indexed="10"/>
      <name val="Arial"/>
      <family val="2"/>
    </font>
    <font>
      <b/>
      <sz val="10"/>
      <color indexed="8"/>
      <name val="Arial"/>
      <family val="2"/>
    </font>
    <font>
      <b/>
      <sz val="10"/>
      <color indexed="9"/>
      <name val="Arial"/>
      <family val="2"/>
    </font>
    <font>
      <sz val="10"/>
      <name val="Arial"/>
      <family val="2"/>
      <charset val="1"/>
    </font>
    <font>
      <sz val="10"/>
      <color indexed="52"/>
      <name val="Arial"/>
      <family val="2"/>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sz val="10"/>
      <name val="Mangal"/>
      <family val="2"/>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sz val="11"/>
      <color rgb="FF000000"/>
      <name val="Calibri"/>
      <family val="2"/>
      <scheme val="minor"/>
    </font>
    <font>
      <b/>
      <sz val="12"/>
      <color rgb="FF000000"/>
      <name val="Arial"/>
      <family val="2"/>
    </font>
    <font>
      <u/>
      <sz val="7.5"/>
      <color indexed="12"/>
      <name val="Arial"/>
      <family val="2"/>
    </font>
    <font>
      <sz val="10"/>
      <name val="MS Sans Serif"/>
      <family val="2"/>
    </font>
    <font>
      <sz val="10"/>
      <color theme="1"/>
      <name val="Courier"/>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60"/>
      <name val="Arial"/>
      <family val="2"/>
    </font>
    <font>
      <b/>
      <sz val="10"/>
      <color indexed="63"/>
      <name val="Arial"/>
      <family val="2"/>
    </font>
    <font>
      <sz val="9"/>
      <color theme="1"/>
      <name val="Calibri"/>
      <family val="2"/>
      <scheme val="minor"/>
    </font>
    <font>
      <b/>
      <sz val="8"/>
      <color theme="1"/>
      <name val="Calibri"/>
      <family val="2"/>
      <scheme val="minor"/>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2"/>
      <color theme="1"/>
      <name val="Arial"/>
      <family val="2"/>
    </font>
    <font>
      <b/>
      <sz val="8"/>
      <name val="Times New Roman"/>
      <family val="1"/>
    </font>
    <font>
      <sz val="10"/>
      <color rgb="FF000000"/>
      <name val="Calibri"/>
      <family val="2"/>
      <scheme val="minor"/>
    </font>
  </fonts>
  <fills count="1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indexed="41"/>
        <bgColor indexed="27"/>
      </patternFill>
    </fill>
    <fill>
      <patternFill patternType="solid">
        <fgColor indexed="31"/>
        <bgColor indexed="15"/>
      </patternFill>
    </fill>
    <fill>
      <patternFill patternType="solid">
        <fgColor indexed="36"/>
        <bgColor indexed="28"/>
      </patternFill>
    </fill>
    <fill>
      <patternFill patternType="solid">
        <fgColor indexed="45"/>
        <bgColor indexed="51"/>
      </patternFill>
    </fill>
    <fill>
      <patternFill patternType="solid">
        <fgColor indexed="39"/>
        <bgColor indexed="58"/>
      </patternFill>
    </fill>
    <fill>
      <patternFill patternType="solid">
        <fgColor indexed="42"/>
        <bgColor indexed="27"/>
      </patternFill>
    </fill>
    <fill>
      <patternFill patternType="solid">
        <fgColor indexed="28"/>
        <bgColor indexed="41"/>
      </patternFill>
    </fill>
    <fill>
      <patternFill patternType="solid">
        <fgColor indexed="46"/>
        <bgColor indexed="50"/>
      </patternFill>
    </fill>
    <fill>
      <patternFill patternType="solid">
        <fgColor indexed="27"/>
        <bgColor indexed="41"/>
      </patternFill>
    </fill>
    <fill>
      <patternFill patternType="solid">
        <fgColor indexed="18"/>
        <bgColor indexed="58"/>
      </patternFill>
    </fill>
    <fill>
      <patternFill patternType="solid">
        <fgColor indexed="47"/>
        <bgColor indexed="51"/>
      </patternFill>
    </fill>
    <fill>
      <patternFill patternType="solid">
        <fgColor indexed="44"/>
        <bgColor indexed="24"/>
      </patternFill>
    </fill>
    <fill>
      <patternFill patternType="solid">
        <fgColor indexed="29"/>
        <bgColor indexed="46"/>
      </patternFill>
    </fill>
    <fill>
      <patternFill patternType="solid">
        <fgColor indexed="11"/>
        <bgColor indexed="20"/>
      </patternFill>
    </fill>
    <fill>
      <patternFill patternType="solid">
        <fgColor indexed="17"/>
        <bgColor indexed="35"/>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51"/>
        <bgColor indexed="47"/>
      </patternFill>
    </fill>
    <fill>
      <patternFill patternType="solid">
        <fgColor indexed="24"/>
        <bgColor indexed="44"/>
      </patternFill>
    </fill>
    <fill>
      <patternFill patternType="darkGray">
        <fgColor indexed="50"/>
        <bgColor indexed="46"/>
      </patternFill>
    </fill>
    <fill>
      <patternFill patternType="mediumGray">
        <fgColor indexed="11"/>
        <bgColor indexed="22"/>
      </patternFill>
    </fill>
    <fill>
      <patternFill patternType="solid">
        <fgColor indexed="49"/>
        <bgColor indexed="48"/>
      </patternFill>
    </fill>
    <fill>
      <patternFill patternType="darkGray">
        <fgColor indexed="52"/>
        <bgColor indexed="59"/>
      </patternFill>
    </fill>
    <fill>
      <patternFill patternType="darkGray">
        <fgColor indexed="48"/>
        <bgColor indexed="19"/>
      </patternFill>
    </fill>
    <fill>
      <patternFill patternType="solid">
        <fgColor indexed="62"/>
        <bgColor indexed="21"/>
      </patternFill>
    </fill>
    <fill>
      <patternFill patternType="solid">
        <fgColor indexed="48"/>
        <bgColor indexed="21"/>
      </patternFill>
    </fill>
    <fill>
      <patternFill patternType="solid">
        <fgColor indexed="60"/>
        <bgColor indexed="53"/>
      </patternFill>
    </fill>
    <fill>
      <patternFill patternType="solid">
        <fgColor indexed="10"/>
        <bgColor indexed="37"/>
      </patternFill>
    </fill>
    <fill>
      <patternFill patternType="solid">
        <fgColor indexed="50"/>
        <bgColor indexed="55"/>
      </patternFill>
    </fill>
    <fill>
      <patternFill patternType="solid">
        <fgColor indexed="54"/>
        <bgColor indexed="19"/>
      </patternFill>
    </fill>
    <fill>
      <patternFill patternType="darkGray">
        <fgColor indexed="54"/>
        <bgColor indexed="19"/>
      </patternFill>
    </fill>
    <fill>
      <patternFill patternType="solid">
        <fgColor indexed="59"/>
        <bgColor indexed="53"/>
      </patternFill>
    </fill>
    <fill>
      <patternFill patternType="solid">
        <fgColor indexed="33"/>
        <bgColor indexed="34"/>
      </patternFill>
    </fill>
    <fill>
      <patternFill patternType="solid">
        <fgColor indexed="32"/>
        <bgColor indexed="58"/>
      </patternFill>
    </fill>
    <fill>
      <patternFill patternType="solid">
        <fgColor indexed="22"/>
        <bgColor indexed="35"/>
      </patternFill>
    </fill>
    <fill>
      <patternFill patternType="solid">
        <fgColor indexed="55"/>
        <bgColor indexed="38"/>
      </patternFill>
    </fill>
    <fill>
      <patternFill patternType="mediumGray">
        <fgColor indexed="42"/>
        <bgColor indexed="11"/>
      </patternFill>
    </fill>
    <fill>
      <patternFill patternType="solid">
        <fgColor indexed="26"/>
        <bgColor indexed="39"/>
      </patternFill>
    </fill>
    <fill>
      <patternFill patternType="mediumGray">
        <fgColor indexed="43"/>
        <bgColor indexed="34"/>
      </patternFill>
    </fill>
    <fill>
      <patternFill patternType="solid">
        <fgColor indexed="43"/>
        <bgColor indexed="26"/>
      </patternFill>
    </fill>
    <fill>
      <patternFill patternType="solid">
        <fgColor theme="4" tint="0.39997558519241921"/>
        <bgColor indexed="64"/>
      </patternFill>
    </fill>
    <fill>
      <patternFill patternType="solid">
        <fgColor indexed="58"/>
        <bgColor indexed="27"/>
      </patternFill>
    </fill>
    <fill>
      <patternFill patternType="solid">
        <fgColor indexed="39"/>
        <bgColor indexed="32"/>
      </patternFill>
    </fill>
    <fill>
      <patternFill patternType="solid">
        <fgColor indexed="28"/>
        <bgColor indexed="58"/>
      </patternFill>
    </fill>
    <fill>
      <patternFill patternType="solid">
        <fgColor indexed="27"/>
        <bgColor indexed="58"/>
      </patternFill>
    </fill>
    <fill>
      <patternFill patternType="solid">
        <fgColor indexed="18"/>
        <bgColor indexed="39"/>
      </patternFill>
    </fill>
    <fill>
      <patternFill patternType="solid">
        <fgColor indexed="56"/>
        <bgColor indexed="41"/>
      </patternFill>
    </fill>
    <fill>
      <patternFill patternType="solid">
        <fgColor indexed="20"/>
        <bgColor indexed="47"/>
      </patternFill>
    </fill>
    <fill>
      <patternFill patternType="solid">
        <fgColor indexed="35"/>
        <bgColor indexed="56"/>
      </patternFill>
    </fill>
    <fill>
      <patternFill patternType="solid">
        <fgColor indexed="46"/>
        <bgColor indexed="30"/>
      </patternFill>
    </fill>
    <fill>
      <patternFill patternType="darkGray">
        <fgColor indexed="48"/>
        <bgColor indexed="61"/>
      </patternFill>
    </fill>
    <fill>
      <patternFill patternType="solid">
        <fgColor indexed="25"/>
        <bgColor indexed="19"/>
      </patternFill>
    </fill>
    <fill>
      <patternFill patternType="solid">
        <fgColor indexed="50"/>
        <bgColor indexed="30"/>
      </patternFill>
    </fill>
    <fill>
      <patternFill patternType="solid">
        <fgColor indexed="54"/>
        <bgColor indexed="57"/>
      </patternFill>
    </fill>
    <fill>
      <patternFill patternType="solid">
        <fgColor indexed="52"/>
        <bgColor indexed="53"/>
      </patternFill>
    </fill>
    <fill>
      <patternFill patternType="solid">
        <fgColor indexed="33"/>
        <bgColor indexed="20"/>
      </patternFill>
    </fill>
    <fill>
      <patternFill patternType="solid">
        <fgColor indexed="32"/>
        <bgColor indexed="39"/>
      </patternFill>
    </fill>
    <fill>
      <patternFill patternType="solid">
        <fgColor indexed="40"/>
        <bgColor indexed="30"/>
      </patternFill>
    </fill>
    <fill>
      <patternFill patternType="solid">
        <fgColor indexed="41"/>
        <bgColor indexed="42"/>
      </patternFill>
    </fill>
    <fill>
      <patternFill patternType="solid">
        <fgColor indexed="22"/>
        <bgColor indexed="59"/>
      </patternFill>
    </fill>
    <fill>
      <patternFill patternType="solid">
        <fgColor indexed="34"/>
        <bgColor indexed="43"/>
      </patternFill>
    </fill>
    <fill>
      <patternFill patternType="solid">
        <fgColor indexed="42"/>
        <bgColor indexed="41"/>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8"/>
      </left>
      <right style="thin">
        <color indexed="8"/>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ck">
        <color indexed="64"/>
      </bottom>
      <diagonal/>
    </border>
    <border>
      <left style="medium">
        <color indexed="64"/>
      </left>
      <right style="thin">
        <color indexed="8"/>
      </right>
      <top/>
      <bottom/>
      <diagonal/>
    </border>
    <border>
      <left style="thin">
        <color indexed="8"/>
      </left>
      <right style="thin">
        <color indexed="8"/>
      </right>
      <top style="thick">
        <color indexed="64"/>
      </top>
      <bottom style="thin">
        <color indexed="8"/>
      </bottom>
      <diagonal/>
    </border>
    <border>
      <left style="thin">
        <color indexed="8"/>
      </left>
      <right style="medium">
        <color indexed="64"/>
      </right>
      <top style="thick">
        <color indexed="64"/>
      </top>
      <bottom style="thin">
        <color indexed="8"/>
      </bottom>
      <diagonal/>
    </border>
    <border>
      <left style="thin">
        <color indexed="8"/>
      </left>
      <right style="medium">
        <color indexed="64"/>
      </right>
      <top style="thin">
        <color indexed="8"/>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8"/>
      </right>
      <top style="thick">
        <color indexed="64"/>
      </top>
      <bottom style="thin">
        <color indexed="64"/>
      </bottom>
      <diagonal/>
    </border>
    <border>
      <left/>
      <right style="thin">
        <color indexed="64"/>
      </right>
      <top style="double">
        <color indexed="64"/>
      </top>
      <bottom style="thin">
        <color indexed="64"/>
      </bottom>
      <diagonal/>
    </border>
    <border>
      <left style="thin">
        <color indexed="19"/>
      </left>
      <right style="thin">
        <color indexed="19"/>
      </right>
      <top style="thin">
        <color indexed="19"/>
      </top>
      <bottom style="thin">
        <color indexed="19"/>
      </bottom>
      <diagonal/>
    </border>
    <border>
      <left/>
      <right/>
      <top/>
      <bottom style="thick">
        <color indexed="48"/>
      </bottom>
      <diagonal/>
    </border>
    <border>
      <left/>
      <right/>
      <top/>
      <bottom style="thick">
        <color indexed="24"/>
      </bottom>
      <diagonal/>
    </border>
    <border>
      <left/>
      <right/>
      <top/>
      <bottom style="medium">
        <color indexed="24"/>
      </bottom>
      <diagonal/>
    </border>
    <border>
      <left/>
      <right/>
      <top/>
      <bottom style="medium">
        <color indexed="50"/>
      </bottom>
      <diagonal/>
    </border>
    <border>
      <left/>
      <right/>
      <top/>
      <bottom style="double">
        <color indexed="59"/>
      </bottom>
      <diagonal/>
    </border>
    <border>
      <left style="thin">
        <color indexed="50"/>
      </left>
      <right style="thin">
        <color indexed="50"/>
      </right>
      <top style="thin">
        <color indexed="50"/>
      </top>
      <bottom style="thin">
        <color indexed="50"/>
      </bottom>
      <diagonal/>
    </border>
    <border>
      <left/>
      <right/>
      <top style="thin">
        <color indexed="48"/>
      </top>
      <bottom style="double">
        <color indexed="48"/>
      </bottom>
      <diagonal/>
    </border>
    <border>
      <left/>
      <right/>
      <top style="double">
        <color indexed="0"/>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indexed="21"/>
      </left>
      <right style="thin">
        <color indexed="21"/>
      </right>
      <top style="thin">
        <color indexed="21"/>
      </top>
      <bottom style="thin">
        <color indexed="21"/>
      </bottom>
      <diagonal/>
    </border>
    <border>
      <left/>
      <right/>
      <top/>
      <bottom style="double">
        <color indexed="53"/>
      </bottom>
      <diagonal/>
    </border>
    <border>
      <left style="thin">
        <color indexed="30"/>
      </left>
      <right style="thin">
        <color indexed="30"/>
      </right>
      <top style="thin">
        <color indexed="30"/>
      </top>
      <bottom style="thin">
        <color indexed="30"/>
      </bottom>
      <diagonal/>
    </border>
  </borders>
  <cellStyleXfs count="11989">
    <xf numFmtId="0" fontId="0" fillId="0" borderId="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43" fontId="28" fillId="0" borderId="0" applyFont="0" applyFill="0" applyBorder="0" applyAlignment="0" applyProtection="0"/>
    <xf numFmtId="165" fontId="38" fillId="0" borderId="0" applyFont="0" applyFill="0" applyBorder="0" applyAlignment="0" applyProtection="0"/>
    <xf numFmtId="44" fontId="25" fillId="0" borderId="0" applyFont="0" applyFill="0" applyBorder="0" applyAlignment="0" applyProtection="0"/>
    <xf numFmtId="164" fontId="25" fillId="0" borderId="0" applyFont="0" applyFill="0" applyBorder="0" applyAlignment="0" applyProtection="0"/>
    <xf numFmtId="44" fontId="24"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54" fillId="0" borderId="0"/>
    <xf numFmtId="0" fontId="54" fillId="0" borderId="0"/>
    <xf numFmtId="0" fontId="24" fillId="0" borderId="0"/>
    <xf numFmtId="0" fontId="27" fillId="0" borderId="0"/>
    <xf numFmtId="0" fontId="41" fillId="0" borderId="0"/>
    <xf numFmtId="0" fontId="2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9" fontId="29" fillId="0" borderId="0" applyFont="0" applyFill="0" applyBorder="0" applyAlignment="0" applyProtection="0"/>
    <xf numFmtId="9" fontId="28" fillId="0" borderId="0" applyFont="0" applyFill="0" applyBorder="0" applyAlignment="0" applyProtection="0"/>
    <xf numFmtId="9" fontId="38" fillId="0" borderId="0" applyFont="0" applyFill="0" applyBorder="0" applyAlignment="0" applyProtection="0"/>
    <xf numFmtId="0" fontId="56" fillId="0" borderId="0" applyNumberFormat="0" applyFill="0" applyBorder="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44" fontId="24" fillId="0" borderId="0" applyFont="0" applyFill="0" applyBorder="0" applyAlignment="0" applyProtection="0"/>
    <xf numFmtId="164" fontId="24" fillId="0" borderId="0" applyFont="0" applyFill="0" applyBorder="0" applyAlignment="0" applyProtection="0"/>
    <xf numFmtId="0" fontId="23" fillId="0" borderId="0"/>
    <xf numFmtId="0" fontId="23" fillId="0" borderId="0"/>
    <xf numFmtId="0" fontId="24" fillId="0" borderId="0"/>
    <xf numFmtId="165" fontId="24" fillId="0" borderId="0" applyFont="0" applyFill="0" applyBorder="0" applyAlignment="0" applyProtection="0"/>
    <xf numFmtId="165" fontId="24" fillId="0" borderId="0" applyFont="0" applyFill="0" applyBorder="0" applyAlignment="0" applyProtection="0"/>
    <xf numFmtId="165" fontId="74" fillId="0" borderId="0" applyFont="0" applyFill="0" applyBorder="0" applyAlignment="0" applyProtection="0"/>
    <xf numFmtId="165" fontId="24" fillId="0" borderId="0" applyFont="0" applyFill="0" applyBorder="0" applyAlignment="0" applyProtection="0"/>
    <xf numFmtId="43" fontId="23" fillId="0" borderId="0" applyFont="0" applyFill="0" applyBorder="0" applyAlignment="0" applyProtection="0"/>
    <xf numFmtId="44" fontId="24" fillId="0" borderId="0" applyFont="0" applyFill="0" applyBorder="0" applyAlignment="0" applyProtection="0"/>
    <xf numFmtId="164" fontId="24" fillId="0" borderId="0" applyFont="0" applyFill="0" applyBorder="0" applyAlignment="0" applyProtection="0"/>
    <xf numFmtId="0" fontId="24" fillId="0" borderId="0"/>
    <xf numFmtId="0" fontId="23" fillId="0" borderId="0"/>
    <xf numFmtId="0" fontId="23" fillId="0" borderId="0"/>
    <xf numFmtId="0" fontId="24" fillId="0" borderId="0"/>
    <xf numFmtId="0" fontId="23" fillId="0" borderId="0"/>
    <xf numFmtId="0" fontId="24" fillId="0" borderId="0"/>
    <xf numFmtId="0" fontId="24" fillId="0" borderId="0"/>
    <xf numFmtId="0" fontId="74" fillId="0" borderId="0"/>
    <xf numFmtId="0" fontId="24" fillId="0" borderId="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74" fillId="38" borderId="1" applyNumberFormat="0" applyProtection="0">
      <alignment horizontal="left" vertical="center"/>
    </xf>
    <xf numFmtId="0" fontId="24" fillId="38" borderId="1" applyNumberFormat="0" applyProtection="0">
      <alignment horizontal="left" vertical="center"/>
    </xf>
    <xf numFmtId="9" fontId="23" fillId="0" borderId="0" applyFont="0" applyFill="0" applyBorder="0" applyAlignment="0" applyProtection="0"/>
    <xf numFmtId="0" fontId="22" fillId="0" borderId="0"/>
    <xf numFmtId="0" fontId="22" fillId="0" borderId="0"/>
    <xf numFmtId="43" fontId="22" fillId="0" borderId="0" applyFont="0" applyFill="0" applyBorder="0" applyAlignment="0" applyProtection="0"/>
    <xf numFmtId="0" fontId="22" fillId="0" borderId="0"/>
    <xf numFmtId="0" fontId="22" fillId="0" borderId="0"/>
    <xf numFmtId="0" fontId="22" fillId="0" borderId="0"/>
    <xf numFmtId="9" fontId="22" fillId="0" borderId="0" applyFont="0" applyFill="0" applyBorder="0" applyAlignment="0" applyProtection="0"/>
    <xf numFmtId="9" fontId="22"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0" fontId="20" fillId="0" borderId="0"/>
    <xf numFmtId="0" fontId="76" fillId="0" borderId="0"/>
    <xf numFmtId="165" fontId="28" fillId="0" borderId="0" applyFont="0" applyFill="0" applyBorder="0" applyAlignment="0" applyProtection="0"/>
    <xf numFmtId="9" fontId="28" fillId="0" borderId="0" applyFont="0" applyFill="0" applyBorder="0" applyAlignment="0" applyProtection="0"/>
    <xf numFmtId="0" fontId="28"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0" fontId="28" fillId="0" borderId="0"/>
    <xf numFmtId="43" fontId="28" fillId="0" borderId="0" applyFont="0" applyFill="0" applyBorder="0" applyAlignment="0" applyProtection="0"/>
    <xf numFmtId="0" fontId="19" fillId="0" borderId="0"/>
    <xf numFmtId="0" fontId="19" fillId="0" borderId="0"/>
    <xf numFmtId="9" fontId="28"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38" fillId="48" borderId="0" applyNumberFormat="0" applyBorder="0" applyAlignment="0" applyProtection="0"/>
    <xf numFmtId="0" fontId="106" fillId="49"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55" borderId="0" applyNumberFormat="0" applyBorder="0" applyAlignment="0" applyProtection="0"/>
    <xf numFmtId="0" fontId="108" fillId="57" borderId="95" applyNumberFormat="0" applyAlignment="0" applyProtection="0"/>
    <xf numFmtId="0" fontId="104" fillId="0" borderId="0" applyNumberFormat="0" applyFill="0" applyBorder="0" applyAlignment="0" applyProtection="0">
      <alignment vertical="top"/>
      <protection locked="0"/>
    </xf>
    <xf numFmtId="0" fontId="117" fillId="59" borderId="0" applyNumberFormat="0" applyBorder="0" applyAlignment="0" applyProtection="0"/>
    <xf numFmtId="0" fontId="119" fillId="0" borderId="0" applyNumberFormat="0" applyFill="0" applyBorder="0" applyAlignment="0" applyProtection="0"/>
    <xf numFmtId="0" fontId="120" fillId="0" borderId="103" applyNumberFormat="0" applyFill="0" applyAlignment="0" applyProtection="0"/>
    <xf numFmtId="0" fontId="121" fillId="0" borderId="0" applyNumberFormat="0" applyFill="0" applyBorder="0" applyAlignment="0" applyProtection="0"/>
    <xf numFmtId="0" fontId="24" fillId="0" borderId="0"/>
    <xf numFmtId="0" fontId="56" fillId="0" borderId="0" applyNumberFormat="0" applyFill="0" applyBorder="0" applyAlignment="0" applyProtection="0"/>
    <xf numFmtId="0" fontId="84" fillId="0" borderId="61" applyNumberFormat="0" applyFill="0" applyAlignment="0" applyProtection="0"/>
    <xf numFmtId="0" fontId="83" fillId="0" borderId="60" applyNumberFormat="0" applyFill="0" applyAlignment="0" applyProtection="0"/>
    <xf numFmtId="0" fontId="18" fillId="0" borderId="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18" fillId="32" borderId="64" applyNumberFormat="0" applyFont="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18" fillId="2" borderId="0" applyNumberFormat="0" applyBorder="0" applyAlignment="0" applyProtection="0"/>
    <xf numFmtId="0" fontId="18" fillId="8"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18" fillId="3" borderId="0" applyNumberFormat="0" applyBorder="0" applyAlignment="0" applyProtection="0"/>
    <xf numFmtId="0" fontId="18" fillId="9"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97" fillId="19" borderId="0" applyNumberFormat="0" applyBorder="0" applyAlignment="0" applyProtection="0"/>
    <xf numFmtId="0" fontId="18" fillId="0" borderId="0"/>
    <xf numFmtId="43" fontId="18"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178" fontId="24" fillId="0" borderId="0"/>
    <xf numFmtId="179" fontId="24" fillId="0" borderId="0"/>
    <xf numFmtId="178" fontId="24" fillId="0" borderId="0"/>
    <xf numFmtId="178" fontId="24" fillId="0" borderId="0"/>
    <xf numFmtId="178" fontId="24" fillId="0" borderId="0"/>
    <xf numFmtId="178" fontId="24" fillId="0" borderId="0"/>
    <xf numFmtId="180" fontId="24" fillId="0" borderId="0"/>
    <xf numFmtId="181" fontId="24" fillId="0" borderId="0"/>
    <xf numFmtId="180" fontId="24" fillId="0" borderId="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38" fontId="105" fillId="61" borderId="0" applyNumberFormat="0" applyBorder="0" applyAlignment="0" applyProtection="0"/>
    <xf numFmtId="10" fontId="105" fillId="64" borderId="1" applyNumberFormat="0" applyBorder="0" applyAlignment="0" applyProtection="0"/>
    <xf numFmtId="183" fontId="24" fillId="0" borderId="0"/>
    <xf numFmtId="183" fontId="24" fillId="0" borderId="0"/>
    <xf numFmtId="183" fontId="24" fillId="0" borderId="0"/>
    <xf numFmtId="183" fontId="24" fillId="0" borderId="0"/>
    <xf numFmtId="183" fontId="24" fillId="0" borderId="0"/>
    <xf numFmtId="185" fontId="24" fillId="0" borderId="0"/>
    <xf numFmtId="10" fontId="24"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44" fontId="24" fillId="0" borderId="0" applyFont="0" applyFill="0" applyBorder="0" applyAlignment="0" applyProtection="0"/>
    <xf numFmtId="0" fontId="18" fillId="0" borderId="0"/>
    <xf numFmtId="0" fontId="18" fillId="0" borderId="0"/>
    <xf numFmtId="184" fontId="24" fillId="0" borderId="0"/>
    <xf numFmtId="0" fontId="118" fillId="57" borderId="102" applyNumberFormat="0" applyAlignment="0" applyProtection="0"/>
    <xf numFmtId="0" fontId="109" fillId="58" borderId="96" applyNumberFormat="0" applyAlignment="0" applyProtection="0"/>
    <xf numFmtId="0" fontId="115" fillId="44" borderId="95" applyNumberFormat="0" applyAlignment="0" applyProtection="0"/>
    <xf numFmtId="0" fontId="24" fillId="60" borderId="101" applyNumberFormat="0" applyFont="0" applyAlignment="0" applyProtection="0"/>
    <xf numFmtId="0" fontId="111" fillId="41" borderId="0" applyNumberFormat="0" applyBorder="0" applyAlignment="0" applyProtection="0"/>
    <xf numFmtId="0" fontId="107" fillId="40" borderId="0" applyNumberFormat="0" applyBorder="0" applyAlignment="0" applyProtection="0"/>
    <xf numFmtId="0" fontId="114" fillId="0" borderId="99" applyNumberFormat="0" applyFill="0" applyAlignment="0" applyProtection="0"/>
    <xf numFmtId="0" fontId="113" fillId="0" borderId="98" applyNumberFormat="0" applyFill="0" applyAlignment="0" applyProtection="0"/>
    <xf numFmtId="0" fontId="110" fillId="0" borderId="0" applyNumberFormat="0" applyFill="0" applyBorder="0" applyAlignment="0" applyProtection="0"/>
    <xf numFmtId="0" fontId="112" fillId="0" borderId="97" applyNumberFormat="0" applyFill="0" applyAlignment="0" applyProtection="0"/>
    <xf numFmtId="0" fontId="100" fillId="0" borderId="0" applyNumberFormat="0" applyFill="0" applyBorder="0" applyAlignment="0" applyProtection="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0" fontId="106" fillId="51" borderId="0" applyNumberFormat="0" applyBorder="0" applyAlignment="0" applyProtection="0"/>
    <xf numFmtId="0" fontId="18" fillId="0" borderId="0"/>
    <xf numFmtId="0" fontId="18" fillId="0" borderId="0"/>
    <xf numFmtId="0" fontId="18" fillId="0" borderId="0"/>
    <xf numFmtId="0" fontId="106" fillId="56" borderId="0" applyNumberFormat="0" applyBorder="0" applyAlignment="0" applyProtection="0"/>
    <xf numFmtId="0" fontId="106" fillId="50" borderId="0" applyNumberFormat="0" applyBorder="0" applyAlignment="0" applyProtection="0"/>
    <xf numFmtId="43" fontId="2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28" fillId="0" borderId="0"/>
    <xf numFmtId="0" fontId="116" fillId="0" borderId="100" applyNumberFormat="0" applyFill="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14" fillId="0" borderId="0" applyNumberForma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24" fillId="0" borderId="0"/>
    <xf numFmtId="0" fontId="24" fillId="0" borderId="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24" fillId="0" borderId="0"/>
    <xf numFmtId="0" fontId="28" fillId="0" borderId="0"/>
    <xf numFmtId="0" fontId="17" fillId="0" borderId="0"/>
    <xf numFmtId="0" fontId="17" fillId="0" borderId="0"/>
    <xf numFmtId="9" fontId="28"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0" fontId="16" fillId="0" borderId="0"/>
    <xf numFmtId="0" fontId="74" fillId="0" borderId="0"/>
    <xf numFmtId="0" fontId="74" fillId="38" borderId="1" applyNumberFormat="0" applyProtection="0">
      <alignment horizontal="left" vertical="center"/>
    </xf>
    <xf numFmtId="0" fontId="83" fillId="0" borderId="60" applyNumberFormat="0" applyFill="0" applyAlignment="0" applyProtection="0"/>
    <xf numFmtId="0" fontId="84" fillId="0" borderId="61" applyNumberFormat="0" applyFill="0" applyAlignment="0" applyProtection="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15" fillId="2" borderId="0" applyNumberFormat="0" applyBorder="0" applyAlignment="0" applyProtection="0"/>
    <xf numFmtId="0" fontId="15" fillId="8"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97" fillId="19" borderId="0" applyNumberFormat="0" applyBorder="0" applyAlignment="0" applyProtection="0"/>
    <xf numFmtId="0" fontId="15" fillId="0" borderId="0"/>
    <xf numFmtId="0" fontId="15" fillId="32" borderId="64" applyNumberFormat="0" applyFont="0" applyAlignment="0" applyProtection="0"/>
    <xf numFmtId="0" fontId="14" fillId="0" borderId="0"/>
    <xf numFmtId="43" fontId="14" fillId="0" borderId="0" applyFont="0" applyFill="0" applyBorder="0" applyAlignment="0" applyProtection="0"/>
    <xf numFmtId="0" fontId="24" fillId="0" borderId="0"/>
    <xf numFmtId="0" fontId="24" fillId="0" borderId="0"/>
    <xf numFmtId="0" fontId="14" fillId="0" borderId="0"/>
    <xf numFmtId="43" fontId="1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24" fillId="0" borderId="0"/>
    <xf numFmtId="9" fontId="24" fillId="0" borderId="0" applyFont="0" applyFill="0" applyBorder="0" applyAlignment="0" applyProtection="0"/>
    <xf numFmtId="9" fontId="11" fillId="0" borderId="0" applyFont="0" applyFill="0" applyBorder="0" applyAlignment="0" applyProtection="0"/>
    <xf numFmtId="0" fontId="24" fillId="0" borderId="0"/>
    <xf numFmtId="9" fontId="24" fillId="0" borderId="0" applyFont="0" applyFill="0" applyBorder="0" applyAlignment="0" applyProtection="0"/>
    <xf numFmtId="9" fontId="10" fillId="0" borderId="0" applyFont="0" applyFill="0" applyBorder="0" applyAlignment="0" applyProtection="0"/>
    <xf numFmtId="0" fontId="24" fillId="0" borderId="0"/>
    <xf numFmtId="9" fontId="24" fillId="0" borderId="0" applyFont="0" applyFill="0" applyBorder="0" applyAlignment="0" applyProtection="0"/>
    <xf numFmtId="0" fontId="9" fillId="0" borderId="0"/>
    <xf numFmtId="0" fontId="9" fillId="0" borderId="0"/>
    <xf numFmtId="0" fontId="9" fillId="32" borderId="64" applyNumberFormat="0" applyFont="0" applyAlignment="0" applyProtection="0"/>
    <xf numFmtId="0" fontId="9" fillId="2"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2" borderId="64" applyNumberFormat="0" applyFont="0" applyAlignment="0" applyProtection="0"/>
    <xf numFmtId="0" fontId="8" fillId="0" borderId="0"/>
    <xf numFmtId="9" fontId="8" fillId="0" borderId="0" applyFont="0" applyFill="0" applyBorder="0" applyAlignment="0" applyProtection="0"/>
    <xf numFmtId="0" fontId="8" fillId="2" borderId="0" applyNumberFormat="0" applyBorder="0" applyAlignment="0" applyProtection="0"/>
    <xf numFmtId="0" fontId="8" fillId="8" borderId="0" applyNumberFormat="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3" borderId="0" applyNumberFormat="0" applyBorder="0" applyAlignment="0" applyProtection="0"/>
    <xf numFmtId="0" fontId="8" fillId="9" borderId="0" applyNumberFormat="0" applyBorder="0" applyAlignment="0" applyProtection="0"/>
    <xf numFmtId="9" fontId="8" fillId="0" borderId="0" applyFont="0" applyFill="0" applyBorder="0" applyAlignment="0" applyProtection="0"/>
    <xf numFmtId="0" fontId="8" fillId="4" borderId="0" applyNumberFormat="0" applyBorder="0" applyAlignment="0" applyProtection="0"/>
    <xf numFmtId="0" fontId="8" fillId="10" borderId="0" applyNumberFormat="0" applyBorder="0" applyAlignment="0" applyProtection="0"/>
    <xf numFmtId="9" fontId="8" fillId="0" borderId="0" applyFont="0" applyFill="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0" borderId="0"/>
    <xf numFmtId="0" fontId="8" fillId="6" borderId="0" applyNumberFormat="0" applyBorder="0" applyAlignment="0" applyProtection="0"/>
    <xf numFmtId="0" fontId="8" fillId="12" borderId="0" applyNumberFormat="0" applyBorder="0" applyAlignment="0" applyProtection="0"/>
    <xf numFmtId="9" fontId="8" fillId="0" borderId="0" applyFont="0" applyFill="0" applyBorder="0" applyAlignment="0" applyProtection="0"/>
    <xf numFmtId="0" fontId="8" fillId="0" borderId="0"/>
    <xf numFmtId="0" fontId="8" fillId="7" borderId="0" applyNumberFormat="0" applyBorder="0" applyAlignment="0" applyProtection="0"/>
    <xf numFmtId="0" fontId="8" fillId="13" borderId="0" applyNumberFormat="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7" fillId="0" borderId="0"/>
    <xf numFmtId="0" fontId="7" fillId="32" borderId="64" applyNumberFormat="0" applyFont="0" applyAlignment="0" applyProtection="0"/>
    <xf numFmtId="0" fontId="7" fillId="2"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6" fillId="0" borderId="0"/>
    <xf numFmtId="165" fontId="6" fillId="0" borderId="0" applyFont="0" applyFill="0" applyBorder="0" applyAlignment="0" applyProtection="0"/>
    <xf numFmtId="0" fontId="6" fillId="32" borderId="64"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24" fillId="0" borderId="0"/>
    <xf numFmtId="9" fontId="24" fillId="0" borderId="0" applyFont="0" applyFill="0" applyBorder="0" applyAlignment="0" applyProtection="0"/>
    <xf numFmtId="0" fontId="115" fillId="44" borderId="95" applyNumberFormat="0" applyAlignment="0" applyProtection="0"/>
    <xf numFmtId="9" fontId="24" fillId="0" borderId="0" applyFont="0" applyFill="0" applyBorder="0" applyAlignment="0" applyProtection="0"/>
    <xf numFmtId="0" fontId="6" fillId="0" borderId="0"/>
    <xf numFmtId="0" fontId="24" fillId="0" borderId="0"/>
    <xf numFmtId="0" fontId="6" fillId="32" borderId="64" applyNumberFormat="0" applyFont="0" applyAlignment="0" applyProtection="0"/>
    <xf numFmtId="0" fontId="115" fillId="44" borderId="95" applyNumberForma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51" fillId="0" borderId="0"/>
    <xf numFmtId="0" fontId="115" fillId="44" borderId="95" applyNumberFormat="0" applyAlignment="0" applyProtection="0"/>
    <xf numFmtId="9" fontId="24" fillId="0" borderId="0" applyFont="0" applyFill="0" applyBorder="0" applyAlignment="0" applyProtection="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4" fillId="0" borderId="0"/>
    <xf numFmtId="44" fontId="24" fillId="0" borderId="0" applyFont="0" applyFill="0" applyBorder="0" applyAlignment="0" applyProtection="0"/>
    <xf numFmtId="44" fontId="24" fillId="0" borderId="0" applyFont="0" applyFill="0" applyBorder="0" applyAlignment="0" applyProtection="0"/>
    <xf numFmtId="0" fontId="24" fillId="0" borderId="0"/>
    <xf numFmtId="0" fontId="159" fillId="79" borderId="0" applyNumberFormat="0" applyBorder="0" applyAlignment="0" applyProtection="0"/>
    <xf numFmtId="0" fontId="38" fillId="39" borderId="0" applyNumberFormat="0" applyBorder="0" applyAlignment="0" applyProtection="0"/>
    <xf numFmtId="0" fontId="158" fillId="80" borderId="0" applyNumberFormat="0" applyBorder="0" applyAlignment="0" applyProtection="0"/>
    <xf numFmtId="0" fontId="38" fillId="40" borderId="0" applyNumberFormat="0" applyBorder="0" applyAlignment="0" applyProtection="0"/>
    <xf numFmtId="0" fontId="158" fillId="81" borderId="0" applyNumberFormat="0" applyBorder="0" applyAlignment="0" applyProtection="0"/>
    <xf numFmtId="0" fontId="38" fillId="41" borderId="0" applyNumberFormat="0" applyBorder="0" applyAlignment="0" applyProtection="0"/>
    <xf numFmtId="0" fontId="158" fillId="80" borderId="0" applyNumberFormat="0" applyBorder="0" applyAlignment="0" applyProtection="0"/>
    <xf numFmtId="0" fontId="38" fillId="42" borderId="0" applyNumberFormat="0" applyBorder="0" applyAlignment="0" applyProtection="0"/>
    <xf numFmtId="0" fontId="158" fillId="80" borderId="0" applyNumberFormat="0" applyBorder="0" applyAlignment="0" applyProtection="0"/>
    <xf numFmtId="0" fontId="38" fillId="43" borderId="0" applyNumberFormat="0" applyBorder="0" applyAlignment="0" applyProtection="0"/>
    <xf numFmtId="0" fontId="158" fillId="80" borderId="0" applyNumberFormat="0" applyBorder="0" applyAlignment="0" applyProtection="0"/>
    <xf numFmtId="0" fontId="38" fillId="44" borderId="0" applyNumberFormat="0" applyBorder="0" applyAlignment="0" applyProtection="0"/>
    <xf numFmtId="0" fontId="158" fillId="80" borderId="0" applyNumberFormat="0" applyBorder="0" applyAlignment="0" applyProtection="0"/>
    <xf numFmtId="0" fontId="38" fillId="45" borderId="0" applyNumberFormat="0" applyBorder="0" applyAlignment="0" applyProtection="0"/>
    <xf numFmtId="0" fontId="158" fillId="81" borderId="0" applyNumberFormat="0" applyBorder="0" applyAlignment="0" applyProtection="0"/>
    <xf numFmtId="0" fontId="38" fillId="46" borderId="0" applyNumberFormat="0" applyBorder="0" applyAlignment="0" applyProtection="0"/>
    <xf numFmtId="0" fontId="159" fillId="81" borderId="0" applyNumberFormat="0" applyBorder="0" applyAlignment="0" applyProtection="0"/>
    <xf numFmtId="0" fontId="38" fillId="47" borderId="0" applyNumberFormat="0" applyBorder="0" applyAlignment="0" applyProtection="0"/>
    <xf numFmtId="0" fontId="158" fillId="82" borderId="0" applyNumberFormat="0" applyBorder="0" applyAlignment="0" applyProtection="0"/>
    <xf numFmtId="0" fontId="38" fillId="42" borderId="0" applyNumberFormat="0" applyBorder="0" applyAlignment="0" applyProtection="0"/>
    <xf numFmtId="0" fontId="158" fillId="82" borderId="0" applyNumberFormat="0" applyBorder="0" applyAlignment="0" applyProtection="0"/>
    <xf numFmtId="0" fontId="38" fillId="45" borderId="0" applyNumberFormat="0" applyBorder="0" applyAlignment="0" applyProtection="0"/>
    <xf numFmtId="0" fontId="158" fillId="82" borderId="0" applyNumberFormat="0" applyBorder="0" applyAlignment="0" applyProtection="0"/>
    <xf numFmtId="0" fontId="38" fillId="48" borderId="0" applyNumberFormat="0" applyBorder="0" applyAlignment="0" applyProtection="0"/>
    <xf numFmtId="0" fontId="158" fillId="82" borderId="0" applyNumberFormat="0" applyBorder="0" applyAlignment="0" applyProtection="0"/>
    <xf numFmtId="0" fontId="106" fillId="49" borderId="0" applyNumberFormat="0" applyBorder="0" applyAlignment="0" applyProtection="0"/>
    <xf numFmtId="0" fontId="158" fillId="82" borderId="0" applyNumberFormat="0" applyBorder="0" applyAlignment="0" applyProtection="0"/>
    <xf numFmtId="0" fontId="106" fillId="46" borderId="0" applyNumberFormat="0" applyBorder="0" applyAlignment="0" applyProtection="0"/>
    <xf numFmtId="0" fontId="158" fillId="82" borderId="0" applyNumberFormat="0" applyBorder="0" applyAlignment="0" applyProtection="0"/>
    <xf numFmtId="0" fontId="106" fillId="47" borderId="0" applyNumberFormat="0" applyBorder="0" applyAlignment="0" applyProtection="0"/>
    <xf numFmtId="0" fontId="158" fillId="82" borderId="0" applyNumberFormat="0" applyBorder="0" applyAlignment="0" applyProtection="0"/>
    <xf numFmtId="0" fontId="106" fillId="50" borderId="0" applyNumberFormat="0" applyBorder="0" applyAlignment="0" applyProtection="0"/>
    <xf numFmtId="0" fontId="159" fillId="82" borderId="0" applyNumberFormat="0" applyBorder="0" applyAlignment="0" applyProtection="0"/>
    <xf numFmtId="0" fontId="106" fillId="51" borderId="0" applyNumberFormat="0" applyBorder="0" applyAlignment="0" applyProtection="0"/>
    <xf numFmtId="0" fontId="158" fillId="83" borderId="0" applyNumberFormat="0" applyBorder="0" applyAlignment="0" applyProtection="0"/>
    <xf numFmtId="0" fontId="106" fillId="52" borderId="0" applyNumberFormat="0" applyBorder="0" applyAlignment="0" applyProtection="0"/>
    <xf numFmtId="0" fontId="158" fillId="84" borderId="0" applyNumberFormat="0" applyBorder="0" applyAlignment="0" applyProtection="0"/>
    <xf numFmtId="0" fontId="106" fillId="53" borderId="0" applyNumberFormat="0" applyBorder="0" applyAlignment="0" applyProtection="0"/>
    <xf numFmtId="0" fontId="158" fillId="83" borderId="0" applyNumberFormat="0" applyBorder="0" applyAlignment="0" applyProtection="0"/>
    <xf numFmtId="0" fontId="106" fillId="54" borderId="0" applyNumberFormat="0" applyBorder="0" applyAlignment="0" applyProtection="0"/>
    <xf numFmtId="0" fontId="158" fillId="83" borderId="0" applyNumberFormat="0" applyBorder="0" applyAlignment="0" applyProtection="0"/>
    <xf numFmtId="0" fontId="106" fillId="55" borderId="0" applyNumberFormat="0" applyBorder="0" applyAlignment="0" applyProtection="0"/>
    <xf numFmtId="0" fontId="158" fillId="83" borderId="0" applyNumberFormat="0" applyBorder="0" applyAlignment="0" applyProtection="0"/>
    <xf numFmtId="0" fontId="106" fillId="50" borderId="0" applyNumberFormat="0" applyBorder="0" applyAlignment="0" applyProtection="0"/>
    <xf numFmtId="0" fontId="158" fillId="83" borderId="0" applyNumberFormat="0" applyBorder="0" applyAlignment="0" applyProtection="0"/>
    <xf numFmtId="0" fontId="106" fillId="51" borderId="0" applyNumberFormat="0" applyBorder="0" applyAlignment="0" applyProtection="0"/>
    <xf numFmtId="0" fontId="158" fillId="84" borderId="0" applyNumberFormat="0" applyBorder="0" applyAlignment="0" applyProtection="0"/>
    <xf numFmtId="0" fontId="106" fillId="56" borderId="0" applyNumberFormat="0" applyBorder="0" applyAlignment="0" applyProtection="0"/>
    <xf numFmtId="0" fontId="159" fillId="84" borderId="0" applyNumberFormat="0" applyBorder="0" applyAlignment="0" applyProtection="0"/>
    <xf numFmtId="0" fontId="107" fillId="40" borderId="0" applyNumberFormat="0" applyBorder="0" applyAlignment="0" applyProtection="0"/>
    <xf numFmtId="0" fontId="158" fillId="75" borderId="0" applyNumberFormat="0" applyBorder="0" applyAlignment="0" applyProtection="0"/>
    <xf numFmtId="0" fontId="108" fillId="57" borderId="95" applyNumberFormat="0" applyAlignment="0" applyProtection="0"/>
    <xf numFmtId="0" fontId="158" fillId="85" borderId="0" applyNumberFormat="0" applyBorder="0" applyAlignment="0" applyProtection="0"/>
    <xf numFmtId="0" fontId="109" fillId="58" borderId="96" applyNumberFormat="0" applyAlignment="0" applyProtection="0"/>
    <xf numFmtId="0" fontId="158" fillId="75" borderId="0" applyNumberFormat="0" applyBorder="0" applyAlignment="0" applyProtection="0"/>
    <xf numFmtId="43" fontId="24" fillId="0" borderId="0" applyFont="0" applyFill="0" applyBorder="0" applyAlignment="0" applyProtection="0"/>
    <xf numFmtId="0" fontId="158" fillId="75" borderId="0" applyNumberFormat="0" applyBorder="0" applyAlignment="0" applyProtection="0"/>
    <xf numFmtId="0" fontId="158" fillId="75" borderId="0" applyNumberFormat="0" applyBorder="0" applyAlignment="0" applyProtection="0"/>
    <xf numFmtId="0" fontId="158" fillId="75" borderId="0" applyNumberFormat="0" applyBorder="0" applyAlignment="0" applyProtection="0"/>
    <xf numFmtId="0" fontId="110" fillId="0" borderId="0" applyNumberFormat="0" applyFill="0" applyBorder="0" applyAlignment="0" applyProtection="0"/>
    <xf numFmtId="0" fontId="158" fillId="85" borderId="0" applyNumberFormat="0" applyBorder="0" applyAlignment="0" applyProtection="0"/>
    <xf numFmtId="0" fontId="111" fillId="41" borderId="0" applyNumberFormat="0" applyBorder="0" applyAlignment="0" applyProtection="0"/>
    <xf numFmtId="0" fontId="159" fillId="85" borderId="0" applyNumberFormat="0" applyBorder="0" applyAlignment="0" applyProtection="0"/>
    <xf numFmtId="0" fontId="112" fillId="0" borderId="97" applyNumberFormat="0" applyFill="0" applyAlignment="0" applyProtection="0"/>
    <xf numFmtId="0" fontId="158" fillId="77" borderId="0" applyNumberFormat="0" applyBorder="0" applyAlignment="0" applyProtection="0"/>
    <xf numFmtId="0" fontId="113" fillId="0" borderId="98" applyNumberFormat="0" applyFill="0" applyAlignment="0" applyProtection="0"/>
    <xf numFmtId="0" fontId="158" fillId="86" borderId="0" applyNumberFormat="0" applyBorder="0" applyAlignment="0" applyProtection="0"/>
    <xf numFmtId="0" fontId="114" fillId="0" borderId="99" applyNumberFormat="0" applyFill="0" applyAlignment="0" applyProtection="0"/>
    <xf numFmtId="0" fontId="158" fillId="77" borderId="0" applyNumberFormat="0" applyBorder="0" applyAlignment="0" applyProtection="0"/>
    <xf numFmtId="0" fontId="114" fillId="0" borderId="0" applyNumberFormat="0" applyFill="0" applyBorder="0" applyAlignment="0" applyProtection="0"/>
    <xf numFmtId="0" fontId="158" fillId="77" borderId="0" applyNumberFormat="0" applyBorder="0" applyAlignment="0" applyProtection="0"/>
    <xf numFmtId="0" fontId="158" fillId="77" borderId="0" applyNumberFormat="0" applyBorder="0" applyAlignment="0" applyProtection="0"/>
    <xf numFmtId="0" fontId="115" fillId="44" borderId="95" applyNumberFormat="0" applyAlignment="0" applyProtection="0"/>
    <xf numFmtId="0" fontId="158" fillId="77" borderId="0" applyNumberFormat="0" applyBorder="0" applyAlignment="0" applyProtection="0"/>
    <xf numFmtId="0" fontId="116" fillId="0" borderId="100" applyNumberFormat="0" applyFill="0" applyAlignment="0" applyProtection="0"/>
    <xf numFmtId="0" fontId="158" fillId="86" borderId="0" applyNumberFormat="0" applyBorder="0" applyAlignment="0" applyProtection="0"/>
    <xf numFmtId="0" fontId="117" fillId="59" borderId="0" applyNumberFormat="0" applyBorder="0" applyAlignment="0" applyProtection="0"/>
    <xf numFmtId="0" fontId="159" fillId="86" borderId="0" applyNumberFormat="0" applyBorder="0" applyAlignment="0" applyProtection="0"/>
    <xf numFmtId="0" fontId="3" fillId="0" borderId="0"/>
    <xf numFmtId="0" fontId="24" fillId="60" borderId="101" applyNumberFormat="0" applyFont="0" applyAlignment="0" applyProtection="0"/>
    <xf numFmtId="0" fontId="24" fillId="60" borderId="101" applyNumberFormat="0" applyFont="0" applyAlignment="0" applyProtection="0"/>
    <xf numFmtId="0" fontId="158" fillId="87" borderId="0" applyNumberFormat="0" applyBorder="0" applyAlignment="0" applyProtection="0"/>
    <xf numFmtId="0" fontId="118" fillId="57" borderId="102" applyNumberFormat="0" applyAlignment="0" applyProtection="0"/>
    <xf numFmtId="0" fontId="158" fillId="88" borderId="0" applyNumberFormat="0" applyBorder="0" applyAlignment="0" applyProtection="0"/>
    <xf numFmtId="9" fontId="24" fillId="0" borderId="0" applyFont="0" applyFill="0" applyBorder="0" applyAlignment="0" applyProtection="0"/>
    <xf numFmtId="0" fontId="158" fillId="87" borderId="0" applyNumberFormat="0" applyBorder="0" applyAlignment="0" applyProtection="0"/>
    <xf numFmtId="0" fontId="119" fillId="0" borderId="0" applyNumberFormat="0" applyFill="0" applyBorder="0" applyAlignment="0" applyProtection="0"/>
    <xf numFmtId="0" fontId="158" fillId="87" borderId="0" applyNumberFormat="0" applyBorder="0" applyAlignment="0" applyProtection="0"/>
    <xf numFmtId="0" fontId="120" fillId="0" borderId="103" applyNumberFormat="0" applyFill="0" applyAlignment="0" applyProtection="0"/>
    <xf numFmtId="0" fontId="24" fillId="0" borderId="0"/>
    <xf numFmtId="0" fontId="121" fillId="0" borderId="0" applyNumberFormat="0" applyFill="0" applyBorder="0" applyAlignment="0" applyProtection="0"/>
    <xf numFmtId="0" fontId="158" fillId="79" borderId="0" applyNumberFormat="0" applyBorder="0" applyAlignment="0" applyProtection="0"/>
    <xf numFmtId="0" fontId="158" fillId="78" borderId="0" applyNumberFormat="0" applyBorder="0" applyAlignment="0" applyProtection="0"/>
    <xf numFmtId="0" fontId="158" fillId="78" borderId="0" applyNumberFormat="0" applyBorder="0" applyAlignment="0" applyProtection="0"/>
    <xf numFmtId="0" fontId="158" fillId="78" borderId="0" applyNumberFormat="0" applyBorder="0" applyAlignment="0" applyProtection="0"/>
    <xf numFmtId="0" fontId="158" fillId="78" borderId="0" applyNumberFormat="0" applyBorder="0" applyAlignment="0" applyProtection="0"/>
    <xf numFmtId="0" fontId="158" fillId="79" borderId="0" applyNumberFormat="0" applyBorder="0" applyAlignment="0" applyProtection="0"/>
    <xf numFmtId="0" fontId="158" fillId="78" borderId="0" applyNumberFormat="0" applyBorder="0" applyAlignment="0" applyProtection="0"/>
    <xf numFmtId="0" fontId="159" fillId="77" borderId="0" applyNumberFormat="0" applyBorder="0" applyAlignment="0" applyProtection="0"/>
    <xf numFmtId="0" fontId="158" fillId="77" borderId="0" applyNumberFormat="0" applyBorder="0" applyAlignment="0" applyProtection="0"/>
    <xf numFmtId="0" fontId="158" fillId="76" borderId="0" applyNumberFormat="0" applyBorder="0" applyAlignment="0" applyProtection="0"/>
    <xf numFmtId="0" fontId="158" fillId="76" borderId="0" applyNumberFormat="0" applyBorder="0" applyAlignment="0" applyProtection="0"/>
    <xf numFmtId="0" fontId="158" fillId="76" borderId="0" applyNumberFormat="0" applyBorder="0" applyAlignment="0" applyProtection="0"/>
    <xf numFmtId="0" fontId="158" fillId="76" borderId="0" applyNumberFormat="0" applyBorder="0" applyAlignment="0" applyProtection="0"/>
    <xf numFmtId="0" fontId="158" fillId="77" borderId="0" applyNumberFormat="0" applyBorder="0" applyAlignment="0" applyProtection="0"/>
    <xf numFmtId="0" fontId="158" fillId="76" borderId="0" applyNumberFormat="0" applyBorder="0" applyAlignment="0" applyProtection="0"/>
    <xf numFmtId="0" fontId="159" fillId="75" borderId="0" applyNumberFormat="0" applyBorder="0" applyAlignment="0" applyProtection="0"/>
    <xf numFmtId="0" fontId="158" fillId="75" borderId="0" applyNumberFormat="0" applyBorder="0" applyAlignment="0" applyProtection="0"/>
    <xf numFmtId="0" fontId="158" fillId="74" borderId="0" applyNumberFormat="0" applyBorder="0" applyAlignment="0" applyProtection="0"/>
    <xf numFmtId="0" fontId="158" fillId="74" borderId="0" applyNumberFormat="0" applyBorder="0" applyAlignment="0" applyProtection="0"/>
    <xf numFmtId="0" fontId="158" fillId="74" borderId="0" applyNumberFormat="0" applyBorder="0" applyAlignment="0" applyProtection="0"/>
    <xf numFmtId="0" fontId="158" fillId="74" borderId="0" applyNumberFormat="0" applyBorder="0" applyAlignment="0" applyProtection="0"/>
    <xf numFmtId="0" fontId="158" fillId="75" borderId="0" applyNumberFormat="0" applyBorder="0" applyAlignment="0" applyProtection="0"/>
    <xf numFmtId="0" fontId="158" fillId="74" borderId="0" applyNumberFormat="0" applyBorder="0" applyAlignment="0" applyProtection="0"/>
    <xf numFmtId="181" fontId="156" fillId="0" borderId="0"/>
    <xf numFmtId="181" fontId="156" fillId="0" borderId="0"/>
    <xf numFmtId="180" fontId="156" fillId="0" borderId="0"/>
    <xf numFmtId="180" fontId="156" fillId="0" borderId="0"/>
    <xf numFmtId="193" fontId="156" fillId="0" borderId="0"/>
    <xf numFmtId="193" fontId="156" fillId="0" borderId="0"/>
    <xf numFmtId="193" fontId="156" fillId="0" borderId="0"/>
    <xf numFmtId="193" fontId="156" fillId="0" borderId="0"/>
    <xf numFmtId="193" fontId="156" fillId="0" borderId="0"/>
    <xf numFmtId="193" fontId="156" fillId="0" borderId="0"/>
    <xf numFmtId="193" fontId="156" fillId="0" borderId="0"/>
    <xf numFmtId="193" fontId="156" fillId="0" borderId="0"/>
    <xf numFmtId="179" fontId="156" fillId="0" borderId="0"/>
    <xf numFmtId="179" fontId="156" fillId="0" borderId="0"/>
    <xf numFmtId="193" fontId="156" fillId="0" borderId="0"/>
    <xf numFmtId="193" fontId="156" fillId="0" borderId="0"/>
    <xf numFmtId="0" fontId="24" fillId="0" borderId="0"/>
    <xf numFmtId="0" fontId="158" fillId="87" borderId="0" applyNumberFormat="0" applyBorder="0" applyAlignment="0" applyProtection="0"/>
    <xf numFmtId="0" fontId="158" fillId="87" borderId="0" applyNumberFormat="0" applyBorder="0" applyAlignment="0" applyProtection="0"/>
    <xf numFmtId="0" fontId="158" fillId="88" borderId="0" applyNumberFormat="0" applyBorder="0" applyAlignment="0" applyProtection="0"/>
    <xf numFmtId="0" fontId="159" fillId="88" borderId="0" applyNumberFormat="0" applyBorder="0" applyAlignment="0" applyProtection="0"/>
    <xf numFmtId="0" fontId="158" fillId="89" borderId="0" applyNumberFormat="0" applyBorder="0" applyAlignment="0" applyProtection="0"/>
    <xf numFmtId="0" fontId="158" fillId="81" borderId="0" applyNumberFormat="0" applyBorder="0" applyAlignment="0" applyProtection="0"/>
    <xf numFmtId="0" fontId="158" fillId="89" borderId="0" applyNumberFormat="0" applyBorder="0" applyAlignment="0" applyProtection="0"/>
    <xf numFmtId="0" fontId="158" fillId="89" borderId="0" applyNumberFormat="0" applyBorder="0" applyAlignment="0" applyProtection="0"/>
    <xf numFmtId="0" fontId="158" fillId="89" borderId="0" applyNumberFormat="0" applyBorder="0" applyAlignment="0" applyProtection="0"/>
    <xf numFmtId="0" fontId="158" fillId="89" borderId="0" applyNumberFormat="0" applyBorder="0" applyAlignment="0" applyProtection="0"/>
    <xf numFmtId="0" fontId="158" fillId="81" borderId="0" applyNumberFormat="0" applyBorder="0" applyAlignment="0" applyProtection="0"/>
    <xf numFmtId="0" fontId="159" fillId="81" borderId="0" applyNumberFormat="0" applyBorder="0" applyAlignment="0" applyProtection="0"/>
    <xf numFmtId="0" fontId="158" fillId="90" borderId="0" applyNumberFormat="0" applyBorder="0" applyAlignment="0" applyProtection="0"/>
    <xf numFmtId="0" fontId="158" fillId="85" borderId="0" applyNumberFormat="0" applyBorder="0" applyAlignment="0" applyProtection="0"/>
    <xf numFmtId="0" fontId="158" fillId="90" borderId="0" applyNumberFormat="0" applyBorder="0" applyAlignment="0" applyProtection="0"/>
    <xf numFmtId="0" fontId="158" fillId="90" borderId="0" applyNumberFormat="0" applyBorder="0" applyAlignment="0" applyProtection="0"/>
    <xf numFmtId="0" fontId="158" fillId="90" borderId="0" applyNumberFormat="0" applyBorder="0" applyAlignment="0" applyProtection="0"/>
    <xf numFmtId="0" fontId="158" fillId="90" borderId="0" applyNumberFormat="0" applyBorder="0" applyAlignment="0" applyProtection="0"/>
    <xf numFmtId="0" fontId="158" fillId="85" borderId="0" applyNumberFormat="0" applyBorder="0" applyAlignment="0" applyProtection="0"/>
    <xf numFmtId="0" fontId="159" fillId="85" borderId="0" applyNumberFormat="0" applyBorder="0" applyAlignment="0" applyProtection="0"/>
    <xf numFmtId="0" fontId="158" fillId="91" borderId="0" applyNumberFormat="0" applyBorder="0" applyAlignment="0" applyProtection="0"/>
    <xf numFmtId="0" fontId="158" fillId="92" borderId="0" applyNumberFormat="0" applyBorder="0" applyAlignment="0" applyProtection="0"/>
    <xf numFmtId="0" fontId="158" fillId="91" borderId="0" applyNumberFormat="0" applyBorder="0" applyAlignment="0" applyProtection="0"/>
    <xf numFmtId="0" fontId="158" fillId="91" borderId="0" applyNumberFormat="0" applyBorder="0" applyAlignment="0" applyProtection="0"/>
    <xf numFmtId="0" fontId="158" fillId="91" borderId="0" applyNumberFormat="0" applyBorder="0" applyAlignment="0" applyProtection="0"/>
    <xf numFmtId="0" fontId="158" fillId="91" borderId="0" applyNumberFormat="0" applyBorder="0" applyAlignment="0" applyProtection="0"/>
    <xf numFmtId="0" fontId="158" fillId="92" borderId="0" applyNumberFormat="0" applyBorder="0" applyAlignment="0" applyProtection="0"/>
    <xf numFmtId="0" fontId="159" fillId="92" borderId="0" applyNumberFormat="0" applyBorder="0" applyAlignment="0" applyProtection="0"/>
    <xf numFmtId="0" fontId="160" fillId="93" borderId="0" applyNumberFormat="0" applyBorder="0" applyAlignment="0" applyProtection="0"/>
    <xf numFmtId="0" fontId="160" fillId="94" borderId="0" applyNumberFormat="0" applyBorder="0" applyAlignment="0" applyProtection="0"/>
    <xf numFmtId="0" fontId="160" fillId="93" borderId="0" applyNumberFormat="0" applyBorder="0" applyAlignment="0" applyProtection="0"/>
    <xf numFmtId="0" fontId="160" fillId="94" borderId="0" applyNumberFormat="0" applyBorder="0" applyAlignment="0" applyProtection="0"/>
    <xf numFmtId="0" fontId="161" fillId="94" borderId="0" applyNumberFormat="0" applyBorder="0" applyAlignment="0" applyProtection="0"/>
    <xf numFmtId="0" fontId="160" fillId="86" borderId="0" applyNumberFormat="0" applyBorder="0" applyAlignment="0" applyProtection="0"/>
    <xf numFmtId="0" fontId="160" fillId="86" borderId="0" applyNumberFormat="0" applyBorder="0" applyAlignment="0" applyProtection="0"/>
    <xf numFmtId="0" fontId="160" fillId="86" borderId="0" applyNumberFormat="0" applyBorder="0" applyAlignment="0" applyProtection="0"/>
    <xf numFmtId="0" fontId="160" fillId="86" borderId="0" applyNumberFormat="0" applyBorder="0" applyAlignment="0" applyProtection="0"/>
    <xf numFmtId="0" fontId="161" fillId="86" borderId="0" applyNumberFormat="0" applyBorder="0" applyAlignment="0" applyProtection="0"/>
    <xf numFmtId="0" fontId="160" fillId="95" borderId="0" applyNumberFormat="0" applyBorder="0" applyAlignment="0" applyProtection="0"/>
    <xf numFmtId="0" fontId="160" fillId="88" borderId="0" applyNumberFormat="0" applyBorder="0" applyAlignment="0" applyProtection="0"/>
    <xf numFmtId="0" fontId="160" fillId="95" borderId="0" applyNumberFormat="0" applyBorder="0" applyAlignment="0" applyProtection="0"/>
    <xf numFmtId="0" fontId="160" fillId="88" borderId="0" applyNumberFormat="0" applyBorder="0" applyAlignment="0" applyProtection="0"/>
    <xf numFmtId="0" fontId="161" fillId="88" borderId="0" applyNumberFormat="0" applyBorder="0" applyAlignment="0" applyProtection="0"/>
    <xf numFmtId="0" fontId="160" fillId="81" borderId="0" applyNumberFormat="0" applyBorder="0" applyAlignment="0" applyProtection="0"/>
    <xf numFmtId="0" fontId="160" fillId="76" borderId="0" applyNumberFormat="0" applyBorder="0" applyAlignment="0" applyProtection="0"/>
    <xf numFmtId="0" fontId="160" fillId="81" borderId="0" applyNumberFormat="0" applyBorder="0" applyAlignment="0" applyProtection="0"/>
    <xf numFmtId="0" fontId="160" fillId="76" borderId="0" applyNumberFormat="0" applyBorder="0" applyAlignment="0" applyProtection="0"/>
    <xf numFmtId="0" fontId="161" fillId="76" borderId="0" applyNumberFormat="0" applyBorder="0" applyAlignment="0" applyProtection="0"/>
    <xf numFmtId="0" fontId="160" fillId="85" borderId="0" applyNumberFormat="0" applyBorder="0" applyAlignment="0" applyProtection="0"/>
    <xf numFmtId="0" fontId="160" fillId="96" borderId="0" applyNumberFormat="0" applyBorder="0" applyAlignment="0" applyProtection="0"/>
    <xf numFmtId="0" fontId="160" fillId="85" borderId="0" applyNumberFormat="0" applyBorder="0" applyAlignment="0" applyProtection="0"/>
    <xf numFmtId="0" fontId="160" fillId="96" borderId="0" applyNumberFormat="0" applyBorder="0" applyAlignment="0" applyProtection="0"/>
    <xf numFmtId="0" fontId="161" fillId="96" borderId="0" applyNumberFormat="0" applyBorder="0" applyAlignment="0" applyProtection="0"/>
    <xf numFmtId="0" fontId="160" fillId="92" borderId="0" applyNumberFormat="0" applyBorder="0" applyAlignment="0" applyProtection="0"/>
    <xf numFmtId="0" fontId="160" fillId="97" borderId="0" applyNumberFormat="0" applyBorder="0" applyAlignment="0" applyProtection="0"/>
    <xf numFmtId="0" fontId="160" fillId="92" borderId="0" applyNumberFormat="0" applyBorder="0" applyAlignment="0" applyProtection="0"/>
    <xf numFmtId="0" fontId="160" fillId="97" borderId="0" applyNumberFormat="0" applyBorder="0" applyAlignment="0" applyProtection="0"/>
    <xf numFmtId="0" fontId="161" fillId="97" borderId="0" applyNumberFormat="0" applyBorder="0" applyAlignment="0" applyProtection="0"/>
    <xf numFmtId="0" fontId="160" fillId="98" borderId="0" applyNumberFormat="0" applyBorder="0" applyAlignment="0" applyProtection="0"/>
    <xf numFmtId="0" fontId="160" fillId="99" borderId="0" applyNumberFormat="0" applyBorder="0" applyAlignment="0" applyProtection="0"/>
    <xf numFmtId="0" fontId="160" fillId="100" borderId="0" applyNumberFormat="0" applyBorder="0" applyAlignment="0" applyProtection="0"/>
    <xf numFmtId="0" fontId="160" fillId="99" borderId="0" applyNumberFormat="0" applyBorder="0" applyAlignment="0" applyProtection="0"/>
    <xf numFmtId="0" fontId="161" fillId="99" borderId="0" applyNumberFormat="0" applyBorder="0" applyAlignment="0" applyProtection="0"/>
    <xf numFmtId="0" fontId="160" fillId="101" borderId="0" applyNumberFormat="0" applyBorder="0" applyAlignment="0" applyProtection="0"/>
    <xf numFmtId="0" fontId="160" fillId="102" borderId="0" applyNumberFormat="0" applyBorder="0" applyAlignment="0" applyProtection="0"/>
    <xf numFmtId="0" fontId="160" fillId="101" borderId="0" applyNumberFormat="0" applyBorder="0" applyAlignment="0" applyProtection="0"/>
    <xf numFmtId="0" fontId="160" fillId="102" borderId="0" applyNumberFormat="0" applyBorder="0" applyAlignment="0" applyProtection="0"/>
    <xf numFmtId="0" fontId="161" fillId="102" borderId="0" applyNumberFormat="0" applyBorder="0" applyAlignment="0" applyProtection="0"/>
    <xf numFmtId="0" fontId="160" fillId="103" borderId="0" applyNumberFormat="0" applyBorder="0" applyAlignment="0" applyProtection="0"/>
    <xf numFmtId="0" fontId="160" fillId="104" borderId="0" applyNumberFormat="0" applyBorder="0" applyAlignment="0" applyProtection="0"/>
    <xf numFmtId="0" fontId="160" fillId="103" borderId="0" applyNumberFormat="0" applyBorder="0" applyAlignment="0" applyProtection="0"/>
    <xf numFmtId="0" fontId="160" fillId="104" borderId="0" applyNumberFormat="0" applyBorder="0" applyAlignment="0" applyProtection="0"/>
    <xf numFmtId="0" fontId="161" fillId="104" borderId="0" applyNumberFormat="0" applyBorder="0" applyAlignment="0" applyProtection="0"/>
    <xf numFmtId="0" fontId="160" fillId="105" borderId="0" applyNumberFormat="0" applyBorder="0" applyAlignment="0" applyProtection="0"/>
    <xf numFmtId="0" fontId="160" fillId="76" borderId="0" applyNumberFormat="0" applyBorder="0" applyAlignment="0" applyProtection="0"/>
    <xf numFmtId="0" fontId="160" fillId="105" borderId="0" applyNumberFormat="0" applyBorder="0" applyAlignment="0" applyProtection="0"/>
    <xf numFmtId="0" fontId="160" fillId="76" borderId="0" applyNumberFormat="0" applyBorder="0" applyAlignment="0" applyProtection="0"/>
    <xf numFmtId="0" fontId="161" fillId="76" borderId="0" applyNumberFormat="0" applyBorder="0" applyAlignment="0" applyProtection="0"/>
    <xf numFmtId="0" fontId="160" fillId="96" borderId="0" applyNumberFormat="0" applyBorder="0" applyAlignment="0" applyProtection="0"/>
    <xf numFmtId="0" fontId="160" fillId="96" borderId="0" applyNumberFormat="0" applyBorder="0" applyAlignment="0" applyProtection="0"/>
    <xf numFmtId="0" fontId="160" fillId="96" borderId="0" applyNumberFormat="0" applyBorder="0" applyAlignment="0" applyProtection="0"/>
    <xf numFmtId="0" fontId="160" fillId="96" borderId="0" applyNumberFormat="0" applyBorder="0" applyAlignment="0" applyProtection="0"/>
    <xf numFmtId="0" fontId="161" fillId="96" borderId="0" applyNumberFormat="0" applyBorder="0" applyAlignment="0" applyProtection="0"/>
    <xf numFmtId="0" fontId="160" fillId="97" borderId="0" applyNumberFormat="0" applyBorder="0" applyAlignment="0" applyProtection="0"/>
    <xf numFmtId="0" fontId="160" fillId="106" borderId="0" applyNumberFormat="0" applyBorder="0" applyAlignment="0" applyProtection="0"/>
    <xf numFmtId="0" fontId="160" fillId="97" borderId="0" applyNumberFormat="0" applyBorder="0" applyAlignment="0" applyProtection="0"/>
    <xf numFmtId="0" fontId="160" fillId="106" borderId="0" applyNumberFormat="0" applyBorder="0" applyAlignment="0" applyProtection="0"/>
    <xf numFmtId="0" fontId="161" fillId="106" borderId="0" applyNumberFormat="0" applyBorder="0" applyAlignment="0" applyProtection="0"/>
    <xf numFmtId="0" fontId="162" fillId="107" borderId="0" applyNumberFormat="0" applyBorder="0" applyAlignment="0" applyProtection="0"/>
    <xf numFmtId="0" fontId="163" fillId="77" borderId="0" applyNumberFormat="0" applyBorder="0" applyAlignment="0" applyProtection="0"/>
    <xf numFmtId="0" fontId="162" fillId="107" borderId="0" applyNumberFormat="0" applyBorder="0" applyAlignment="0" applyProtection="0"/>
    <xf numFmtId="0" fontId="163" fillId="77" borderId="0" applyNumberFormat="0" applyBorder="0" applyAlignment="0" applyProtection="0"/>
    <xf numFmtId="0" fontId="164" fillId="77" borderId="0" applyNumberFormat="0" applyBorder="0" applyAlignment="0" applyProtection="0"/>
    <xf numFmtId="0" fontId="165" fillId="108" borderId="135" applyNumberFormat="0" applyAlignment="0" applyProtection="0"/>
    <xf numFmtId="0" fontId="166" fillId="109" borderId="95" applyNumberFormat="0" applyAlignment="0" applyProtection="0"/>
    <xf numFmtId="0" fontId="165" fillId="108" borderId="135" applyNumberFormat="0" applyAlignment="0" applyProtection="0"/>
    <xf numFmtId="0" fontId="166" fillId="109" borderId="95" applyNumberFormat="0" applyAlignment="0" applyProtection="0"/>
    <xf numFmtId="0" fontId="167" fillId="109" borderId="95" applyNumberFormat="0" applyAlignment="0" applyProtection="0"/>
    <xf numFmtId="0" fontId="168" fillId="94" borderId="96" applyNumberFormat="0" applyAlignment="0" applyProtection="0"/>
    <xf numFmtId="0" fontId="168" fillId="110" borderId="96" applyNumberFormat="0" applyAlignment="0" applyProtection="0"/>
    <xf numFmtId="0" fontId="168" fillId="94" borderId="96" applyNumberFormat="0" applyAlignment="0" applyProtection="0"/>
    <xf numFmtId="0" fontId="168" fillId="110" borderId="96" applyNumberFormat="0" applyAlignment="0" applyProtection="0"/>
    <xf numFmtId="0" fontId="169" fillId="110" borderId="96" applyNumberFormat="0" applyAlignment="0" applyProtection="0"/>
    <xf numFmtId="194" fontId="170" fillId="0" borderId="0" applyFill="0" applyBorder="0" applyAlignment="0" applyProtection="0"/>
    <xf numFmtId="194" fontId="170" fillId="0" borderId="0" applyFill="0" applyBorder="0" applyAlignment="0" applyProtection="0"/>
    <xf numFmtId="195" fontId="171"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4" fontId="170" fillId="0" borderId="0" applyFill="0" applyBorder="0" applyAlignment="0" applyProtection="0"/>
    <xf numFmtId="195" fontId="171"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4" fontId="170"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5" fontId="171" fillId="0" borderId="0" applyFill="0" applyBorder="0" applyAlignment="0" applyProtection="0"/>
    <xf numFmtId="195" fontId="171" fillId="0" borderId="0" applyFill="0" applyBorder="0" applyAlignment="0" applyProtection="0"/>
    <xf numFmtId="194" fontId="171" fillId="0" borderId="0" applyFill="0" applyBorder="0" applyAlignment="0" applyProtection="0"/>
    <xf numFmtId="194" fontId="171" fillId="0" borderId="0" applyFill="0" applyBorder="0" applyAlignment="0" applyProtection="0"/>
    <xf numFmtId="194" fontId="171" fillId="0" borderId="0" applyFill="0" applyBorder="0" applyAlignment="0" applyProtection="0"/>
    <xf numFmtId="194" fontId="171" fillId="0" borderId="0" applyFill="0" applyBorder="0" applyAlignment="0" applyProtection="0"/>
    <xf numFmtId="3" fontId="170" fillId="0" borderId="0" applyFill="0" applyBorder="0" applyAlignment="0" applyProtection="0"/>
    <xf numFmtId="3" fontId="171" fillId="0" borderId="0" applyFill="0" applyBorder="0" applyAlignment="0" applyProtection="0"/>
    <xf numFmtId="3" fontId="171" fillId="0" borderId="0" applyFill="0" applyBorder="0" applyAlignment="0" applyProtection="0"/>
    <xf numFmtId="196" fontId="170" fillId="0" borderId="0" applyFill="0" applyBorder="0" applyAlignment="0" applyProtection="0"/>
    <xf numFmtId="196" fontId="170" fillId="0" borderId="0" applyFill="0" applyBorder="0" applyAlignment="0" applyProtection="0"/>
    <xf numFmtId="197" fontId="171" fillId="0" borderId="0" applyFill="0" applyBorder="0" applyAlignment="0" applyProtection="0"/>
    <xf numFmtId="197" fontId="171" fillId="0" borderId="0" applyFill="0" applyBorder="0" applyAlignment="0" applyProtection="0"/>
    <xf numFmtId="196" fontId="171" fillId="0" borderId="0" applyFill="0" applyBorder="0" applyAlignment="0" applyProtection="0"/>
    <xf numFmtId="197" fontId="171" fillId="0" borderId="0" applyFill="0" applyBorder="0" applyAlignment="0" applyProtection="0"/>
    <xf numFmtId="196" fontId="171" fillId="0" borderId="0" applyFill="0" applyBorder="0" applyAlignment="0" applyProtection="0"/>
    <xf numFmtId="197" fontId="171" fillId="0" borderId="0" applyFill="0" applyBorder="0" applyAlignment="0" applyProtection="0"/>
    <xf numFmtId="197" fontId="171" fillId="0" borderId="0" applyFill="0" applyBorder="0" applyAlignment="0" applyProtection="0"/>
    <xf numFmtId="196" fontId="171" fillId="0" borderId="0" applyFill="0" applyBorder="0" applyAlignment="0" applyProtection="0"/>
    <xf numFmtId="198" fontId="170" fillId="0" borderId="0" applyFill="0" applyBorder="0" applyAlignment="0" applyProtection="0"/>
    <xf numFmtId="198" fontId="171" fillId="0" borderId="0" applyFill="0" applyBorder="0" applyAlignment="0" applyProtection="0"/>
    <xf numFmtId="198" fontId="171" fillId="0" borderId="0" applyFill="0" applyBorder="0" applyAlignment="0" applyProtection="0"/>
    <xf numFmtId="14" fontId="170" fillId="0" borderId="0" applyFill="0" applyBorder="0" applyAlignment="0" applyProtection="0"/>
    <xf numFmtId="14" fontId="171" fillId="0" borderId="0" applyFill="0" applyBorder="0" applyAlignment="0" applyProtection="0"/>
    <xf numFmtId="14" fontId="171" fillId="0" borderId="0" applyFill="0" applyBorder="0" applyAlignment="0" applyProtection="0"/>
    <xf numFmtId="0" fontId="175" fillId="79" borderId="0" applyNumberFormat="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2" fontId="170" fillId="0" borderId="0" applyFill="0" applyBorder="0" applyAlignment="0" applyProtection="0"/>
    <xf numFmtId="2" fontId="171" fillId="0" borderId="0" applyFill="0" applyBorder="0" applyAlignment="0" applyProtection="0"/>
    <xf numFmtId="2" fontId="171" fillId="0" borderId="0" applyFill="0" applyBorder="0" applyAlignment="0" applyProtection="0"/>
    <xf numFmtId="0" fontId="175" fillId="111" borderId="0" applyNumberFormat="0" applyBorder="0" applyAlignment="0" applyProtection="0"/>
    <xf numFmtId="0" fontId="175" fillId="79" borderId="0" applyNumberFormat="0" applyBorder="0" applyAlignment="0" applyProtection="0"/>
    <xf numFmtId="0" fontId="175" fillId="111" borderId="0" applyNumberFormat="0" applyBorder="0" applyAlignment="0" applyProtection="0"/>
    <xf numFmtId="0" fontId="175" fillId="79" borderId="0" applyNumberFormat="0" applyBorder="0" applyAlignment="0" applyProtection="0"/>
    <xf numFmtId="0" fontId="176" fillId="79" borderId="0" applyNumberFormat="0" applyBorder="0" applyAlignment="0" applyProtection="0"/>
    <xf numFmtId="0" fontId="177" fillId="109" borderId="0" applyNumberFormat="0" applyBorder="0" applyAlignment="0" applyProtection="0"/>
    <xf numFmtId="0" fontId="177" fillId="109" borderId="0" applyNumberFormat="0" applyBorder="0" applyAlignment="0" applyProtection="0"/>
    <xf numFmtId="0" fontId="178" fillId="0" borderId="136" applyNumberFormat="0" applyFill="0" applyAlignment="0" applyProtection="0"/>
    <xf numFmtId="0" fontId="178" fillId="0" borderId="136" applyNumberFormat="0" applyFill="0" applyAlignment="0" applyProtection="0"/>
    <xf numFmtId="0" fontId="179" fillId="0" borderId="97" applyNumberFormat="0" applyFill="0" applyAlignment="0" applyProtection="0"/>
    <xf numFmtId="0" fontId="171" fillId="0" borderId="0" applyNumberFormat="0" applyFill="0" applyAlignment="0" applyProtection="0"/>
    <xf numFmtId="0" fontId="179" fillId="0" borderId="97" applyNumberFormat="0" applyFill="0" applyAlignment="0" applyProtection="0"/>
    <xf numFmtId="0" fontId="180" fillId="0" borderId="137" applyNumberFormat="0" applyFill="0" applyAlignment="0" applyProtection="0"/>
    <xf numFmtId="0" fontId="180" fillId="0" borderId="137" applyNumberFormat="0" applyFill="0" applyAlignment="0" applyProtection="0"/>
    <xf numFmtId="0" fontId="181" fillId="0" borderId="98" applyNumberFormat="0" applyFill="0" applyAlignment="0" applyProtection="0"/>
    <xf numFmtId="0" fontId="171" fillId="0" borderId="0" applyNumberFormat="0" applyFill="0" applyAlignment="0" applyProtection="0"/>
    <xf numFmtId="0" fontId="181" fillId="0" borderId="98" applyNumberFormat="0" applyFill="0" applyAlignment="0" applyProtection="0"/>
    <xf numFmtId="0" fontId="182" fillId="0" borderId="138" applyNumberFormat="0" applyFill="0" applyAlignment="0" applyProtection="0"/>
    <xf numFmtId="0" fontId="183" fillId="0" borderId="139" applyNumberFormat="0" applyFill="0" applyAlignment="0" applyProtection="0"/>
    <xf numFmtId="0" fontId="182" fillId="0" borderId="138" applyNumberFormat="0" applyFill="0" applyAlignment="0" applyProtection="0"/>
    <xf numFmtId="0" fontId="183" fillId="0" borderId="139" applyNumberFormat="0" applyFill="0" applyAlignment="0" applyProtection="0"/>
    <xf numFmtId="0" fontId="184" fillId="0" borderId="139" applyNumberFormat="0" applyFill="0" applyAlignment="0" applyProtection="0"/>
    <xf numFmtId="0" fontId="182" fillId="0" borderId="0" applyNumberFormat="0" applyFill="0" applyBorder="0" applyAlignment="0" applyProtection="0"/>
    <xf numFmtId="0" fontId="183" fillId="0" borderId="0" applyNumberFormat="0" applyFill="0" applyBorder="0" applyAlignment="0" applyProtection="0"/>
    <xf numFmtId="0" fontId="182" fillId="0" borderId="0" applyNumberFormat="0" applyFill="0" applyBorder="0" applyAlignment="0" applyProtection="0"/>
    <xf numFmtId="0" fontId="183" fillId="0" borderId="0" applyNumberFormat="0" applyFill="0" applyBorder="0" applyAlignment="0" applyProtection="0"/>
    <xf numFmtId="0" fontId="184" fillId="0" borderId="0" applyNumberFormat="0" applyFill="0" applyBorder="0" applyAlignment="0" applyProtection="0"/>
    <xf numFmtId="0" fontId="186" fillId="0" borderId="0" applyNumberFormat="0" applyFill="0" applyBorder="0" applyAlignment="0" applyProtection="0"/>
    <xf numFmtId="0" fontId="185" fillId="0" borderId="0" applyNumberFormat="0" applyFill="0" applyBorder="0" applyAlignment="0" applyProtection="0"/>
    <xf numFmtId="0" fontId="186" fillId="0" borderId="0" applyNumberFormat="0" applyFill="0" applyBorder="0" applyAlignment="0" applyProtection="0"/>
    <xf numFmtId="0" fontId="177" fillId="112" borderId="0" applyNumberFormat="0" applyBorder="0" applyAlignment="0" applyProtection="0"/>
    <xf numFmtId="0" fontId="177" fillId="112" borderId="0" applyNumberFormat="0" applyBorder="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8" fillId="84" borderId="135" applyNumberFormat="0" applyAlignment="0" applyProtection="0"/>
    <xf numFmtId="0" fontId="187" fillId="84" borderId="95" applyNumberFormat="0" applyAlignment="0" applyProtection="0"/>
    <xf numFmtId="0" fontId="188" fillId="84" borderId="13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9"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87" fillId="84" borderId="95" applyNumberFormat="0" applyAlignment="0" applyProtection="0"/>
    <xf numFmtId="0" fontId="190" fillId="0" borderId="140" applyNumberFormat="0" applyFill="0" applyAlignment="0" applyProtection="0"/>
    <xf numFmtId="0" fontId="191" fillId="0" borderId="100" applyNumberFormat="0" applyFill="0" applyAlignment="0" applyProtection="0"/>
    <xf numFmtId="0" fontId="190" fillId="0" borderId="140" applyNumberFormat="0" applyFill="0" applyAlignment="0" applyProtection="0"/>
    <xf numFmtId="0" fontId="191" fillId="0" borderId="100" applyNumberFormat="0" applyFill="0" applyAlignment="0" applyProtection="0"/>
    <xf numFmtId="0" fontId="192" fillId="0" borderId="100" applyNumberFormat="0" applyFill="0" applyAlignment="0" applyProtection="0"/>
    <xf numFmtId="183" fontId="156" fillId="0" borderId="0"/>
    <xf numFmtId="183" fontId="156" fillId="0" borderId="0"/>
    <xf numFmtId="199" fontId="156" fillId="0" borderId="0"/>
    <xf numFmtId="199" fontId="156" fillId="0" borderId="0"/>
    <xf numFmtId="183" fontId="156" fillId="0" borderId="0"/>
    <xf numFmtId="183" fontId="156" fillId="0" borderId="0"/>
    <xf numFmtId="183" fontId="156" fillId="0" borderId="0"/>
    <xf numFmtId="183" fontId="156" fillId="0" borderId="0"/>
    <xf numFmtId="183" fontId="156" fillId="0" borderId="0"/>
    <xf numFmtId="183" fontId="156" fillId="0" borderId="0"/>
    <xf numFmtId="183" fontId="156" fillId="0" borderId="0"/>
    <xf numFmtId="183" fontId="156" fillId="0" borderId="0"/>
    <xf numFmtId="0" fontId="193" fillId="113" borderId="0" applyNumberFormat="0" applyBorder="0" applyAlignment="0" applyProtection="0"/>
    <xf numFmtId="0" fontId="194" fillId="114" borderId="0" applyNumberFormat="0" applyBorder="0" applyAlignment="0" applyProtection="0"/>
    <xf numFmtId="0" fontId="193" fillId="113" borderId="0" applyNumberFormat="0" applyBorder="0" applyAlignment="0" applyProtection="0"/>
    <xf numFmtId="0" fontId="194" fillId="114" borderId="0" applyNumberFormat="0" applyBorder="0" applyAlignment="0" applyProtection="0"/>
    <xf numFmtId="0" fontId="195" fillId="114" borderId="0" applyNumberFormat="0" applyBorder="0" applyAlignment="0" applyProtection="0"/>
    <xf numFmtId="200" fontId="156" fillId="0" borderId="0"/>
    <xf numFmtId="200" fontId="156" fillId="0" borderId="0"/>
    <xf numFmtId="0" fontId="156" fillId="0" borderId="0"/>
    <xf numFmtId="0" fontId="158" fillId="0" borderId="0"/>
    <xf numFmtId="0" fontId="156" fillId="0" borderId="0"/>
    <xf numFmtId="0" fontId="156" fillId="0" borderId="0"/>
    <xf numFmtId="0" fontId="158" fillId="0" borderId="0"/>
    <xf numFmtId="0" fontId="156" fillId="0" borderId="0"/>
    <xf numFmtId="0" fontId="158" fillId="0" borderId="0"/>
    <xf numFmtId="0" fontId="158" fillId="0" borderId="0"/>
    <xf numFmtId="0" fontId="196" fillId="0" borderId="0"/>
    <xf numFmtId="0" fontId="156" fillId="0" borderId="0"/>
    <xf numFmtId="0" fontId="158" fillId="0" borderId="0"/>
    <xf numFmtId="0" fontId="158" fillId="0" borderId="0"/>
    <xf numFmtId="0" fontId="158" fillId="0" borderId="0"/>
    <xf numFmtId="0" fontId="158" fillId="0" borderId="0"/>
    <xf numFmtId="0" fontId="158" fillId="0" borderId="0"/>
    <xf numFmtId="0" fontId="156"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6" fillId="0" borderId="0"/>
    <xf numFmtId="0" fontId="158" fillId="0" borderId="0"/>
    <xf numFmtId="0" fontId="158" fillId="0" borderId="0"/>
    <xf numFmtId="0" fontId="156" fillId="0" borderId="0"/>
    <xf numFmtId="0" fontId="156" fillId="0" borderId="0"/>
    <xf numFmtId="0" fontId="158" fillId="0" borderId="0"/>
    <xf numFmtId="0" fontId="156" fillId="0" borderId="0"/>
    <xf numFmtId="0" fontId="158" fillId="0" borderId="0"/>
    <xf numFmtId="0" fontId="170" fillId="112" borderId="141" applyNumberFormat="0" applyAlignment="0" applyProtection="0"/>
    <xf numFmtId="0" fontId="171" fillId="112" borderId="101" applyNumberFormat="0" applyAlignment="0" applyProtection="0"/>
    <xf numFmtId="0" fontId="171" fillId="112" borderId="141" applyNumberFormat="0" applyAlignment="0" applyProtection="0"/>
    <xf numFmtId="0" fontId="171" fillId="112" borderId="141" applyNumberFormat="0" applyAlignment="0" applyProtection="0"/>
    <xf numFmtId="0" fontId="171" fillId="112" borderId="141" applyNumberFormat="0" applyAlignment="0" applyProtection="0"/>
    <xf numFmtId="0" fontId="171" fillId="112" borderId="141" applyNumberFormat="0" applyAlignment="0" applyProtection="0"/>
    <xf numFmtId="0" fontId="171" fillId="112" borderId="101" applyNumberFormat="0" applyAlignment="0" applyProtection="0"/>
    <xf numFmtId="0" fontId="197" fillId="108" borderId="102" applyNumberFormat="0" applyAlignment="0" applyProtection="0"/>
    <xf numFmtId="0" fontId="197" fillId="109" borderId="102" applyNumberFormat="0" applyAlignment="0" applyProtection="0"/>
    <xf numFmtId="0" fontId="197" fillId="108" borderId="102" applyNumberFormat="0" applyAlignment="0" applyProtection="0"/>
    <xf numFmtId="0" fontId="197" fillId="109" borderId="102" applyNumberFormat="0" applyAlignment="0" applyProtection="0"/>
    <xf numFmtId="0" fontId="198" fillId="109" borderId="102" applyNumberFormat="0" applyAlignment="0" applyProtection="0"/>
    <xf numFmtId="9" fontId="170" fillId="0" borderId="0" applyFill="0" applyBorder="0" applyAlignment="0" applyProtection="0"/>
    <xf numFmtId="10" fontId="170" fillId="0" borderId="0" applyFill="0" applyBorder="0" applyAlignment="0" applyProtection="0"/>
    <xf numFmtId="10"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0"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0"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0"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0" fontId="171" fillId="0" borderId="0" applyNumberFormat="0" applyFill="0" applyBorder="0" applyAlignment="0" applyProtection="0"/>
    <xf numFmtId="0" fontId="199" fillId="0" borderId="0" applyNumberFormat="0" applyFill="0" applyBorder="0" applyAlignment="0" applyProtection="0"/>
    <xf numFmtId="0" fontId="200" fillId="0" borderId="0" applyNumberFormat="0" applyFill="0" applyBorder="0" applyAlignment="0" applyProtection="0"/>
    <xf numFmtId="0" fontId="199" fillId="0" borderId="0" applyNumberFormat="0" applyFill="0" applyBorder="0" applyAlignment="0" applyProtection="0"/>
    <xf numFmtId="0" fontId="200" fillId="0" borderId="0" applyNumberFormat="0" applyFill="0" applyBorder="0" applyAlignment="0" applyProtection="0"/>
    <xf numFmtId="0" fontId="201" fillId="0" borderId="142" applyNumberFormat="0" applyFill="0" applyAlignment="0" applyProtection="0"/>
    <xf numFmtId="0" fontId="171" fillId="0" borderId="0" applyNumberFormat="0" applyBorder="0" applyAlignment="0" applyProtection="0"/>
    <xf numFmtId="0" fontId="201" fillId="0" borderId="142" applyNumberFormat="0" applyFill="0" applyAlignment="0" applyProtection="0"/>
    <xf numFmtId="0" fontId="201" fillId="0" borderId="103" applyNumberFormat="0" applyFill="0" applyAlignment="0" applyProtection="0"/>
    <xf numFmtId="0" fontId="171" fillId="0" borderId="0" applyNumberFormat="0" applyBorder="0" applyAlignment="0" applyProtection="0"/>
    <xf numFmtId="0" fontId="201" fillId="0" borderId="103" applyNumberFormat="0" applyFill="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3" fillId="0" borderId="0" applyNumberFormat="0" applyFill="0" applyBorder="0" applyAlignment="0" applyProtection="0"/>
    <xf numFmtId="43" fontId="24" fillId="0" borderId="0" applyFont="0" applyFill="0" applyBorder="0" applyAlignment="0" applyProtection="0"/>
    <xf numFmtId="0" fontId="104" fillId="0" borderId="0" applyNumberFormat="0" applyFill="0" applyBorder="0" applyAlignment="0" applyProtection="0">
      <alignment vertical="top"/>
      <protection locked="0"/>
    </xf>
    <xf numFmtId="9" fontId="24" fillId="0" borderId="0" applyFont="0" applyFill="0" applyBorder="0" applyAlignment="0" applyProtection="0"/>
    <xf numFmtId="0" fontId="156" fillId="0" borderId="0"/>
    <xf numFmtId="0" fontId="171" fillId="0" borderId="0" applyNumberFormat="0" applyFill="0" applyBorder="0" applyAlignment="0" applyProtection="0"/>
    <xf numFmtId="0" fontId="171" fillId="0" borderId="0" applyNumberFormat="0" applyFill="0" applyBorder="0" applyAlignment="0" applyProtection="0"/>
    <xf numFmtId="0" fontId="3" fillId="0" borderId="0"/>
    <xf numFmtId="165" fontId="3" fillId="0" borderId="0" applyFont="0" applyFill="0" applyBorder="0" applyAlignment="0" applyProtection="0"/>
    <xf numFmtId="0" fontId="3" fillId="0" borderId="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40" fillId="0" borderId="0" applyNumberFormat="0" applyFont="0" applyFill="0" applyAlignment="0" applyProtection="0"/>
    <xf numFmtId="0" fontId="32" fillId="0" borderId="0" applyNumberFormat="0" applyFont="0" applyFill="0" applyAlignment="0" applyProtection="0"/>
    <xf numFmtId="0" fontId="24" fillId="0" borderId="0"/>
    <xf numFmtId="9" fontId="24" fillId="0" borderId="0" applyFont="0" applyFill="0" applyBorder="0" applyAlignment="0" applyProtection="0"/>
    <xf numFmtId="0" fontId="204" fillId="0" borderId="0" applyNumberFormat="0" applyBorder="0" applyAlignment="0"/>
    <xf numFmtId="0" fontId="24" fillId="0" borderId="143" applyNumberFormat="0" applyFont="0" applyBorder="0" applyAlignment="0" applyProtection="0"/>
    <xf numFmtId="0" fontId="3" fillId="0" borderId="0"/>
    <xf numFmtId="0" fontId="3" fillId="0" borderId="0"/>
    <xf numFmtId="165" fontId="3" fillId="0" borderId="0" applyFont="0" applyFill="0" applyBorder="0" applyAlignment="0" applyProtection="0"/>
    <xf numFmtId="0" fontId="205" fillId="0" borderId="0" applyNumberFormat="0" applyBorder="0" applyAlignment="0"/>
    <xf numFmtId="0" fontId="60" fillId="0" borderId="0" applyNumberFormat="0" applyBorder="0" applyAlignment="0"/>
    <xf numFmtId="9" fontId="24" fillId="0" borderId="0" applyFont="0" applyFill="0" applyBorder="0" applyAlignment="0" applyProtection="0"/>
    <xf numFmtId="9" fontId="24" fillId="0" borderId="0" applyFont="0" applyFill="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38" fillId="48" borderId="0" applyNumberFormat="0" applyBorder="0" applyAlignment="0" applyProtection="0"/>
    <xf numFmtId="0" fontId="106" fillId="49"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55"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6" borderId="0" applyNumberFormat="0" applyBorder="0" applyAlignment="0" applyProtection="0"/>
    <xf numFmtId="0" fontId="107" fillId="40" borderId="0" applyNumberFormat="0" applyBorder="0" applyAlignment="0" applyProtection="0"/>
    <xf numFmtId="0" fontId="108" fillId="57" borderId="95" applyNumberFormat="0" applyAlignment="0" applyProtection="0"/>
    <xf numFmtId="0" fontId="109" fillId="58" borderId="96" applyNumberFormat="0" applyAlignment="0" applyProtection="0"/>
    <xf numFmtId="0" fontId="110" fillId="0" borderId="0" applyNumberFormat="0" applyFill="0" applyBorder="0" applyAlignment="0" applyProtection="0"/>
    <xf numFmtId="0" fontId="111" fillId="41" borderId="0" applyNumberFormat="0" applyBorder="0" applyAlignment="0" applyProtection="0"/>
    <xf numFmtId="0" fontId="112" fillId="0" borderId="97" applyNumberFormat="0" applyFill="0" applyAlignment="0" applyProtection="0"/>
    <xf numFmtId="0" fontId="113" fillId="0" borderId="98" applyNumberFormat="0" applyFill="0" applyAlignment="0" applyProtection="0"/>
    <xf numFmtId="0" fontId="114" fillId="0" borderId="99" applyNumberFormat="0" applyFill="0" applyAlignment="0" applyProtection="0"/>
    <xf numFmtId="0" fontId="114" fillId="0" borderId="0" applyNumberFormat="0" applyFill="0" applyBorder="0" applyAlignment="0" applyProtection="0"/>
    <xf numFmtId="0" fontId="115" fillId="44" borderId="95" applyNumberFormat="0" applyAlignment="0" applyProtection="0"/>
    <xf numFmtId="0" fontId="116" fillId="0" borderId="100" applyNumberFormat="0" applyFill="0" applyAlignment="0" applyProtection="0"/>
    <xf numFmtId="0" fontId="117" fillId="59" borderId="0" applyNumberFormat="0" applyBorder="0" applyAlignment="0" applyProtection="0"/>
    <xf numFmtId="0" fontId="24" fillId="60" borderId="101" applyNumberFormat="0" applyFont="0" applyAlignment="0" applyProtection="0"/>
    <xf numFmtId="0" fontId="118" fillId="57" borderId="102" applyNumberFormat="0" applyAlignment="0" applyProtection="0"/>
    <xf numFmtId="0" fontId="119" fillId="0" borderId="0" applyNumberFormat="0" applyFill="0" applyBorder="0" applyAlignment="0" applyProtection="0"/>
    <xf numFmtId="0" fontId="120" fillId="0" borderId="103" applyNumberFormat="0" applyFill="0" applyAlignment="0" applyProtection="0"/>
    <xf numFmtId="0" fontId="121" fillId="0" borderId="0" applyNumberFormat="0" applyFill="0" applyBorder="0" applyAlignment="0" applyProtection="0"/>
    <xf numFmtId="0" fontId="56" fillId="0" borderId="0" applyNumberFormat="0" applyFill="0" applyBorder="0" applyAlignment="0" applyProtection="0"/>
    <xf numFmtId="0" fontId="84" fillId="0" borderId="61" applyNumberFormat="0" applyFill="0" applyAlignment="0" applyProtection="0"/>
    <xf numFmtId="0" fontId="83" fillId="0" borderId="60" applyNumberFormat="0" applyFill="0" applyAlignment="0" applyProtection="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3" fillId="32" borderId="64" applyNumberFormat="0" applyFont="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3" fillId="2" borderId="0" applyNumberFormat="0" applyBorder="0" applyAlignment="0" applyProtection="0"/>
    <xf numFmtId="0" fontId="3" fillId="8"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97" fillId="19"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38" fillId="48" borderId="0" applyNumberFormat="0" applyBorder="0" applyAlignment="0" applyProtection="0"/>
    <xf numFmtId="0" fontId="106" fillId="49"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55"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6" borderId="0" applyNumberFormat="0" applyBorder="0" applyAlignment="0" applyProtection="0"/>
    <xf numFmtId="0" fontId="107" fillId="40" borderId="0" applyNumberFormat="0" applyBorder="0" applyAlignment="0" applyProtection="0"/>
    <xf numFmtId="0" fontId="108" fillId="57" borderId="95" applyNumberFormat="0" applyAlignment="0" applyProtection="0"/>
    <xf numFmtId="0" fontId="109" fillId="58" borderId="96" applyNumberFormat="0" applyAlignment="0" applyProtection="0"/>
    <xf numFmtId="165" fontId="2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3" fontId="24" fillId="0" borderId="0" applyFont="0" applyFill="0" applyBorder="0" applyAlignment="0" applyProtection="0"/>
    <xf numFmtId="164" fontId="24"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0" fontId="110" fillId="0" borderId="0" applyNumberFormat="0" applyFill="0" applyBorder="0" applyAlignment="0" applyProtection="0"/>
    <xf numFmtId="2" fontId="24" fillId="0" borderId="0" applyFont="0" applyFill="0" applyBorder="0" applyAlignment="0" applyProtection="0"/>
    <xf numFmtId="0" fontId="111" fillId="41" borderId="0" applyNumberFormat="0" applyBorder="0" applyAlignment="0" applyProtection="0"/>
    <xf numFmtId="0" fontId="40" fillId="0" borderId="0" applyNumberFormat="0" applyFont="0" applyFill="0" applyAlignment="0" applyProtection="0"/>
    <xf numFmtId="0" fontId="32" fillId="0" borderId="0" applyNumberFormat="0" applyFont="0" applyFill="0" applyAlignment="0" applyProtection="0"/>
    <xf numFmtId="0" fontId="114" fillId="0" borderId="99" applyNumberFormat="0" applyFill="0" applyAlignment="0" applyProtection="0"/>
    <xf numFmtId="0" fontId="114" fillId="0" borderId="0" applyNumberFormat="0" applyFill="0" applyBorder="0" applyAlignment="0" applyProtection="0"/>
    <xf numFmtId="0" fontId="206" fillId="0" borderId="0" applyNumberFormat="0" applyFill="0" applyBorder="0" applyAlignment="0" applyProtection="0">
      <alignment vertical="top"/>
      <protection locked="0"/>
    </xf>
    <xf numFmtId="0" fontId="115" fillId="44" borderId="95" applyNumberFormat="0" applyAlignment="0" applyProtection="0"/>
    <xf numFmtId="0" fontId="116" fillId="0" borderId="100" applyNumberFormat="0" applyFill="0" applyAlignment="0" applyProtection="0"/>
    <xf numFmtId="0" fontId="117" fillId="59" borderId="0" applyNumberFormat="0" applyBorder="0" applyAlignment="0" applyProtection="0"/>
    <xf numFmtId="0" fontId="24" fillId="0" borderId="0"/>
    <xf numFmtId="0" fontId="208" fillId="0" borderId="0"/>
    <xf numFmtId="0" fontId="3" fillId="0" borderId="0"/>
    <xf numFmtId="0" fontId="24" fillId="0" borderId="0"/>
    <xf numFmtId="0" fontId="24" fillId="0" borderId="0"/>
    <xf numFmtId="0" fontId="24" fillId="60" borderId="101" applyNumberFormat="0" applyFont="0" applyAlignment="0" applyProtection="0"/>
    <xf numFmtId="0" fontId="118" fillId="57" borderId="102" applyNumberFormat="0" applyAlignment="0" applyProtection="0"/>
    <xf numFmtId="9" fontId="24" fillId="0" borderId="0" applyFont="0" applyFill="0" applyBorder="0" applyAlignment="0" applyProtection="0"/>
    <xf numFmtId="9" fontId="38"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07" fillId="0" borderId="0" applyNumberFormat="0" applyFont="0" applyFill="0" applyBorder="0" applyAlignment="0" applyProtection="0">
      <alignment horizontal="left"/>
    </xf>
    <xf numFmtId="0" fontId="119" fillId="0" borderId="0" applyNumberFormat="0" applyFill="0" applyBorder="0" applyAlignment="0" applyProtection="0"/>
    <xf numFmtId="0" fontId="24" fillId="0" borderId="143" applyNumberFormat="0" applyFont="0" applyBorder="0" applyAlignment="0" applyProtection="0"/>
    <xf numFmtId="0" fontId="24" fillId="0" borderId="143" applyNumberFormat="0" applyFont="0" applyBorder="0" applyAlignment="0" applyProtection="0"/>
    <xf numFmtId="0" fontId="121" fillId="0" borderId="0" applyNumberFormat="0" applyFill="0" applyBorder="0" applyAlignment="0" applyProtection="0"/>
    <xf numFmtId="0" fontId="3" fillId="0" borderId="0"/>
    <xf numFmtId="0" fontId="24" fillId="0" borderId="0"/>
    <xf numFmtId="192" fontId="24" fillId="0" borderId="0"/>
    <xf numFmtId="178" fontId="24" fillId="0" borderId="0"/>
    <xf numFmtId="179" fontId="24" fillId="0" borderId="0"/>
    <xf numFmtId="178" fontId="24" fillId="0" borderId="0"/>
    <xf numFmtId="178" fontId="24" fillId="0" borderId="0"/>
    <xf numFmtId="178" fontId="24" fillId="0" borderId="0"/>
    <xf numFmtId="178" fontId="24" fillId="0" borderId="0"/>
    <xf numFmtId="180" fontId="24" fillId="0" borderId="0"/>
    <xf numFmtId="181" fontId="24" fillId="0" borderId="0"/>
    <xf numFmtId="192" fontId="38" fillId="39" borderId="0" applyNumberFormat="0" applyBorder="0" applyAlignment="0" applyProtection="0"/>
    <xf numFmtId="192" fontId="3" fillId="2" borderId="0" applyNumberFormat="0" applyBorder="0" applyAlignment="0" applyProtection="0"/>
    <xf numFmtId="192" fontId="38" fillId="40" borderId="0" applyNumberFormat="0" applyBorder="0" applyAlignment="0" applyProtection="0"/>
    <xf numFmtId="192" fontId="3" fillId="3" borderId="0" applyNumberFormat="0" applyBorder="0" applyAlignment="0" applyProtection="0"/>
    <xf numFmtId="192" fontId="38" fillId="41" borderId="0" applyNumberFormat="0" applyBorder="0" applyAlignment="0" applyProtection="0"/>
    <xf numFmtId="192" fontId="3" fillId="4" borderId="0" applyNumberFormat="0" applyBorder="0" applyAlignment="0" applyProtection="0"/>
    <xf numFmtId="192" fontId="38" fillId="42" borderId="0" applyNumberFormat="0" applyBorder="0" applyAlignment="0" applyProtection="0"/>
    <xf numFmtId="192" fontId="3" fillId="5" borderId="0" applyNumberFormat="0" applyBorder="0" applyAlignment="0" applyProtection="0"/>
    <xf numFmtId="192" fontId="38" fillId="43" borderId="0" applyNumberFormat="0" applyBorder="0" applyAlignment="0" applyProtection="0"/>
    <xf numFmtId="192" fontId="3" fillId="6" borderId="0" applyNumberFormat="0" applyBorder="0" applyAlignment="0" applyProtection="0"/>
    <xf numFmtId="192" fontId="38" fillId="44" borderId="0" applyNumberFormat="0" applyBorder="0" applyAlignment="0" applyProtection="0"/>
    <xf numFmtId="192" fontId="3" fillId="7" borderId="0" applyNumberFormat="0" applyBorder="0" applyAlignment="0" applyProtection="0"/>
    <xf numFmtId="192" fontId="38" fillId="45" borderId="0" applyNumberFormat="0" applyBorder="0" applyAlignment="0" applyProtection="0"/>
    <xf numFmtId="192" fontId="3" fillId="8" borderId="0" applyNumberFormat="0" applyBorder="0" applyAlignment="0" applyProtection="0"/>
    <xf numFmtId="192" fontId="38" fillId="46" borderId="0" applyNumberFormat="0" applyBorder="0" applyAlignment="0" applyProtection="0"/>
    <xf numFmtId="192" fontId="3" fillId="9" borderId="0" applyNumberFormat="0" applyBorder="0" applyAlignment="0" applyProtection="0"/>
    <xf numFmtId="192" fontId="38" fillId="47" borderId="0" applyNumberFormat="0" applyBorder="0" applyAlignment="0" applyProtection="0"/>
    <xf numFmtId="192" fontId="3" fillId="10" borderId="0" applyNumberFormat="0" applyBorder="0" applyAlignment="0" applyProtection="0"/>
    <xf numFmtId="192" fontId="38" fillId="42" borderId="0" applyNumberFormat="0" applyBorder="0" applyAlignment="0" applyProtection="0"/>
    <xf numFmtId="192" fontId="3" fillId="11" borderId="0" applyNumberFormat="0" applyBorder="0" applyAlignment="0" applyProtection="0"/>
    <xf numFmtId="192" fontId="38" fillId="45" borderId="0" applyNumberFormat="0" applyBorder="0" applyAlignment="0" applyProtection="0"/>
    <xf numFmtId="192" fontId="3" fillId="12" borderId="0" applyNumberFormat="0" applyBorder="0" applyAlignment="0" applyProtection="0"/>
    <xf numFmtId="192" fontId="38" fillId="48" borderId="0" applyNumberFormat="0" applyBorder="0" applyAlignment="0" applyProtection="0"/>
    <xf numFmtId="192" fontId="3" fillId="13" borderId="0" applyNumberFormat="0" applyBorder="0" applyAlignment="0" applyProtection="0"/>
    <xf numFmtId="192" fontId="106" fillId="49" borderId="0" applyNumberFormat="0" applyBorder="0" applyAlignment="0" applyProtection="0"/>
    <xf numFmtId="192" fontId="97" fillId="14" borderId="0" applyNumberFormat="0" applyBorder="0" applyAlignment="0" applyProtection="0"/>
    <xf numFmtId="192" fontId="106" fillId="46" borderId="0" applyNumberFormat="0" applyBorder="0" applyAlignment="0" applyProtection="0"/>
    <xf numFmtId="192" fontId="97" fillId="15" borderId="0" applyNumberFormat="0" applyBorder="0" applyAlignment="0" applyProtection="0"/>
    <xf numFmtId="192" fontId="106" fillId="47" borderId="0" applyNumberFormat="0" applyBorder="0" applyAlignment="0" applyProtection="0"/>
    <xf numFmtId="192" fontId="97" fillId="16" borderId="0" applyNumberFormat="0" applyBorder="0" applyAlignment="0" applyProtection="0"/>
    <xf numFmtId="192" fontId="106" fillId="50" borderId="0" applyNumberFormat="0" applyBorder="0" applyAlignment="0" applyProtection="0"/>
    <xf numFmtId="192" fontId="97" fillId="17" borderId="0" applyNumberFormat="0" applyBorder="0" applyAlignment="0" applyProtection="0"/>
    <xf numFmtId="192" fontId="106" fillId="51" borderId="0" applyNumberFormat="0" applyBorder="0" applyAlignment="0" applyProtection="0"/>
    <xf numFmtId="192" fontId="97" fillId="18" borderId="0" applyNumberFormat="0" applyBorder="0" applyAlignment="0" applyProtection="0"/>
    <xf numFmtId="192" fontId="106" fillId="52" borderId="0" applyNumberFormat="0" applyBorder="0" applyAlignment="0" applyProtection="0"/>
    <xf numFmtId="192" fontId="97" fillId="19" borderId="0" applyNumberFormat="0" applyBorder="0" applyAlignment="0" applyProtection="0"/>
    <xf numFmtId="192" fontId="106" fillId="53" borderId="0" applyNumberFormat="0" applyBorder="0" applyAlignment="0" applyProtection="0"/>
    <xf numFmtId="192" fontId="97" fillId="20" borderId="0" applyNumberFormat="0" applyBorder="0" applyAlignment="0" applyProtection="0"/>
    <xf numFmtId="192" fontId="106" fillId="54" borderId="0" applyNumberFormat="0" applyBorder="0" applyAlignment="0" applyProtection="0"/>
    <xf numFmtId="192" fontId="97" fillId="21" borderId="0" applyNumberFormat="0" applyBorder="0" applyAlignment="0" applyProtection="0"/>
    <xf numFmtId="192" fontId="106" fillId="55" borderId="0" applyNumberFormat="0" applyBorder="0" applyAlignment="0" applyProtection="0"/>
    <xf numFmtId="192" fontId="97" fillId="22" borderId="0" applyNumberFormat="0" applyBorder="0" applyAlignment="0" applyProtection="0"/>
    <xf numFmtId="192" fontId="106" fillId="50" borderId="0" applyNumberFormat="0" applyBorder="0" applyAlignment="0" applyProtection="0"/>
    <xf numFmtId="192" fontId="97" fillId="23" borderId="0" applyNumberFormat="0" applyBorder="0" applyAlignment="0" applyProtection="0"/>
    <xf numFmtId="192" fontId="106" fillId="51" borderId="0" applyNumberFormat="0" applyBorder="0" applyAlignment="0" applyProtection="0"/>
    <xf numFmtId="192" fontId="97" fillId="24" borderId="0" applyNumberFormat="0" applyBorder="0" applyAlignment="0" applyProtection="0"/>
    <xf numFmtId="192" fontId="106" fillId="56" borderId="0" applyNumberFormat="0" applyBorder="0" applyAlignment="0" applyProtection="0"/>
    <xf numFmtId="192" fontId="97" fillId="25" borderId="0" applyNumberFormat="0" applyBorder="0" applyAlignment="0" applyProtection="0"/>
    <xf numFmtId="192" fontId="107" fillId="40" borderId="0" applyNumberFormat="0" applyBorder="0" applyAlignment="0" applyProtection="0"/>
    <xf numFmtId="192" fontId="87" fillId="26" borderId="0" applyNumberFormat="0" applyBorder="0" applyAlignment="0" applyProtection="0"/>
    <xf numFmtId="192" fontId="108" fillId="57" borderId="95" applyNumberFormat="0" applyAlignment="0" applyProtection="0"/>
    <xf numFmtId="192" fontId="91" fillId="27" borderId="58" applyNumberFormat="0" applyAlignment="0" applyProtection="0"/>
    <xf numFmtId="192" fontId="109" fillId="58" borderId="96" applyNumberFormat="0" applyAlignment="0" applyProtection="0"/>
    <xf numFmtId="192" fontId="93" fillId="28" borderId="59"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92" fontId="110" fillId="0" borderId="0" applyNumberFormat="0" applyFill="0" applyBorder="0" applyAlignment="0" applyProtection="0"/>
    <xf numFmtId="192" fontId="95" fillId="0" borderId="0" applyNumberFormat="0" applyFill="0" applyBorder="0" applyAlignment="0" applyProtection="0"/>
    <xf numFmtId="192" fontId="111" fillId="41" borderId="0" applyNumberFormat="0" applyBorder="0" applyAlignment="0" applyProtection="0"/>
    <xf numFmtId="192" fontId="86" fillId="29" borderId="0" applyNumberFormat="0" applyBorder="0" applyAlignment="0" applyProtection="0"/>
    <xf numFmtId="38" fontId="105" fillId="61" borderId="0" applyNumberFormat="0" applyBorder="0" applyAlignment="0" applyProtection="0"/>
    <xf numFmtId="192" fontId="112" fillId="0" borderId="97" applyNumberFormat="0" applyFill="0" applyAlignment="0" applyProtection="0"/>
    <xf numFmtId="192" fontId="83" fillId="0" borderId="60" applyNumberFormat="0" applyFill="0" applyAlignment="0" applyProtection="0"/>
    <xf numFmtId="192" fontId="113" fillId="0" borderId="98" applyNumberFormat="0" applyFill="0" applyAlignment="0" applyProtection="0"/>
    <xf numFmtId="192" fontId="84" fillId="0" borderId="61" applyNumberFormat="0" applyFill="0" applyAlignment="0" applyProtection="0"/>
    <xf numFmtId="192" fontId="114" fillId="0" borderId="99" applyNumberFormat="0" applyFill="0" applyAlignment="0" applyProtection="0"/>
    <xf numFmtId="192" fontId="85" fillId="0" borderId="62" applyNumberFormat="0" applyFill="0" applyAlignment="0" applyProtection="0"/>
    <xf numFmtId="192" fontId="114" fillId="0" borderId="0" applyNumberFormat="0" applyFill="0" applyBorder="0" applyAlignment="0" applyProtection="0"/>
    <xf numFmtId="192" fontId="85" fillId="0" borderId="0" applyNumberFormat="0" applyFill="0" applyBorder="0" applyAlignment="0" applyProtection="0"/>
    <xf numFmtId="192" fontId="104" fillId="0" borderId="0" applyNumberFormat="0" applyFill="0" applyBorder="0" applyAlignment="0" applyProtection="0">
      <alignment vertical="top"/>
      <protection locked="0"/>
    </xf>
    <xf numFmtId="192" fontId="115" fillId="44" borderId="95" applyNumberFormat="0" applyAlignment="0" applyProtection="0"/>
    <xf numFmtId="10" fontId="105" fillId="64" borderId="1" applyNumberFormat="0" applyBorder="0" applyAlignment="0" applyProtection="0"/>
    <xf numFmtId="192" fontId="89" fillId="30" borderId="58" applyNumberFormat="0" applyAlignment="0" applyProtection="0"/>
    <xf numFmtId="192" fontId="116" fillId="0" borderId="100" applyNumberFormat="0" applyFill="0" applyAlignment="0" applyProtection="0"/>
    <xf numFmtId="192" fontId="92" fillId="0" borderId="63" applyNumberFormat="0" applyFill="0" applyAlignment="0" applyProtection="0"/>
    <xf numFmtId="183" fontId="24" fillId="0" borderId="0"/>
    <xf numFmtId="184" fontId="24" fillId="0" borderId="0"/>
    <xf numFmtId="183" fontId="24" fillId="0" borderId="0"/>
    <xf numFmtId="183" fontId="24" fillId="0" borderId="0"/>
    <xf numFmtId="183" fontId="24" fillId="0" borderId="0"/>
    <xf numFmtId="183" fontId="24" fillId="0" borderId="0"/>
    <xf numFmtId="192" fontId="117" fillId="59" borderId="0" applyNumberFormat="0" applyBorder="0" applyAlignment="0" applyProtection="0"/>
    <xf numFmtId="192" fontId="88" fillId="31" borderId="0" applyNumberFormat="0" applyBorder="0" applyAlignment="0" applyProtection="0"/>
    <xf numFmtId="185" fontId="24" fillId="0" borderId="0"/>
    <xf numFmtId="0" fontId="3" fillId="0" borderId="0"/>
    <xf numFmtId="0" fontId="3" fillId="0" borderId="0"/>
    <xf numFmtId="192" fontId="24"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24" fillId="60" borderId="101" applyNumberFormat="0" applyFont="0" applyAlignment="0" applyProtection="0"/>
    <xf numFmtId="192" fontId="3" fillId="32" borderId="64" applyNumberFormat="0" applyFont="0" applyAlignment="0" applyProtection="0"/>
    <xf numFmtId="192" fontId="118" fillId="57" borderId="102" applyNumberFormat="0" applyAlignment="0" applyProtection="0"/>
    <xf numFmtId="192" fontId="90" fillId="27" borderId="65" applyNumberFormat="0" applyAlignment="0" applyProtection="0"/>
    <xf numFmtId="10"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2" fontId="119" fillId="0" borderId="0" applyNumberFormat="0" applyFill="0" applyBorder="0" applyAlignment="0" applyProtection="0"/>
    <xf numFmtId="192" fontId="56" fillId="0" borderId="0" applyNumberFormat="0" applyFill="0" applyBorder="0" applyAlignment="0" applyProtection="0"/>
    <xf numFmtId="192" fontId="120" fillId="0" borderId="103" applyNumberFormat="0" applyFill="0" applyAlignment="0" applyProtection="0"/>
    <xf numFmtId="192" fontId="96" fillId="0" borderId="66" applyNumberFormat="0" applyFill="0" applyAlignment="0" applyProtection="0"/>
    <xf numFmtId="192" fontId="121" fillId="0" borderId="0" applyNumberFormat="0" applyFill="0" applyBorder="0" applyAlignment="0" applyProtection="0"/>
    <xf numFmtId="192" fontId="94" fillId="0" borderId="0" applyNumberForma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41" fillId="2" borderId="0" applyNumberFormat="0" applyBorder="0" applyAlignment="0" applyProtection="0"/>
    <xf numFmtId="0" fontId="26" fillId="3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41" fillId="3" borderId="0" applyNumberFormat="0" applyBorder="0" applyAlignment="0" applyProtection="0"/>
    <xf numFmtId="0" fontId="26" fillId="40"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41" fillId="4" borderId="0" applyNumberFormat="0" applyBorder="0" applyAlignment="0" applyProtection="0"/>
    <xf numFmtId="0" fontId="26" fillId="41"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41" fillId="5" borderId="0" applyNumberFormat="0" applyBorder="0" applyAlignment="0" applyProtection="0"/>
    <xf numFmtId="0" fontId="26" fillId="42"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41" fillId="6" borderId="0" applyNumberFormat="0" applyBorder="0" applyAlignment="0" applyProtection="0"/>
    <xf numFmtId="0" fontId="26" fillId="43"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41" fillId="7" borderId="0" applyNumberFormat="0" applyBorder="0" applyAlignment="0" applyProtection="0"/>
    <xf numFmtId="0" fontId="26" fillId="44"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41" fillId="8" borderId="0" applyNumberFormat="0" applyBorder="0" applyAlignment="0" applyProtection="0"/>
    <xf numFmtId="0" fontId="26" fillId="45"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1" fillId="9" borderId="0" applyNumberFormat="0" applyBorder="0" applyAlignment="0" applyProtection="0"/>
    <xf numFmtId="0" fontId="26" fillId="4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1" fillId="10" borderId="0" applyNumberFormat="0" applyBorder="0" applyAlignment="0" applyProtection="0"/>
    <xf numFmtId="0" fontId="26" fillId="47"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1" fillId="11" borderId="0" applyNumberFormat="0" applyBorder="0" applyAlignment="0" applyProtection="0"/>
    <xf numFmtId="0" fontId="26" fillId="4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1" fillId="12" borderId="0" applyNumberFormat="0" applyBorder="0" applyAlignment="0" applyProtection="0"/>
    <xf numFmtId="0" fontId="26" fillId="45"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1" fillId="13" borderId="0" applyNumberFormat="0" applyBorder="0" applyAlignment="0" applyProtection="0"/>
    <xf numFmtId="0" fontId="26" fillId="48" borderId="0" applyNumberFormat="0" applyBorder="0" applyAlignment="0" applyProtection="0"/>
    <xf numFmtId="0" fontId="152" fillId="49" borderId="0" applyNumberFormat="0" applyBorder="0" applyAlignment="0" applyProtection="0"/>
    <xf numFmtId="0" fontId="152" fillId="46" borderId="0" applyNumberFormat="0" applyBorder="0" applyAlignment="0" applyProtection="0"/>
    <xf numFmtId="0" fontId="152" fillId="47"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2" borderId="0" applyNumberFormat="0" applyBorder="0" applyAlignment="0" applyProtection="0"/>
    <xf numFmtId="0" fontId="152" fillId="53" borderId="0" applyNumberFormat="0" applyBorder="0" applyAlignment="0" applyProtection="0"/>
    <xf numFmtId="0" fontId="152" fillId="54" borderId="0" applyNumberFormat="0" applyBorder="0" applyAlignment="0" applyProtection="0"/>
    <xf numFmtId="0" fontId="152" fillId="55"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6" borderId="0" applyNumberFormat="0" applyBorder="0" applyAlignment="0" applyProtection="0"/>
    <xf numFmtId="0" fontId="209" fillId="40" borderId="0" applyNumberFormat="0" applyBorder="0" applyAlignment="0" applyProtection="0"/>
    <xf numFmtId="0" fontId="210" fillId="57" borderId="95" applyNumberFormat="0" applyAlignment="0" applyProtection="0"/>
    <xf numFmtId="0" fontId="155" fillId="58" borderId="96" applyNumberFormat="0" applyAlignment="0" applyProtection="0"/>
    <xf numFmtId="165" fontId="28"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11" fillId="0" borderId="0" applyNumberFormat="0" applyFill="0" applyBorder="0" applyAlignment="0" applyProtection="0"/>
    <xf numFmtId="0" fontId="212" fillId="41" borderId="0" applyNumberFormat="0" applyBorder="0" applyAlignment="0" applyProtection="0"/>
    <xf numFmtId="0" fontId="213" fillId="0" borderId="97" applyNumberFormat="0" applyFill="0" applyAlignment="0" applyProtection="0"/>
    <xf numFmtId="0" fontId="214" fillId="0" borderId="98" applyNumberFormat="0" applyFill="0" applyAlignment="0" applyProtection="0"/>
    <xf numFmtId="0" fontId="215" fillId="0" borderId="99" applyNumberFormat="0" applyFill="0" applyAlignment="0" applyProtection="0"/>
    <xf numFmtId="0" fontId="215" fillId="0" borderId="0" applyNumberFormat="0" applyFill="0" applyBorder="0" applyAlignment="0" applyProtection="0"/>
    <xf numFmtId="0" fontId="216" fillId="44" borderId="95" applyNumberFormat="0" applyAlignment="0" applyProtection="0"/>
    <xf numFmtId="0" fontId="157" fillId="0" borderId="100" applyNumberFormat="0" applyFill="0" applyAlignment="0" applyProtection="0"/>
    <xf numFmtId="0" fontId="217" fillId="5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26" fillId="32" borderId="64" applyNumberFormat="0" applyFont="0" applyAlignment="0" applyProtection="0"/>
    <xf numFmtId="0" fontId="41" fillId="32" borderId="64" applyNumberFormat="0" applyFont="0" applyAlignment="0" applyProtection="0"/>
    <xf numFmtId="0" fontId="139" fillId="60" borderId="101"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41" fillId="32" borderId="64" applyNumberFormat="0" applyFont="0" applyAlignment="0" applyProtection="0"/>
    <xf numFmtId="0" fontId="218" fillId="57" borderId="102" applyNumberFormat="0" applyAlignment="0" applyProtection="0"/>
    <xf numFmtId="9" fontId="38" fillId="0" borderId="0" applyFont="0" applyFill="0" applyBorder="0" applyAlignment="0" applyProtection="0"/>
    <xf numFmtId="0" fontId="154" fillId="0" borderId="103" applyNumberFormat="0" applyFill="0" applyAlignment="0" applyProtection="0"/>
    <xf numFmtId="0" fontId="153" fillId="0" borderId="0" applyNumberFormat="0" applyFill="0" applyBorder="0" applyAlignment="0" applyProtection="0"/>
    <xf numFmtId="0" fontId="219" fillId="2" borderId="144" applyNumberFormat="0" applyAlignment="0" applyProtection="0">
      <alignment horizontal="right" vertical="center"/>
    </xf>
    <xf numFmtId="0" fontId="220" fillId="115" borderId="144" applyNumberFormat="0">
      <alignment horizontal="center" vertical="center"/>
    </xf>
    <xf numFmtId="0" fontId="24" fillId="0" borderId="0"/>
    <xf numFmtId="0" fontId="115" fillId="44" borderId="95" applyNumberFormat="0" applyAlignment="0" applyProtection="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216" fillId="44" borderId="95" applyNumberFormat="0" applyAlignment="0" applyProtection="0"/>
    <xf numFmtId="0" fontId="24" fillId="0" borderId="0"/>
    <xf numFmtId="0" fontId="3" fillId="0" borderId="0"/>
    <xf numFmtId="0" fontId="24" fillId="0" borderId="0"/>
    <xf numFmtId="14"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43" fontId="24" fillId="0" borderId="0" applyFont="0" applyFill="0" applyBorder="0" applyAlignment="0" applyProtection="0"/>
    <xf numFmtId="44"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9" fontId="3" fillId="0" borderId="0" applyFont="0" applyFill="0" applyBorder="0" applyAlignment="0" applyProtection="0"/>
    <xf numFmtId="9" fontId="3" fillId="0" borderId="0" applyFont="0" applyFill="0" applyBorder="0" applyAlignment="0" applyProtection="0"/>
    <xf numFmtId="14" fontId="24"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0" fontId="216" fillId="44" borderId="95" applyNumberFormat="0" applyAlignment="0" applyProtection="0"/>
    <xf numFmtId="9" fontId="171" fillId="0" borderId="0" applyFill="0" applyBorder="0" applyAlignment="0" applyProtection="0"/>
    <xf numFmtId="0" fontId="158" fillId="116" borderId="0" applyNumberFormat="0" applyBorder="0" applyAlignment="0" applyProtection="0"/>
    <xf numFmtId="0" fontId="158" fillId="117" borderId="0" applyNumberFormat="0" applyBorder="0" applyAlignment="0" applyProtection="0"/>
    <xf numFmtId="0" fontId="158" fillId="118" borderId="0" applyNumberFormat="0" applyBorder="0" applyAlignment="0" applyProtection="0"/>
    <xf numFmtId="0" fontId="158" fillId="119" borderId="0" applyNumberFormat="0" applyBorder="0" applyAlignment="0" applyProtection="0"/>
    <xf numFmtId="0" fontId="158" fillId="120" borderId="0" applyNumberFormat="0" applyBorder="0" applyAlignment="0" applyProtection="0"/>
    <xf numFmtId="0" fontId="158" fillId="121" borderId="0" applyNumberFormat="0" applyBorder="0" applyAlignment="0" applyProtection="0"/>
    <xf numFmtId="0" fontId="158" fillId="122" borderId="0" applyNumberFormat="0" applyBorder="0" applyAlignment="0" applyProtection="0"/>
    <xf numFmtId="0" fontId="160" fillId="123" borderId="0" applyNumberFormat="0" applyBorder="0" applyAlignment="0" applyProtection="0"/>
    <xf numFmtId="0" fontId="160" fillId="124" borderId="0" applyNumberFormat="0" applyBorder="0" applyAlignment="0" applyProtection="0"/>
    <xf numFmtId="0" fontId="160" fillId="125" borderId="0" applyNumberFormat="0" applyBorder="0" applyAlignment="0" applyProtection="0"/>
    <xf numFmtId="0" fontId="160" fillId="126" borderId="0" applyNumberFormat="0" applyBorder="0" applyAlignment="0" applyProtection="0"/>
    <xf numFmtId="0" fontId="160" fillId="127" borderId="0" applyNumberFormat="0" applyBorder="0" applyAlignment="0" applyProtection="0"/>
    <xf numFmtId="0" fontId="160" fillId="128" borderId="0" applyNumberFormat="0" applyBorder="0" applyAlignment="0" applyProtection="0"/>
    <xf numFmtId="0" fontId="160" fillId="129" borderId="0" applyNumberFormat="0" applyBorder="0" applyAlignment="0" applyProtection="0"/>
    <xf numFmtId="0" fontId="162" fillId="130" borderId="0" applyNumberFormat="0" applyBorder="0" applyAlignment="0" applyProtection="0"/>
    <xf numFmtId="0" fontId="221" fillId="131" borderId="145" applyNumberFormat="0" applyAlignment="0" applyProtection="0"/>
    <xf numFmtId="0" fontId="168" fillId="132" borderId="96" applyNumberFormat="0" applyAlignment="0" applyProtection="0"/>
    <xf numFmtId="0" fontId="222" fillId="0" borderId="0" applyNumberFormat="0" applyFill="0" applyBorder="0" applyAlignment="0" applyProtection="0"/>
    <xf numFmtId="0" fontId="223" fillId="133" borderId="0" applyNumberFormat="0" applyBorder="0" applyAlignment="0" applyProtection="0"/>
    <xf numFmtId="0" fontId="177" fillId="134" borderId="0" applyNumberFormat="0" applyBorder="0" applyAlignment="0" applyProtection="0"/>
    <xf numFmtId="0" fontId="188" fillId="84" borderId="145" applyNumberFormat="0" applyAlignment="0" applyProtection="0"/>
    <xf numFmtId="0" fontId="224" fillId="0" borderId="146" applyNumberFormat="0" applyFill="0" applyAlignment="0" applyProtection="0"/>
    <xf numFmtId="0" fontId="225" fillId="135" borderId="0" applyNumberFormat="0" applyBorder="0" applyAlignment="0" applyProtection="0"/>
    <xf numFmtId="9" fontId="171" fillId="0" borderId="0" applyFill="0" applyBorder="0" applyAlignment="0" applyProtection="0"/>
    <xf numFmtId="0" fontId="171" fillId="112" borderId="147" applyNumberFormat="0" applyAlignment="0" applyProtection="0"/>
    <xf numFmtId="0" fontId="197" fillId="131" borderId="102" applyNumberFormat="0" applyAlignment="0" applyProtection="0"/>
    <xf numFmtId="9" fontId="171" fillId="0" borderId="0" applyFill="0" applyBorder="0" applyAlignment="0" applyProtection="0"/>
    <xf numFmtId="0" fontId="223" fillId="136"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38" fillId="48" borderId="0" applyNumberFormat="0" applyBorder="0" applyAlignment="0" applyProtection="0"/>
    <xf numFmtId="0" fontId="106" fillId="49" borderId="0" applyNumberFormat="0" applyBorder="0" applyAlignment="0" applyProtection="0"/>
    <xf numFmtId="0" fontId="106" fillId="46" borderId="0" applyNumberFormat="0" applyBorder="0" applyAlignment="0" applyProtection="0"/>
    <xf numFmtId="0" fontId="106" fillId="47"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55"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6" borderId="0" applyNumberFormat="0" applyBorder="0" applyAlignment="0" applyProtection="0"/>
    <xf numFmtId="0" fontId="107" fillId="40" borderId="0" applyNumberFormat="0" applyBorder="0" applyAlignment="0" applyProtection="0"/>
    <xf numFmtId="0" fontId="108" fillId="57" borderId="95" applyNumberFormat="0" applyAlignment="0" applyProtection="0"/>
    <xf numFmtId="0" fontId="109" fillId="58" borderId="96" applyNumberFormat="0" applyAlignment="0" applyProtection="0"/>
    <xf numFmtId="43" fontId="24" fillId="0" borderId="0" applyFont="0" applyFill="0" applyBorder="0" applyAlignment="0" applyProtection="0"/>
    <xf numFmtId="44" fontId="24" fillId="0" borderId="0" applyFont="0" applyFill="0" applyBorder="0" applyAlignment="0" applyProtection="0"/>
    <xf numFmtId="0" fontId="110" fillId="0" borderId="0" applyNumberFormat="0" applyFill="0" applyBorder="0" applyAlignment="0" applyProtection="0"/>
    <xf numFmtId="0" fontId="111" fillId="41" borderId="0" applyNumberFormat="0" applyBorder="0" applyAlignment="0" applyProtection="0"/>
    <xf numFmtId="0" fontId="112" fillId="0" borderId="97" applyNumberFormat="0" applyFill="0" applyAlignment="0" applyProtection="0"/>
    <xf numFmtId="0" fontId="113" fillId="0" borderId="98" applyNumberFormat="0" applyFill="0" applyAlignment="0" applyProtection="0"/>
    <xf numFmtId="0" fontId="114" fillId="0" borderId="99" applyNumberFormat="0" applyFill="0" applyAlignment="0" applyProtection="0"/>
    <xf numFmtId="0" fontId="114" fillId="0" borderId="0" applyNumberFormat="0" applyFill="0" applyBorder="0" applyAlignment="0" applyProtection="0"/>
    <xf numFmtId="0" fontId="104" fillId="0" borderId="0" applyNumberFormat="0" applyFill="0" applyBorder="0" applyAlignment="0" applyProtection="0">
      <alignment vertical="top"/>
      <protection locked="0"/>
    </xf>
    <xf numFmtId="0" fontId="115" fillId="44" borderId="95" applyNumberFormat="0" applyAlignment="0" applyProtection="0"/>
    <xf numFmtId="0" fontId="116" fillId="0" borderId="100" applyNumberFormat="0" applyFill="0" applyAlignment="0" applyProtection="0"/>
    <xf numFmtId="0" fontId="117" fillId="59" borderId="0" applyNumberFormat="0" applyBorder="0" applyAlignment="0" applyProtection="0"/>
    <xf numFmtId="0" fontId="24" fillId="60" borderId="101" applyNumberFormat="0" applyFont="0" applyAlignment="0" applyProtection="0"/>
    <xf numFmtId="0" fontId="118" fillId="57" borderId="102" applyNumberFormat="0" applyAlignment="0" applyProtection="0"/>
    <xf numFmtId="9" fontId="24" fillId="0" borderId="0" applyFont="0" applyFill="0" applyBorder="0" applyAlignment="0" applyProtection="0"/>
    <xf numFmtId="0" fontId="119" fillId="0" borderId="0" applyNumberFormat="0" applyFill="0" applyBorder="0" applyAlignment="0" applyProtection="0"/>
    <xf numFmtId="0" fontId="120" fillId="0" borderId="103" applyNumberFormat="0" applyFill="0" applyAlignment="0" applyProtection="0"/>
    <xf numFmtId="0" fontId="121" fillId="0" borderId="0" applyNumberFormat="0" applyFill="0" applyBorder="0" applyAlignment="0" applyProtection="0"/>
    <xf numFmtId="0" fontId="24" fillId="0" borderId="0"/>
    <xf numFmtId="0" fontId="56" fillId="0" borderId="0" applyNumberFormat="0" applyFill="0" applyBorder="0" applyAlignment="0" applyProtection="0"/>
    <xf numFmtId="0" fontId="84" fillId="0" borderId="61" applyNumberFormat="0" applyFill="0" applyAlignment="0" applyProtection="0"/>
    <xf numFmtId="0" fontId="83" fillId="0" borderId="60" applyNumberFormat="0" applyFill="0" applyAlignment="0" applyProtection="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97" fillId="19" borderId="0" applyNumberFormat="0" applyBorder="0" applyAlignment="0" applyProtection="0"/>
    <xf numFmtId="9" fontId="171" fillId="0" borderId="0" applyFill="0" applyBorder="0" applyAlignment="0" applyProtection="0"/>
    <xf numFmtId="9" fontId="171" fillId="0" borderId="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24" fillId="0" borderId="0" applyFont="0" applyFill="0" applyBorder="0" applyAlignment="0" applyProtection="0"/>
    <xf numFmtId="3" fontId="24" fillId="0" borderId="0" applyFont="0" applyFill="0" applyBorder="0" applyAlignment="0" applyProtection="0"/>
    <xf numFmtId="164" fontId="38"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9" fontId="24" fillId="0" borderId="0" applyFont="0" applyFill="0" applyBorder="0" applyAlignment="0" applyProtection="0"/>
    <xf numFmtId="9" fontId="38" fillId="0" borderId="0" applyFont="0" applyFill="0" applyBorder="0" applyAlignment="0" applyProtection="0"/>
    <xf numFmtId="9" fontId="24" fillId="0" borderId="0" applyFont="0" applyFill="0" applyBorder="0" applyAlignment="0" applyProtection="0"/>
    <xf numFmtId="9" fontId="171" fillId="0" borderId="0" applyFill="0" applyBorder="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171" fillId="0" borderId="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178" fontId="24" fillId="0" borderId="0"/>
    <xf numFmtId="179" fontId="24" fillId="0" borderId="0"/>
    <xf numFmtId="178" fontId="24" fillId="0" borderId="0"/>
    <xf numFmtId="178" fontId="24" fillId="0" borderId="0"/>
    <xf numFmtId="178" fontId="24" fillId="0" borderId="0"/>
    <xf numFmtId="178" fontId="24" fillId="0" borderId="0"/>
    <xf numFmtId="180" fontId="24" fillId="0" borderId="0"/>
    <xf numFmtId="181" fontId="24" fillId="0" borderId="0"/>
    <xf numFmtId="38" fontId="105" fillId="61" borderId="0" applyNumberFormat="0" applyBorder="0" applyAlignment="0" applyProtection="0"/>
    <xf numFmtId="10" fontId="105" fillId="64" borderId="1" applyNumberFormat="0" applyBorder="0" applyAlignment="0" applyProtection="0"/>
    <xf numFmtId="183" fontId="24" fillId="0" borderId="0"/>
    <xf numFmtId="184" fontId="24" fillId="0" borderId="0"/>
    <xf numFmtId="183" fontId="24" fillId="0" borderId="0"/>
    <xf numFmtId="183" fontId="24" fillId="0" borderId="0"/>
    <xf numFmtId="183" fontId="24" fillId="0" borderId="0"/>
    <xf numFmtId="183" fontId="24" fillId="0" borderId="0"/>
    <xf numFmtId="185" fontId="24" fillId="0" borderId="0"/>
    <xf numFmtId="10"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9" fontId="24" fillId="0" borderId="0" applyFont="0" applyFill="0" applyBorder="0" applyAlignment="0" applyProtection="0"/>
    <xf numFmtId="9" fontId="171" fillId="0" borderId="0" applyFill="0" applyBorder="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9" fontId="24"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15" fillId="44" borderId="95" applyNumberFormat="0" applyAlignment="0" applyProtection="0"/>
    <xf numFmtId="0" fontId="115" fillId="44" borderId="95" applyNumberFormat="0" applyAlignment="0" applyProtection="0"/>
    <xf numFmtId="0" fontId="115" fillId="44" borderId="95" applyNumberFormat="0" applyAlignment="0" applyProtection="0"/>
    <xf numFmtId="9" fontId="171" fillId="0" borderId="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12" fillId="0" borderId="97" applyNumberFormat="0" applyFill="0" applyAlignment="0" applyProtection="0"/>
    <xf numFmtId="0" fontId="113" fillId="0" borderId="98" applyNumberFormat="0" applyFill="0" applyAlignment="0" applyProtection="0"/>
    <xf numFmtId="0" fontId="120" fillId="0" borderId="103" applyNumberFormat="0" applyFill="0" applyAlignment="0" applyProtection="0"/>
    <xf numFmtId="9"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6" fillId="42" borderId="0" applyNumberFormat="0" applyBorder="0" applyAlignment="0" applyProtection="0"/>
    <xf numFmtId="0" fontId="26" fillId="45" borderId="0" applyNumberFormat="0" applyBorder="0" applyAlignment="0" applyProtection="0"/>
    <xf numFmtId="0" fontId="26" fillId="48" borderId="0" applyNumberFormat="0" applyBorder="0" applyAlignment="0" applyProtection="0"/>
    <xf numFmtId="0" fontId="152" fillId="49" borderId="0" applyNumberFormat="0" applyBorder="0" applyAlignment="0" applyProtection="0"/>
    <xf numFmtId="0" fontId="152" fillId="46" borderId="0" applyNumberFormat="0" applyBorder="0" applyAlignment="0" applyProtection="0"/>
    <xf numFmtId="0" fontId="152" fillId="47"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2" borderId="0" applyNumberFormat="0" applyBorder="0" applyAlignment="0" applyProtection="0"/>
    <xf numFmtId="0" fontId="152" fillId="53" borderId="0" applyNumberFormat="0" applyBorder="0" applyAlignment="0" applyProtection="0"/>
    <xf numFmtId="0" fontId="152" fillId="54" borderId="0" applyNumberFormat="0" applyBorder="0" applyAlignment="0" applyProtection="0"/>
    <xf numFmtId="0" fontId="152" fillId="55"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6" borderId="0" applyNumberFormat="0" applyBorder="0" applyAlignment="0" applyProtection="0"/>
    <xf numFmtId="0" fontId="209" fillId="40" borderId="0" applyNumberFormat="0" applyBorder="0" applyAlignment="0" applyProtection="0"/>
    <xf numFmtId="0" fontId="210" fillId="57" borderId="95" applyNumberFormat="0" applyAlignment="0" applyProtection="0"/>
    <xf numFmtId="0" fontId="155" fillId="58" borderId="96" applyNumberFormat="0" applyAlignment="0" applyProtection="0"/>
    <xf numFmtId="0" fontId="211" fillId="0" borderId="0" applyNumberFormat="0" applyFill="0" applyBorder="0" applyAlignment="0" applyProtection="0"/>
    <xf numFmtId="0" fontId="212" fillId="41" borderId="0" applyNumberFormat="0" applyBorder="0" applyAlignment="0" applyProtection="0"/>
    <xf numFmtId="0" fontId="215" fillId="0" borderId="99" applyNumberFormat="0" applyFill="0" applyAlignment="0" applyProtection="0"/>
    <xf numFmtId="0" fontId="215" fillId="0" borderId="0" applyNumberFormat="0" applyFill="0" applyBorder="0" applyAlignment="0" applyProtection="0"/>
    <xf numFmtId="0" fontId="216" fillId="44" borderId="95" applyNumberFormat="0" applyAlignment="0" applyProtection="0"/>
    <xf numFmtId="0" fontId="157" fillId="0" borderId="100" applyNumberFormat="0" applyFill="0" applyAlignment="0" applyProtection="0"/>
    <xf numFmtId="0" fontId="217" fillId="59" borderId="0" applyNumberFormat="0" applyBorder="0" applyAlignment="0" applyProtection="0"/>
    <xf numFmtId="0" fontId="218" fillId="57" borderId="102" applyNumberFormat="0" applyAlignment="0" applyProtection="0"/>
    <xf numFmtId="0" fontId="153" fillId="0" borderId="0" applyNumberFormat="0" applyFill="0" applyBorder="0" applyAlignment="0" applyProtection="0"/>
    <xf numFmtId="0" fontId="24" fillId="0" borderId="0"/>
    <xf numFmtId="0" fontId="24" fillId="0" borderId="0"/>
    <xf numFmtId="43" fontId="24" fillId="0" borderId="0" applyFont="0" applyFill="0" applyBorder="0" applyAlignment="0" applyProtection="0"/>
    <xf numFmtId="0" fontId="3" fillId="0" borderId="0"/>
    <xf numFmtId="0" fontId="24" fillId="0" borderId="0"/>
    <xf numFmtId="9" fontId="24" fillId="0" borderId="0" applyFont="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0" fontId="115" fillId="44" borderId="95" applyNumberFormat="0" applyAlignment="0" applyProtection="0"/>
    <xf numFmtId="9" fontId="171" fillId="0" borderId="0" applyFill="0" applyBorder="0" applyAlignment="0" applyProtection="0"/>
    <xf numFmtId="0" fontId="24" fillId="0" borderId="0"/>
    <xf numFmtId="9" fontId="24" fillId="0" borderId="0" applyFont="0" applyFill="0" applyBorder="0" applyAlignment="0" applyProtection="0"/>
    <xf numFmtId="9" fontId="171" fillId="0" borderId="0" applyFill="0" applyBorder="0" applyAlignment="0" applyProtection="0"/>
    <xf numFmtId="9" fontId="171" fillId="0" borderId="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71" fillId="0" borderId="0" applyFill="0" applyBorder="0" applyAlignment="0" applyProtection="0"/>
    <xf numFmtId="0" fontId="115" fillId="44" borderId="95" applyNumberFormat="0" applyAlignment="0" applyProtection="0"/>
    <xf numFmtId="0" fontId="115" fillId="44" borderId="95" applyNumberFormat="0" applyAlignment="0" applyProtection="0"/>
    <xf numFmtId="0" fontId="24" fillId="0" borderId="0"/>
    <xf numFmtId="0" fontId="24" fillId="0" borderId="0"/>
    <xf numFmtId="9" fontId="171" fillId="0" borderId="0" applyFill="0" applyBorder="0" applyAlignment="0" applyProtection="0"/>
    <xf numFmtId="9" fontId="171" fillId="0" borderId="0" applyFill="0" applyBorder="0" applyAlignment="0" applyProtection="0"/>
    <xf numFmtId="0" fontId="115" fillId="44" borderId="95" applyNumberFormat="0" applyAlignment="0" applyProtection="0"/>
    <xf numFmtId="9" fontId="171" fillId="0" borderId="0" applyFill="0" applyBorder="0" applyAlignment="0" applyProtection="0"/>
    <xf numFmtId="0" fontId="24" fillId="0" borderId="0"/>
    <xf numFmtId="9" fontId="171" fillId="0" borderId="0" applyFill="0" applyBorder="0" applyAlignment="0" applyProtection="0"/>
    <xf numFmtId="9" fontId="171" fillId="0" borderId="0" applyFill="0" applyBorder="0" applyAlignment="0" applyProtection="0"/>
    <xf numFmtId="0" fontId="24" fillId="0" borderId="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171" fillId="0" borderId="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15" fillId="44" borderId="95" applyNumberFormat="0" applyAlignment="0" applyProtection="0"/>
    <xf numFmtId="0" fontId="216" fillId="44" borderId="95" applyNumberFormat="0" applyAlignment="0" applyProtection="0"/>
    <xf numFmtId="9" fontId="24" fillId="0" borderId="0" applyFont="0" applyFill="0" applyBorder="0" applyAlignment="0" applyProtection="0"/>
    <xf numFmtId="0" fontId="152" fillId="49" borderId="0" applyNumberFormat="0" applyBorder="0" applyAlignment="0" applyProtection="0"/>
    <xf numFmtId="0" fontId="152" fillId="46" borderId="0" applyNumberFormat="0" applyBorder="0" applyAlignment="0" applyProtection="0"/>
    <xf numFmtId="0" fontId="152" fillId="47"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2" borderId="0" applyNumberFormat="0" applyBorder="0" applyAlignment="0" applyProtection="0"/>
    <xf numFmtId="0" fontId="152" fillId="53" borderId="0" applyNumberFormat="0" applyBorder="0" applyAlignment="0" applyProtection="0"/>
    <xf numFmtId="0" fontId="152" fillId="54" borderId="0" applyNumberFormat="0" applyBorder="0" applyAlignment="0" applyProtection="0"/>
    <xf numFmtId="0" fontId="152" fillId="55" borderId="0" applyNumberFormat="0" applyBorder="0" applyAlignment="0" applyProtection="0"/>
    <xf numFmtId="0" fontId="152" fillId="50" borderId="0" applyNumberFormat="0" applyBorder="0" applyAlignment="0" applyProtection="0"/>
    <xf numFmtId="0" fontId="152" fillId="51" borderId="0" applyNumberFormat="0" applyBorder="0" applyAlignment="0" applyProtection="0"/>
    <xf numFmtId="0" fontId="152" fillId="56" borderId="0" applyNumberFormat="0" applyBorder="0" applyAlignment="0" applyProtection="0"/>
    <xf numFmtId="9" fontId="171" fillId="0" borderId="0" applyFill="0" applyBorder="0" applyAlignment="0" applyProtection="0"/>
    <xf numFmtId="9" fontId="24" fillId="0" borderId="0" applyFont="0" applyFill="0" applyBorder="0" applyAlignment="0" applyProtection="0"/>
    <xf numFmtId="0" fontId="3" fillId="0" borderId="0"/>
    <xf numFmtId="0" fontId="165" fillId="108" borderId="135" applyNumberFormat="0" applyAlignment="0" applyProtection="0"/>
    <xf numFmtId="0" fontId="175" fillId="111" borderId="0" applyNumberFormat="0" applyBorder="0" applyAlignment="0" applyProtection="0"/>
    <xf numFmtId="0" fontId="188" fillId="84" borderId="135" applyNumberFormat="0" applyAlignment="0" applyProtection="0"/>
    <xf numFmtId="0" fontId="190" fillId="0" borderId="140" applyNumberFormat="0" applyFill="0" applyAlignment="0" applyProtection="0"/>
    <xf numFmtId="0" fontId="197" fillId="108" borderId="102" applyNumberFormat="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24"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40" fillId="0" borderId="0" applyNumberFormat="0" applyFont="0" applyFill="0" applyAlignment="0" applyProtection="0"/>
    <xf numFmtId="0" fontId="32" fillId="0" borderId="0" applyNumberFormat="0" applyFont="0" applyFill="0" applyAlignment="0" applyProtection="0"/>
    <xf numFmtId="0" fontId="3" fillId="0" borderId="0"/>
    <xf numFmtId="0" fontId="24" fillId="0" borderId="143" applyNumberFormat="0" applyFont="0" applyBorder="0" applyAlignment="0" applyProtection="0"/>
    <xf numFmtId="0" fontId="24" fillId="0" borderId="143" applyNumberFormat="0" applyFont="0" applyBorder="0" applyAlignment="0" applyProtection="0"/>
    <xf numFmtId="0" fontId="24" fillId="0" borderId="0"/>
    <xf numFmtId="165" fontId="24"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0" fontId="165" fillId="108" borderId="135" applyNumberFormat="0" applyAlignment="0" applyProtection="0"/>
    <xf numFmtId="0" fontId="175" fillId="111" borderId="0" applyNumberFormat="0" applyBorder="0" applyAlignment="0" applyProtection="0"/>
    <xf numFmtId="0" fontId="188" fillId="84" borderId="135" applyNumberFormat="0" applyAlignment="0" applyProtection="0"/>
    <xf numFmtId="0" fontId="190" fillId="0" borderId="140" applyNumberFormat="0" applyFill="0" applyAlignment="0" applyProtection="0"/>
    <xf numFmtId="0" fontId="197" fillId="108" borderId="102" applyNumberFormat="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24"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0" fontId="3" fillId="0" borderId="0"/>
    <xf numFmtId="0" fontId="24" fillId="0" borderId="0"/>
    <xf numFmtId="43" fontId="24" fillId="0" borderId="0" applyFont="0" applyFill="0" applyBorder="0" applyAlignment="0" applyProtection="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3" fillId="0" borderId="0"/>
    <xf numFmtId="0" fontId="24" fillId="0" borderId="143" applyNumberFormat="0" applyFont="0" applyBorder="0" applyAlignment="0" applyProtection="0"/>
    <xf numFmtId="0" fontId="24"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4" fillId="0" borderId="0"/>
    <xf numFmtId="43" fontId="24" fillId="0" borderId="0" applyFont="0" applyFill="0" applyBorder="0" applyAlignment="0" applyProtection="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3" fillId="0" borderId="0"/>
    <xf numFmtId="9" fontId="24" fillId="0" borderId="0" applyFont="0" applyFill="0" applyBorder="0" applyAlignment="0" applyProtection="0"/>
    <xf numFmtId="0" fontId="24" fillId="0" borderId="143" applyNumberFormat="0" applyFont="0" applyBorder="0" applyAlignment="0" applyProtection="0"/>
    <xf numFmtId="0" fontId="24"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192" fontId="3" fillId="2" borderId="0" applyNumberFormat="0" applyBorder="0" applyAlignment="0" applyProtection="0"/>
    <xf numFmtId="192" fontId="3" fillId="3" borderId="0" applyNumberFormat="0" applyBorder="0" applyAlignment="0" applyProtection="0"/>
    <xf numFmtId="192" fontId="3" fillId="4" borderId="0" applyNumberFormat="0" applyBorder="0" applyAlignment="0" applyProtection="0"/>
    <xf numFmtId="192" fontId="3" fillId="5" borderId="0" applyNumberFormat="0" applyBorder="0" applyAlignment="0" applyProtection="0"/>
    <xf numFmtId="192" fontId="3" fillId="6" borderId="0" applyNumberFormat="0" applyBorder="0" applyAlignment="0" applyProtection="0"/>
    <xf numFmtId="192" fontId="3" fillId="7" borderId="0" applyNumberFormat="0" applyBorder="0" applyAlignment="0" applyProtection="0"/>
    <xf numFmtId="192" fontId="3" fillId="8" borderId="0" applyNumberFormat="0" applyBorder="0" applyAlignment="0" applyProtection="0"/>
    <xf numFmtId="192" fontId="3" fillId="9" borderId="0" applyNumberFormat="0" applyBorder="0" applyAlignment="0" applyProtection="0"/>
    <xf numFmtId="192" fontId="3" fillId="10" borderId="0" applyNumberFormat="0" applyBorder="0" applyAlignment="0" applyProtection="0"/>
    <xf numFmtId="192" fontId="3" fillId="11" borderId="0" applyNumberFormat="0" applyBorder="0" applyAlignment="0" applyProtection="0"/>
    <xf numFmtId="192" fontId="3" fillId="12" borderId="0" applyNumberFormat="0" applyBorder="0" applyAlignment="0" applyProtection="0"/>
    <xf numFmtId="192" fontId="3" fillId="1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92" fontId="3" fillId="0" borderId="0"/>
    <xf numFmtId="192" fontId="3" fillId="0" borderId="0"/>
    <xf numFmtId="192" fontId="3" fillId="0" borderId="0"/>
    <xf numFmtId="192" fontId="3" fillId="0" borderId="0"/>
    <xf numFmtId="0" fontId="3" fillId="0" borderId="0"/>
    <xf numFmtId="0" fontId="3" fillId="0" borderId="0"/>
    <xf numFmtId="0" fontId="3" fillId="0" borderId="0"/>
    <xf numFmtId="192" fontId="3" fillId="32" borderId="6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32" borderId="64" applyNumberFormat="0" applyFont="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4" fillId="0" borderId="0"/>
    <xf numFmtId="43" fontId="24" fillId="0" borderId="0" applyFont="0" applyFill="0" applyBorder="0" applyAlignment="0" applyProtection="0"/>
    <xf numFmtId="3" fontId="24" fillId="0" borderId="0" applyFont="0" applyFill="0" applyBorder="0" applyAlignment="0" applyProtection="0"/>
    <xf numFmtId="182" fontId="24" fillId="0" borderId="0" applyFont="0" applyFill="0" applyBorder="0" applyAlignment="0" applyProtection="0"/>
    <xf numFmtId="14" fontId="24" fillId="0" borderId="0" applyFont="0" applyFill="0" applyBorder="0" applyAlignment="0" applyProtection="0"/>
    <xf numFmtId="2" fontId="24" fillId="0" borderId="0" applyFont="0" applyFill="0" applyBorder="0" applyAlignment="0" applyProtection="0"/>
    <xf numFmtId="0" fontId="3" fillId="0" borderId="0"/>
    <xf numFmtId="9" fontId="24" fillId="0" borderId="0" applyFont="0" applyFill="0" applyBorder="0" applyAlignment="0" applyProtection="0"/>
    <xf numFmtId="0" fontId="24" fillId="0" borderId="143" applyNumberFormat="0" applyFont="0" applyBorder="0" applyAlignment="0" applyProtection="0"/>
    <xf numFmtId="9" fontId="24" fillId="0" borderId="0" applyFont="0" applyFill="0" applyBorder="0" applyAlignment="0" applyProtection="0"/>
    <xf numFmtId="0" fontId="115" fillId="44" borderId="95" applyNumberFormat="0" applyAlignment="0" applyProtection="0"/>
    <xf numFmtId="9" fontId="24" fillId="0" borderId="0" applyFont="0" applyFill="0" applyBorder="0" applyAlignment="0" applyProtection="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15" fillId="44" borderId="95" applyNumberFormat="0" applyAlignment="0" applyProtection="0"/>
    <xf numFmtId="9" fontId="24" fillId="0" borderId="0" applyFont="0" applyFill="0" applyBorder="0" applyAlignment="0" applyProtection="0"/>
    <xf numFmtId="0" fontId="3" fillId="0" borderId="0"/>
    <xf numFmtId="0" fontId="24"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15" fillId="44" borderId="95" applyNumberFormat="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170" fillId="0" borderId="0" applyFill="0" applyBorder="0" applyAlignment="0" applyProtection="0"/>
    <xf numFmtId="9" fontId="170" fillId="0" borderId="0" applyFill="0" applyBorder="0" applyAlignment="0" applyProtection="0"/>
    <xf numFmtId="0" fontId="24" fillId="0" borderId="0"/>
    <xf numFmtId="9" fontId="170" fillId="0" borderId="0" applyFill="0" applyBorder="0" applyAlignment="0" applyProtection="0"/>
    <xf numFmtId="0" fontId="24" fillId="0" borderId="0"/>
    <xf numFmtId="9" fontId="170" fillId="0" borderId="0" applyFill="0" applyBorder="0" applyAlignment="0" applyProtection="0"/>
    <xf numFmtId="0" fontId="24" fillId="0" borderId="0"/>
    <xf numFmtId="0" fontId="24" fillId="0" borderId="0"/>
    <xf numFmtId="0" fontId="28" fillId="0" borderId="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4" fillId="27" borderId="58"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0" fontId="45" fillId="28" borderId="59" applyNumberFormat="0" applyAlignment="0" applyProtection="0"/>
    <xf numFmtId="43" fontId="28"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8" fillId="0" borderId="60"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49" fillId="0" borderId="61"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62"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1" fillId="30" borderId="58" applyNumberFormat="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2" fillId="0" borderId="63" applyNumberFormat="0" applyFill="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3" fillId="0" borderId="0"/>
    <xf numFmtId="0" fontId="3" fillId="0" borderId="0"/>
    <xf numFmtId="0" fontId="41" fillId="0" borderId="0"/>
    <xf numFmtId="0" fontId="28" fillId="0" borderId="0"/>
    <xf numFmtId="0" fontId="41" fillId="0" borderId="0"/>
    <xf numFmtId="0" fontId="41" fillId="0" borderId="0"/>
    <xf numFmtId="0" fontId="41" fillId="0" borderId="0"/>
    <xf numFmtId="0" fontId="41" fillId="0" borderId="0"/>
    <xf numFmtId="0" fontId="41" fillId="0" borderId="0"/>
    <xf numFmtId="0" fontId="26" fillId="32" borderId="64" applyNumberFormat="0" applyFont="0" applyAlignment="0" applyProtection="0"/>
    <xf numFmtId="0" fontId="26" fillId="32" borderId="64" applyNumberFormat="0" applyFont="0" applyAlignment="0" applyProtection="0"/>
    <xf numFmtId="0" fontId="26" fillId="32" borderId="64" applyNumberFormat="0" applyFon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0" fontId="55" fillId="27" borderId="65"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7" fillId="0" borderId="66"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44" fontId="24" fillId="0" borderId="0" applyFont="0" applyFill="0" applyBorder="0" applyAlignment="0" applyProtection="0"/>
    <xf numFmtId="0" fontId="3" fillId="0" borderId="0"/>
    <xf numFmtId="0" fontId="3" fillId="0" borderId="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43" fontId="3" fillId="0" borderId="0" applyFont="0" applyFill="0" applyBorder="0" applyAlignment="0" applyProtection="0"/>
    <xf numFmtId="44" fontId="24" fillId="0" borderId="0" applyFont="0" applyFill="0" applyBorder="0" applyAlignment="0" applyProtection="0"/>
    <xf numFmtId="0" fontId="3" fillId="0" borderId="0"/>
    <xf numFmtId="0" fontId="3" fillId="0" borderId="0"/>
    <xf numFmtId="0" fontId="3" fillId="0" borderId="0"/>
    <xf numFmtId="0" fontId="24" fillId="0" borderId="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28" fillId="0" borderId="0"/>
    <xf numFmtId="165" fontId="28" fillId="0" borderId="0" applyFont="0" applyFill="0" applyBorder="0" applyAlignment="0" applyProtection="0"/>
    <xf numFmtId="9" fontId="28" fillId="0" borderId="0" applyFont="0" applyFill="0" applyBorder="0" applyAlignment="0" applyProtection="0"/>
    <xf numFmtId="0" fontId="28"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8" fillId="0" borderId="0"/>
    <xf numFmtId="43" fontId="28" fillId="0" borderId="0" applyFont="0" applyFill="0" applyBorder="0" applyAlignment="0" applyProtection="0"/>
    <xf numFmtId="0" fontId="3" fillId="0" borderId="0"/>
    <xf numFmtId="0" fontId="3" fillId="0" borderId="0"/>
    <xf numFmtId="9" fontId="28"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20" fillId="0" borderId="103" applyNumberFormat="0" applyFill="0" applyAlignment="0" applyProtection="0"/>
    <xf numFmtId="0" fontId="24" fillId="0" borderId="0"/>
    <xf numFmtId="0" fontId="3" fillId="0" borderId="0"/>
    <xf numFmtId="0" fontId="85" fillId="0" borderId="62" applyNumberFormat="0" applyFill="0" applyAlignment="0" applyProtection="0"/>
    <xf numFmtId="0" fontId="85" fillId="0" borderId="0" applyNumberFormat="0" applyFill="0" applyBorder="0" applyAlignment="0" applyProtection="0"/>
    <xf numFmtId="0" fontId="86" fillId="29" borderId="0" applyNumberFormat="0" applyBorder="0" applyAlignment="0" applyProtection="0"/>
    <xf numFmtId="0" fontId="87" fillId="26" borderId="0" applyNumberFormat="0" applyBorder="0" applyAlignment="0" applyProtection="0"/>
    <xf numFmtId="0" fontId="88" fillId="31" borderId="0" applyNumberFormat="0" applyBorder="0" applyAlignment="0" applyProtection="0"/>
    <xf numFmtId="0" fontId="89" fillId="30" borderId="58" applyNumberFormat="0" applyAlignment="0" applyProtection="0"/>
    <xf numFmtId="0" fontId="90" fillId="27" borderId="65" applyNumberFormat="0" applyAlignment="0" applyProtection="0"/>
    <xf numFmtId="0" fontId="91" fillId="27" borderId="58" applyNumberFormat="0" applyAlignment="0" applyProtection="0"/>
    <xf numFmtId="0" fontId="92" fillId="0" borderId="63" applyNumberFormat="0" applyFill="0" applyAlignment="0" applyProtection="0"/>
    <xf numFmtId="0" fontId="93" fillId="28" borderId="59" applyNumberFormat="0" applyAlignment="0" applyProtection="0"/>
    <xf numFmtId="0" fontId="94" fillId="0" borderId="0" applyNumberFormat="0" applyFill="0" applyBorder="0" applyAlignment="0" applyProtection="0"/>
    <xf numFmtId="0" fontId="3" fillId="32" borderId="64" applyNumberFormat="0" applyFont="0" applyAlignment="0" applyProtection="0"/>
    <xf numFmtId="0" fontId="95" fillId="0" borderId="0" applyNumberFormat="0" applyFill="0" applyBorder="0" applyAlignment="0" applyProtection="0"/>
    <xf numFmtId="0" fontId="96" fillId="0" borderId="66" applyNumberFormat="0" applyFill="0" applyAlignment="0" applyProtection="0"/>
    <xf numFmtId="0" fontId="97" fillId="20" borderId="0" applyNumberFormat="0" applyBorder="0" applyAlignment="0" applyProtection="0"/>
    <xf numFmtId="0" fontId="3" fillId="2" borderId="0" applyNumberFormat="0" applyBorder="0" applyAlignment="0" applyProtection="0"/>
    <xf numFmtId="0" fontId="3" fillId="8" borderId="0" applyNumberFormat="0" applyBorder="0" applyAlignment="0" applyProtection="0"/>
    <xf numFmtId="0" fontId="97" fillId="14" borderId="0" applyNumberFormat="0" applyBorder="0" applyAlignment="0" applyProtection="0"/>
    <xf numFmtId="0" fontId="97" fillId="21"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97" fillId="15" borderId="0" applyNumberFormat="0" applyBorder="0" applyAlignment="0" applyProtection="0"/>
    <xf numFmtId="0" fontId="97" fillId="22"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97" fillId="16" borderId="0" applyNumberFormat="0" applyBorder="0" applyAlignment="0" applyProtection="0"/>
    <xf numFmtId="0" fontId="97" fillId="23"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97" fillId="17" borderId="0" applyNumberFormat="0" applyBorder="0" applyAlignment="0" applyProtection="0"/>
    <xf numFmtId="0" fontId="97" fillId="2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97" fillId="18" borderId="0" applyNumberFormat="0" applyBorder="0" applyAlignment="0" applyProtection="0"/>
    <xf numFmtId="0" fontId="97" fillId="25"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97" fillId="19" borderId="0" applyNumberFormat="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24" fillId="0" borderId="0" applyFont="0" applyFill="0" applyBorder="0" applyAlignment="0" applyProtection="0"/>
    <xf numFmtId="0" fontId="3" fillId="0" borderId="0"/>
    <xf numFmtId="0" fontId="3" fillId="0" borderId="0"/>
    <xf numFmtId="0" fontId="73"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3"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28"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8" fillId="0" borderId="0"/>
    <xf numFmtId="0" fontId="3" fillId="0" borderId="0"/>
    <xf numFmtId="0" fontId="3" fillId="0" borderId="0"/>
    <xf numFmtId="9" fontId="28"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24" fillId="0" borderId="0"/>
    <xf numFmtId="0" fontId="24" fillId="38" borderId="1" applyNumberFormat="0" applyProtection="0">
      <alignment horizontal="left" vertical="center"/>
    </xf>
    <xf numFmtId="0" fontId="89" fillId="30" borderId="58" applyNumberForma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32" borderId="6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64" applyNumberFormat="0" applyFont="0" applyAlignment="0" applyProtection="0"/>
    <xf numFmtId="0" fontId="3" fillId="0" borderId="0"/>
    <xf numFmtId="9" fontId="3" fillId="0" borderId="0" applyFont="0" applyFill="0" applyBorder="0" applyAlignment="0" applyProtection="0"/>
    <xf numFmtId="0" fontId="3" fillId="2" borderId="0" applyNumberFormat="0" applyBorder="0" applyAlignment="0" applyProtection="0"/>
    <xf numFmtId="0" fontId="3" fillId="8"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3" borderId="0" applyNumberFormat="0" applyBorder="0" applyAlignment="0" applyProtection="0"/>
    <xf numFmtId="0" fontId="3" fillId="9" borderId="0" applyNumberFormat="0" applyBorder="0" applyAlignment="0" applyProtection="0"/>
    <xf numFmtId="9" fontId="3" fillId="0" borderId="0" applyFont="0" applyFill="0" applyBorder="0" applyAlignment="0" applyProtection="0"/>
    <xf numFmtId="0" fontId="3" fillId="4" borderId="0" applyNumberFormat="0" applyBorder="0" applyAlignment="0" applyProtection="0"/>
    <xf numFmtId="0" fontId="3" fillId="10" borderId="0" applyNumberFormat="0" applyBorder="0" applyAlignment="0" applyProtection="0"/>
    <xf numFmtId="9" fontId="3" fillId="0" borderId="0" applyFont="0" applyFill="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0" borderId="0"/>
    <xf numFmtId="0" fontId="3" fillId="6" borderId="0" applyNumberFormat="0" applyBorder="0" applyAlignment="0" applyProtection="0"/>
    <xf numFmtId="0" fontId="3" fillId="12" borderId="0" applyNumberFormat="0" applyBorder="0" applyAlignment="0" applyProtection="0"/>
    <xf numFmtId="9" fontId="3" fillId="0" borderId="0" applyFont="0" applyFill="0" applyBorder="0" applyAlignment="0" applyProtection="0"/>
    <xf numFmtId="0" fontId="3" fillId="0" borderId="0"/>
    <xf numFmtId="0" fontId="3" fillId="7" borderId="0" applyNumberFormat="0" applyBorder="0" applyAlignment="0" applyProtection="0"/>
    <xf numFmtId="0" fontId="3" fillId="13"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165" fontId="3" fillId="0" borderId="0" applyFont="0" applyFill="0" applyBorder="0" applyAlignment="0" applyProtection="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32" borderId="64"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cellStyleXfs>
  <cellXfs count="1468">
    <xf numFmtId="0" fontId="0" fillId="0" borderId="0" xfId="0"/>
    <xf numFmtId="0" fontId="24" fillId="0" borderId="0" xfId="0" applyFont="1"/>
    <xf numFmtId="0" fontId="24" fillId="0" borderId="0" xfId="0" applyFont="1" applyFill="1" applyBorder="1" applyAlignment="1"/>
    <xf numFmtId="0" fontId="59" fillId="0" borderId="0" xfId="0" applyFont="1" applyBorder="1" applyAlignment="1">
      <alignment horizontal="left" vertic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49" fontId="24" fillId="0" borderId="7" xfId="0" applyNumberFormat="1" applyFont="1" applyBorder="1" applyAlignment="1">
      <alignment horizontal="center"/>
    </xf>
    <xf numFmtId="49" fontId="24" fillId="0" borderId="2" xfId="0" applyNumberFormat="1" applyFont="1" applyBorder="1" applyAlignment="1">
      <alignment horizontal="center"/>
    </xf>
    <xf numFmtId="166" fontId="24" fillId="0" borderId="1" xfId="0" applyNumberFormat="1" applyFont="1" applyBorder="1" applyAlignment="1">
      <alignment horizontal="center"/>
    </xf>
    <xf numFmtId="166" fontId="24" fillId="0" borderId="8" xfId="0" applyNumberFormat="1" applyFont="1" applyBorder="1" applyAlignment="1">
      <alignment horizontal="center"/>
    </xf>
    <xf numFmtId="14" fontId="24" fillId="0" borderId="2" xfId="0" applyNumberFormat="1" applyFont="1" applyBorder="1" applyAlignment="1">
      <alignment horizontal="center"/>
    </xf>
    <xf numFmtId="0" fontId="24" fillId="0" borderId="1" xfId="0" applyFont="1" applyBorder="1" applyAlignment="1">
      <alignment horizontal="center"/>
    </xf>
    <xf numFmtId="14" fontId="30" fillId="0" borderId="2" xfId="0" applyNumberFormat="1" applyFont="1" applyBorder="1" applyAlignment="1">
      <alignment horizontal="center"/>
    </xf>
    <xf numFmtId="166" fontId="30" fillId="0" borderId="1" xfId="0" applyNumberFormat="1" applyFont="1" applyBorder="1" applyAlignment="1">
      <alignment horizontal="center"/>
    </xf>
    <xf numFmtId="0" fontId="30" fillId="0" borderId="1" xfId="0" applyFont="1" applyBorder="1" applyAlignment="1">
      <alignment horizontal="center"/>
    </xf>
    <xf numFmtId="166" fontId="30" fillId="0" borderId="8" xfId="0" applyNumberFormat="1" applyFont="1" applyBorder="1" applyAlignment="1">
      <alignment horizontal="center"/>
    </xf>
    <xf numFmtId="1" fontId="24" fillId="0" borderId="1" xfId="0" applyNumberFormat="1" applyFont="1" applyFill="1" applyBorder="1" applyAlignment="1">
      <alignment horizontal="center"/>
    </xf>
    <xf numFmtId="0" fontId="24" fillId="0" borderId="1" xfId="0" applyFont="1" applyFill="1" applyBorder="1" applyAlignment="1">
      <alignment horizontal="center"/>
    </xf>
    <xf numFmtId="0" fontId="24" fillId="0" borderId="8" xfId="0" applyFont="1" applyFill="1" applyBorder="1" applyAlignment="1">
      <alignment horizontal="center"/>
    </xf>
    <xf numFmtId="49" fontId="24" fillId="0" borderId="9" xfId="0" applyNumberFormat="1" applyFont="1" applyBorder="1" applyAlignment="1">
      <alignment horizontal="center"/>
    </xf>
    <xf numFmtId="1" fontId="24" fillId="0" borderId="10" xfId="0" applyNumberFormat="1" applyFont="1" applyFill="1" applyBorder="1" applyAlignment="1">
      <alignment horizontal="center"/>
    </xf>
    <xf numFmtId="166" fontId="24" fillId="0" borderId="10" xfId="0" applyNumberFormat="1" applyFont="1" applyBorder="1" applyAlignment="1">
      <alignment horizontal="center"/>
    </xf>
    <xf numFmtId="0" fontId="24" fillId="0" borderId="10" xfId="0" applyFont="1" applyFill="1" applyBorder="1" applyAlignment="1">
      <alignment horizontal="center"/>
    </xf>
    <xf numFmtId="0" fontId="24" fillId="0" borderId="11" xfId="0" applyFont="1" applyFill="1" applyBorder="1" applyAlignment="1">
      <alignment horizontal="center"/>
    </xf>
    <xf numFmtId="0" fontId="24" fillId="0" borderId="12" xfId="0" applyFont="1" applyFill="1" applyBorder="1"/>
    <xf numFmtId="0" fontId="24" fillId="0" borderId="13" xfId="0" applyFont="1" applyFill="1" applyBorder="1"/>
    <xf numFmtId="1" fontId="24" fillId="33" borderId="1" xfId="0" applyNumberFormat="1" applyFont="1" applyFill="1" applyBorder="1" applyAlignment="1">
      <alignment horizontal="center"/>
    </xf>
    <xf numFmtId="1" fontId="24" fillId="33" borderId="10" xfId="0" applyNumberFormat="1" applyFont="1" applyFill="1" applyBorder="1" applyAlignment="1">
      <alignment horizontal="center"/>
    </xf>
    <xf numFmtId="166" fontId="24" fillId="0" borderId="11" xfId="0" applyNumberFormat="1" applyFont="1" applyBorder="1" applyAlignment="1">
      <alignment horizontal="center"/>
    </xf>
    <xf numFmtId="0" fontId="24" fillId="0" borderId="0" xfId="0" applyFont="1" applyFill="1" applyBorder="1"/>
    <xf numFmtId="2" fontId="58" fillId="0" borderId="0" xfId="0" applyNumberFormat="1" applyFont="1" applyFill="1" applyBorder="1" applyAlignment="1">
      <alignment horizontal="center"/>
    </xf>
    <xf numFmtId="0" fontId="24" fillId="0" borderId="0" xfId="0" applyFont="1" applyFill="1" applyBorder="1" applyAlignment="1">
      <alignment horizontal="center"/>
    </xf>
    <xf numFmtId="0" fontId="24" fillId="0" borderId="14" xfId="0" applyFont="1" applyFill="1" applyBorder="1" applyAlignment="1">
      <alignment horizontal="center"/>
    </xf>
    <xf numFmtId="0" fontId="24" fillId="0" borderId="15" xfId="0" applyFont="1" applyFill="1" applyBorder="1" applyAlignment="1">
      <alignment horizontal="center"/>
    </xf>
    <xf numFmtId="0" fontId="24" fillId="0" borderId="2" xfId="0" applyFont="1" applyFill="1" applyBorder="1" applyAlignment="1">
      <alignment horizontal="center"/>
    </xf>
    <xf numFmtId="2" fontId="58" fillId="0" borderId="8" xfId="0" applyNumberFormat="1" applyFont="1" applyFill="1" applyBorder="1" applyAlignment="1">
      <alignment horizontal="center"/>
    </xf>
    <xf numFmtId="0" fontId="24" fillId="0" borderId="16" xfId="0" applyFont="1" applyFill="1" applyBorder="1" applyAlignment="1">
      <alignment horizontal="center"/>
    </xf>
    <xf numFmtId="0" fontId="24" fillId="0" borderId="9" xfId="0" applyFont="1" applyFill="1" applyBorder="1" applyAlignment="1">
      <alignment horizontal="center"/>
    </xf>
    <xf numFmtId="2" fontId="58" fillId="0" borderId="11" xfId="0" applyNumberFormat="1" applyFont="1" applyFill="1" applyBorder="1" applyAlignment="1">
      <alignment horizontal="center"/>
    </xf>
    <xf numFmtId="0" fontId="24" fillId="0" borderId="17" xfId="0" applyFont="1" applyFill="1" applyBorder="1" applyAlignment="1">
      <alignment horizontal="center"/>
    </xf>
    <xf numFmtId="2" fontId="58" fillId="0" borderId="18" xfId="0" applyNumberFormat="1" applyFont="1" applyFill="1" applyBorder="1" applyAlignment="1">
      <alignment horizontal="center"/>
    </xf>
    <xf numFmtId="2" fontId="58" fillId="0" borderId="13" xfId="0" applyNumberFormat="1" applyFont="1" applyFill="1" applyBorder="1" applyAlignment="1">
      <alignment horizontal="center"/>
    </xf>
    <xf numFmtId="0" fontId="24" fillId="0" borderId="20" xfId="0" applyFont="1" applyFill="1" applyBorder="1" applyAlignment="1">
      <alignment horizontal="left"/>
    </xf>
    <xf numFmtId="1" fontId="58" fillId="33" borderId="8" xfId="0" applyNumberFormat="1" applyFont="1" applyFill="1" applyBorder="1" applyAlignment="1">
      <alignment horizontal="center"/>
    </xf>
    <xf numFmtId="1" fontId="24" fillId="33" borderId="21" xfId="0" applyNumberFormat="1" applyFont="1" applyFill="1" applyBorder="1" applyAlignment="1">
      <alignment horizontal="center"/>
    </xf>
    <xf numFmtId="1" fontId="24" fillId="33" borderId="21" xfId="379" applyNumberFormat="1" applyFont="1" applyFill="1" applyBorder="1" applyAlignment="1">
      <alignment horizontal="center"/>
    </xf>
    <xf numFmtId="1" fontId="58" fillId="33" borderId="11" xfId="0" applyNumberFormat="1" applyFont="1" applyFill="1" applyBorder="1" applyAlignment="1">
      <alignment horizontal="center"/>
    </xf>
    <xf numFmtId="1" fontId="24" fillId="33" borderId="22" xfId="0" applyNumberFormat="1" applyFont="1" applyFill="1" applyBorder="1" applyAlignment="1">
      <alignment horizontal="center"/>
    </xf>
    <xf numFmtId="3" fontId="24" fillId="0" borderId="0" xfId="0" applyNumberFormat="1" applyFont="1" applyFill="1" applyBorder="1" applyAlignment="1">
      <alignment horizontal="center"/>
    </xf>
    <xf numFmtId="0" fontId="24" fillId="0" borderId="0" xfId="0" applyFont="1" applyAlignment="1">
      <alignment horizontal="center"/>
    </xf>
    <xf numFmtId="0" fontId="24" fillId="0" borderId="1" xfId="0" applyFont="1" applyBorder="1"/>
    <xf numFmtId="0" fontId="32" fillId="0" borderId="0" xfId="0" applyFont="1"/>
    <xf numFmtId="0" fontId="24" fillId="0" borderId="25" xfId="0" applyFont="1" applyFill="1" applyBorder="1" applyAlignment="1"/>
    <xf numFmtId="17" fontId="24" fillId="0" borderId="0" xfId="0" applyNumberFormat="1" applyFont="1" applyBorder="1"/>
    <xf numFmtId="0" fontId="24" fillId="0" borderId="0" xfId="0" applyFont="1" applyAlignment="1">
      <alignment horizontal="left"/>
    </xf>
    <xf numFmtId="0" fontId="24" fillId="0" borderId="0" xfId="0" applyFont="1" applyFill="1"/>
    <xf numFmtId="0" fontId="61" fillId="0" borderId="0" xfId="0" applyFont="1" applyBorder="1" applyAlignment="1">
      <alignment horizontal="left" vertical="center"/>
    </xf>
    <xf numFmtId="0" fontId="24" fillId="0" borderId="0" xfId="0" applyFont="1" applyBorder="1"/>
    <xf numFmtId="0" fontId="60" fillId="0" borderId="27" xfId="0" applyFont="1" applyBorder="1" applyAlignment="1">
      <alignment horizontal="center" vertical="center" wrapText="1"/>
    </xf>
    <xf numFmtId="0" fontId="60" fillId="0" borderId="28" xfId="0" applyFont="1" applyBorder="1" applyAlignment="1">
      <alignment horizontal="center" vertical="center" wrapText="1"/>
    </xf>
    <xf numFmtId="0" fontId="62" fillId="0" borderId="28" xfId="0" applyFont="1" applyBorder="1" applyAlignment="1">
      <alignment horizontal="center" vertical="center" wrapText="1"/>
    </xf>
    <xf numFmtId="0" fontId="60" fillId="0" borderId="29" xfId="0" applyFont="1" applyFill="1" applyBorder="1" applyAlignment="1">
      <alignment horizontal="center" vertical="center" wrapText="1"/>
    </xf>
    <xf numFmtId="0" fontId="60" fillId="0" borderId="7" xfId="0" applyFont="1" applyBorder="1" applyAlignment="1">
      <alignment horizontal="center" vertical="center" wrapText="1"/>
    </xf>
    <xf numFmtId="3" fontId="60" fillId="0" borderId="23" xfId="0" applyNumberFormat="1" applyFont="1" applyBorder="1" applyAlignment="1">
      <alignment horizontal="center" vertical="center" wrapText="1"/>
    </xf>
    <xf numFmtId="10" fontId="60" fillId="0" borderId="23" xfId="0" applyNumberFormat="1" applyFont="1" applyBorder="1" applyAlignment="1">
      <alignment horizontal="center" vertical="center" wrapText="1"/>
    </xf>
    <xf numFmtId="3" fontId="60" fillId="0" borderId="1" xfId="0" applyNumberFormat="1" applyFont="1" applyBorder="1" applyAlignment="1">
      <alignment horizontal="center" vertical="center" wrapText="1"/>
    </xf>
    <xf numFmtId="10" fontId="60" fillId="0" borderId="1" xfId="0" applyNumberFormat="1" applyFont="1" applyBorder="1" applyAlignment="1">
      <alignment horizontal="center" vertical="center" wrapText="1"/>
    </xf>
    <xf numFmtId="0" fontId="58" fillId="0" borderId="2" xfId="0" applyFont="1" applyBorder="1" applyAlignment="1">
      <alignment horizontal="center" vertical="center" wrapText="1"/>
    </xf>
    <xf numFmtId="0" fontId="58" fillId="0" borderId="1" xfId="0" applyFont="1" applyBorder="1" applyAlignment="1">
      <alignment horizontal="center" vertical="center" wrapText="1"/>
    </xf>
    <xf numFmtId="10" fontId="58" fillId="0" borderId="1" xfId="0" applyNumberFormat="1" applyFont="1" applyBorder="1" applyAlignment="1">
      <alignment horizontal="center" vertical="center" wrapText="1"/>
    </xf>
    <xf numFmtId="0" fontId="58" fillId="0" borderId="10" xfId="0" applyFont="1" applyBorder="1" applyAlignment="1">
      <alignment horizontal="center" vertical="center" wrapText="1"/>
    </xf>
    <xf numFmtId="10" fontId="58" fillId="0" borderId="10" xfId="0" applyNumberFormat="1" applyFont="1" applyBorder="1" applyAlignment="1">
      <alignment horizontal="center" vertical="center" wrapText="1"/>
    </xf>
    <xf numFmtId="0" fontId="58" fillId="0" borderId="0" xfId="0" applyFont="1" applyBorder="1" applyAlignment="1">
      <alignment horizontal="center" vertical="center" wrapText="1"/>
    </xf>
    <xf numFmtId="3" fontId="58" fillId="0" borderId="0" xfId="0" applyNumberFormat="1" applyFont="1" applyBorder="1" applyAlignment="1">
      <alignment horizontal="center" vertical="center" wrapText="1"/>
    </xf>
    <xf numFmtId="0" fontId="60" fillId="0" borderId="30" xfId="0" applyFont="1" applyFill="1" applyBorder="1" applyAlignment="1">
      <alignment horizontal="center" vertical="center" wrapText="1"/>
    </xf>
    <xf numFmtId="3" fontId="60" fillId="0" borderId="0" xfId="0" applyNumberFormat="1" applyFont="1" applyBorder="1" applyAlignment="1">
      <alignment horizontal="center" vertical="center" wrapText="1"/>
    </xf>
    <xf numFmtId="3" fontId="63" fillId="0" borderId="8" xfId="0" applyNumberFormat="1" applyFont="1" applyBorder="1" applyAlignment="1">
      <alignment horizontal="center" vertical="center" wrapText="1"/>
    </xf>
    <xf numFmtId="3" fontId="63" fillId="0" borderId="11" xfId="0" applyNumberFormat="1" applyFont="1" applyBorder="1" applyAlignment="1">
      <alignment horizontal="center" vertical="center" wrapText="1"/>
    </xf>
    <xf numFmtId="168" fontId="60" fillId="0" borderId="8" xfId="0" applyNumberFormat="1" applyFont="1" applyBorder="1" applyAlignment="1">
      <alignment horizontal="center" vertical="center" wrapText="1"/>
    </xf>
    <xf numFmtId="3" fontId="58" fillId="0" borderId="8" xfId="0" applyNumberFormat="1" applyFont="1" applyBorder="1" applyAlignment="1">
      <alignment horizontal="center" vertical="center" wrapText="1"/>
    </xf>
    <xf numFmtId="0" fontId="60" fillId="0" borderId="31" xfId="0" applyFont="1" applyBorder="1" applyAlignment="1">
      <alignment horizontal="center" vertical="center" wrapText="1"/>
    </xf>
    <xf numFmtId="0" fontId="60" fillId="0" borderId="38" xfId="0" applyFont="1" applyBorder="1" applyAlignment="1">
      <alignment horizontal="center" vertical="center" wrapText="1"/>
    </xf>
    <xf numFmtId="0" fontId="60" fillId="0" borderId="15" xfId="0" applyFont="1" applyBorder="1" applyAlignment="1">
      <alignment horizontal="center" vertical="center" wrapText="1"/>
    </xf>
    <xf numFmtId="0" fontId="58" fillId="0" borderId="16" xfId="0" applyFont="1" applyBorder="1" applyAlignment="1">
      <alignment horizontal="center" vertical="center" wrapText="1"/>
    </xf>
    <xf numFmtId="0" fontId="24" fillId="0" borderId="39" xfId="0" applyFont="1" applyBorder="1"/>
    <xf numFmtId="0" fontId="24" fillId="0" borderId="23" xfId="0" applyFont="1" applyBorder="1"/>
    <xf numFmtId="0" fontId="24" fillId="0" borderId="2" xfId="0" applyFont="1" applyBorder="1"/>
    <xf numFmtId="0" fontId="24" fillId="0" borderId="9" xfId="0" applyFont="1" applyBorder="1"/>
    <xf numFmtId="0" fontId="24" fillId="0" borderId="10" xfId="0" applyFont="1" applyBorder="1"/>
    <xf numFmtId="0" fontId="60" fillId="0" borderId="2"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0" fillId="0" borderId="8" xfId="0" applyFont="1" applyFill="1" applyBorder="1" applyAlignment="1">
      <alignment horizontal="center" vertical="center" wrapText="1"/>
    </xf>
    <xf numFmtId="3" fontId="60" fillId="0" borderId="1" xfId="0" applyNumberFormat="1" applyFont="1" applyFill="1" applyBorder="1" applyAlignment="1">
      <alignment horizontal="center" vertical="center" wrapText="1"/>
    </xf>
    <xf numFmtId="3" fontId="60" fillId="0" borderId="8" xfId="0" applyNumberFormat="1" applyFont="1" applyFill="1" applyBorder="1" applyAlignment="1">
      <alignment horizontal="center" vertical="center" wrapText="1"/>
    </xf>
    <xf numFmtId="3" fontId="60" fillId="0" borderId="10" xfId="0" applyNumberFormat="1" applyFont="1" applyFill="1" applyBorder="1" applyAlignment="1">
      <alignment horizontal="center" vertical="center" wrapText="1"/>
    </xf>
    <xf numFmtId="3" fontId="60" fillId="0" borderId="11" xfId="0" applyNumberFormat="1" applyFont="1" applyFill="1" applyBorder="1" applyAlignment="1">
      <alignment horizontal="center" vertical="center" wrapText="1"/>
    </xf>
    <xf numFmtId="0" fontId="35" fillId="0" borderId="0" xfId="0" applyFont="1" applyFill="1" applyAlignment="1">
      <alignment horizontal="center"/>
    </xf>
    <xf numFmtId="0" fontId="35" fillId="0" borderId="0" xfId="0" applyFont="1" applyFill="1" applyAlignment="1">
      <alignment horizontal="left"/>
    </xf>
    <xf numFmtId="0" fontId="36" fillId="0" borderId="0" xfId="0" applyFont="1" applyFill="1" applyAlignment="1">
      <alignment horizontal="left"/>
    </xf>
    <xf numFmtId="0" fontId="24" fillId="0" borderId="0" xfId="521" applyFont="1"/>
    <xf numFmtId="0" fontId="41" fillId="0" borderId="0" xfId="524" applyFont="1" applyFill="1"/>
    <xf numFmtId="0" fontId="24" fillId="0" borderId="0" xfId="521" applyFont="1" applyAlignment="1">
      <alignment horizontal="left"/>
    </xf>
    <xf numFmtId="0" fontId="41" fillId="0" borderId="0" xfId="524" applyFont="1"/>
    <xf numFmtId="9" fontId="24" fillId="0" borderId="0" xfId="559" applyFont="1" applyFill="1"/>
    <xf numFmtId="9" fontId="41" fillId="0" borderId="0" xfId="524" applyNumberFormat="1" applyFont="1" applyFill="1"/>
    <xf numFmtId="9" fontId="41" fillId="0" borderId="0" xfId="524" applyNumberFormat="1" applyFont="1"/>
    <xf numFmtId="0" fontId="64" fillId="0" borderId="0" xfId="524" applyFont="1"/>
    <xf numFmtId="0" fontId="65" fillId="0" borderId="0" xfId="524" applyFont="1"/>
    <xf numFmtId="0" fontId="24" fillId="0" borderId="39" xfId="521" applyFont="1" applyBorder="1"/>
    <xf numFmtId="0" fontId="24" fillId="0" borderId="26" xfId="521" applyFont="1" applyBorder="1" applyAlignment="1">
      <alignment horizontal="center"/>
    </xf>
    <xf numFmtId="0" fontId="24" fillId="0" borderId="7" xfId="521" applyFont="1" applyBorder="1"/>
    <xf numFmtId="0" fontId="24" fillId="0" borderId="2" xfId="521" applyFont="1" applyBorder="1"/>
    <xf numFmtId="3" fontId="24" fillId="0" borderId="1" xfId="521" applyNumberFormat="1" applyFont="1" applyFill="1" applyBorder="1" applyAlignment="1">
      <alignment horizontal="center"/>
    </xf>
    <xf numFmtId="0" fontId="24" fillId="0" borderId="43" xfId="521" applyFont="1" applyBorder="1"/>
    <xf numFmtId="0" fontId="24" fillId="0" borderId="9" xfId="521" applyFont="1" applyBorder="1"/>
    <xf numFmtId="0" fontId="24" fillId="0" borderId="0" xfId="521" applyFont="1" applyFill="1" applyBorder="1"/>
    <xf numFmtId="1" fontId="24" fillId="0" borderId="0" xfId="521" applyNumberFormat="1" applyFont="1" applyFill="1" applyBorder="1" applyAlignment="1">
      <alignment horizontal="center"/>
    </xf>
    <xf numFmtId="1" fontId="58" fillId="0" borderId="0" xfId="521" applyNumberFormat="1" applyFont="1" applyFill="1" applyBorder="1" applyAlignment="1">
      <alignment horizontal="center"/>
    </xf>
    <xf numFmtId="0" fontId="24" fillId="0" borderId="0" xfId="521" applyFont="1" applyFill="1"/>
    <xf numFmtId="0" fontId="24" fillId="0" borderId="0" xfId="521" applyFont="1" applyFill="1" applyBorder="1" applyAlignment="1">
      <alignment horizontal="center"/>
    </xf>
    <xf numFmtId="3" fontId="24" fillId="0" borderId="0" xfId="521" applyNumberFormat="1" applyFont="1" applyFill="1" applyBorder="1" applyAlignment="1">
      <alignment horizontal="center"/>
    </xf>
    <xf numFmtId="3" fontId="58" fillId="0" borderId="0" xfId="521" applyNumberFormat="1" applyFont="1" applyFill="1" applyBorder="1" applyAlignment="1">
      <alignment horizontal="center"/>
    </xf>
    <xf numFmtId="0" fontId="67" fillId="0" borderId="0" xfId="521" applyFont="1" applyFill="1" applyBorder="1" applyAlignment="1">
      <alignment horizontal="left" vertical="center"/>
    </xf>
    <xf numFmtId="0" fontId="24" fillId="0" borderId="1" xfId="521" applyFont="1" applyBorder="1" applyAlignment="1">
      <alignment horizontal="center"/>
    </xf>
    <xf numFmtId="0" fontId="24" fillId="0" borderId="23" xfId="521" applyFont="1" applyBorder="1" applyAlignment="1">
      <alignment horizontal="center"/>
    </xf>
    <xf numFmtId="0" fontId="68" fillId="0" borderId="0" xfId="0" applyFont="1" applyBorder="1" applyAlignment="1">
      <alignment horizontal="left" vertical="center"/>
    </xf>
    <xf numFmtId="0" fontId="60" fillId="0" borderId="0" xfId="0" applyFont="1" applyFill="1" applyBorder="1" applyAlignment="1">
      <alignment vertical="top"/>
    </xf>
    <xf numFmtId="0" fontId="24" fillId="0" borderId="0" xfId="0" applyFont="1" applyProtection="1"/>
    <xf numFmtId="0" fontId="0" fillId="0" borderId="0" xfId="0" applyAlignment="1">
      <alignment horizontal="center"/>
    </xf>
    <xf numFmtId="0" fontId="39" fillId="0" borderId="0" xfId="0" applyFont="1" applyAlignment="1">
      <alignment horizontal="center" vertical="top"/>
    </xf>
    <xf numFmtId="0" fontId="24" fillId="0" borderId="0" xfId="0" applyFont="1" applyBorder="1" applyAlignment="1" applyProtection="1">
      <alignment vertical="center"/>
    </xf>
    <xf numFmtId="0" fontId="24" fillId="0" borderId="0" xfId="0" applyFont="1" applyFill="1" applyBorder="1" applyAlignment="1" applyProtection="1">
      <alignment vertical="center"/>
    </xf>
    <xf numFmtId="171" fontId="24" fillId="0" borderId="0" xfId="383" applyNumberFormat="1" applyFont="1" applyFill="1" applyBorder="1" applyAlignment="1">
      <alignment horizontal="left"/>
    </xf>
    <xf numFmtId="0" fontId="24" fillId="0" borderId="0" xfId="0" applyFont="1" applyBorder="1" applyProtection="1"/>
    <xf numFmtId="0" fontId="24" fillId="0" borderId="0" xfId="0" applyFont="1" applyAlignment="1" applyProtection="1">
      <alignment vertical="center"/>
    </xf>
    <xf numFmtId="0" fontId="24" fillId="0" borderId="0" xfId="0" applyFont="1" applyFill="1" applyAlignment="1" applyProtection="1">
      <alignment vertical="center"/>
    </xf>
    <xf numFmtId="0" fontId="24" fillId="33" borderId="0" xfId="0" applyFont="1" applyFill="1" applyBorder="1" applyAlignment="1" applyProtection="1">
      <alignment vertical="center"/>
    </xf>
    <xf numFmtId="0" fontId="24" fillId="0" borderId="0" xfId="0" applyFont="1" applyBorder="1" applyAlignment="1">
      <alignment horizontal="center"/>
    </xf>
    <xf numFmtId="0" fontId="60" fillId="0" borderId="0" xfId="0" applyFont="1" applyFill="1" applyBorder="1" applyAlignment="1">
      <alignment horizontal="center" vertical="center" wrapText="1"/>
    </xf>
    <xf numFmtId="3" fontId="63" fillId="0" borderId="0" xfId="0" applyNumberFormat="1" applyFont="1" applyBorder="1" applyAlignment="1">
      <alignment horizontal="center" vertical="center" wrapText="1"/>
    </xf>
    <xf numFmtId="0" fontId="58" fillId="35" borderId="0" xfId="0" applyFont="1" applyFill="1" applyBorder="1" applyAlignment="1">
      <alignment horizontal="center" vertical="center" wrapText="1"/>
    </xf>
    <xf numFmtId="3" fontId="58" fillId="35" borderId="0" xfId="0" applyNumberFormat="1" applyFont="1" applyFill="1" applyBorder="1" applyAlignment="1">
      <alignment horizontal="center" vertical="center" wrapText="1"/>
    </xf>
    <xf numFmtId="10" fontId="58" fillId="35" borderId="0" xfId="0" applyNumberFormat="1" applyFont="1" applyFill="1" applyBorder="1" applyAlignment="1">
      <alignment horizontal="center" vertical="center" wrapText="1"/>
    </xf>
    <xf numFmtId="3" fontId="58" fillId="35" borderId="0" xfId="0" applyNumberFormat="1" applyFont="1" applyFill="1" applyBorder="1" applyAlignment="1">
      <alignment horizontal="left" vertical="center"/>
    </xf>
    <xf numFmtId="0" fontId="24" fillId="35" borderId="0" xfId="0" applyFont="1" applyFill="1"/>
    <xf numFmtId="0" fontId="24" fillId="35" borderId="0" xfId="0" applyFont="1" applyFill="1" applyBorder="1"/>
    <xf numFmtId="0" fontId="68" fillId="0" borderId="0" xfId="0" applyFont="1" applyFill="1" applyBorder="1" applyAlignment="1">
      <alignment horizontal="left" vertical="center"/>
    </xf>
    <xf numFmtId="0" fontId="65" fillId="0" borderId="0" xfId="0" applyFont="1" applyAlignment="1" applyProtection="1">
      <alignment horizontal="left" vertical="center"/>
    </xf>
    <xf numFmtId="0" fontId="24" fillId="0" borderId="0" xfId="0" applyFont="1" applyAlignment="1" applyProtection="1">
      <alignment horizontal="left" vertical="center"/>
    </xf>
    <xf numFmtId="0" fontId="24" fillId="0" borderId="0" xfId="0" applyFont="1" applyAlignment="1" applyProtection="1">
      <alignment horizontal="left"/>
    </xf>
    <xf numFmtId="0" fontId="24" fillId="0" borderId="0" xfId="0" applyFont="1" applyAlignment="1">
      <alignment horizontal="left" indent="1"/>
    </xf>
    <xf numFmtId="49" fontId="24" fillId="33" borderId="0" xfId="383" applyNumberFormat="1" applyFont="1" applyFill="1" applyBorder="1" applyAlignment="1">
      <alignment horizontal="center"/>
    </xf>
    <xf numFmtId="49" fontId="24" fillId="0" borderId="0" xfId="383" applyNumberFormat="1" applyFont="1" applyFill="1" applyBorder="1" applyAlignment="1">
      <alignment horizontal="center"/>
    </xf>
    <xf numFmtId="0" fontId="24" fillId="0" borderId="0" xfId="0" applyFont="1" applyFill="1" applyAlignment="1">
      <alignment horizontal="center"/>
    </xf>
    <xf numFmtId="0" fontId="40" fillId="0" borderId="0" xfId="0" applyFont="1" applyAlignment="1">
      <alignment horizontal="left" vertical="top"/>
    </xf>
    <xf numFmtId="3" fontId="58" fillId="0" borderId="1" xfId="0" applyNumberFormat="1" applyFont="1" applyBorder="1" applyAlignment="1">
      <alignment horizontal="center" vertical="center" wrapText="1"/>
    </xf>
    <xf numFmtId="3" fontId="58" fillId="0" borderId="10" xfId="0" applyNumberFormat="1" applyFont="1" applyBorder="1" applyAlignment="1">
      <alignment horizontal="center" vertical="center" wrapText="1"/>
    </xf>
    <xf numFmtId="0" fontId="31" fillId="37" borderId="52" xfId="0" applyFont="1" applyFill="1" applyBorder="1" applyAlignment="1">
      <alignment horizontal="center"/>
    </xf>
    <xf numFmtId="0" fontId="24" fillId="0" borderId="38" xfId="0" applyFont="1" applyFill="1" applyBorder="1" applyAlignment="1">
      <alignment horizontal="center"/>
    </xf>
    <xf numFmtId="49" fontId="24" fillId="0" borderId="15" xfId="0" applyNumberFormat="1" applyFont="1" applyFill="1" applyBorder="1" applyAlignment="1">
      <alignment horizontal="center"/>
    </xf>
    <xf numFmtId="49" fontId="31" fillId="0" borderId="9" xfId="516" applyNumberFormat="1" applyFont="1" applyFill="1" applyBorder="1" applyAlignment="1">
      <alignment horizontal="center"/>
    </xf>
    <xf numFmtId="49" fontId="31" fillId="0" borderId="2" xfId="516" applyNumberFormat="1" applyFont="1" applyFill="1" applyBorder="1" applyAlignment="1">
      <alignment horizontal="center"/>
    </xf>
    <xf numFmtId="0" fontId="24" fillId="0" borderId="23" xfId="0" applyFont="1" applyFill="1" applyBorder="1" applyAlignment="1">
      <alignment horizontal="center"/>
    </xf>
    <xf numFmtId="0" fontId="24" fillId="0" borderId="4" xfId="0" applyFont="1" applyBorder="1" applyAlignment="1">
      <alignment horizontal="center" wrapText="1"/>
    </xf>
    <xf numFmtId="1" fontId="24" fillId="0" borderId="23" xfId="0" applyNumberFormat="1" applyFont="1" applyFill="1" applyBorder="1" applyAlignment="1">
      <alignment horizontal="center"/>
    </xf>
    <xf numFmtId="0" fontId="24" fillId="0" borderId="30" xfId="0" applyFont="1" applyFill="1" applyBorder="1" applyAlignment="1">
      <alignment horizontal="center"/>
    </xf>
    <xf numFmtId="166" fontId="24" fillId="0" borderId="1" xfId="0" applyNumberFormat="1" applyFont="1" applyFill="1" applyBorder="1" applyAlignment="1">
      <alignment horizontal="center"/>
    </xf>
    <xf numFmtId="166" fontId="24" fillId="0" borderId="8" xfId="0" applyNumberFormat="1" applyFont="1" applyFill="1" applyBorder="1" applyAlignment="1">
      <alignment horizontal="center"/>
    </xf>
    <xf numFmtId="17" fontId="24" fillId="0" borderId="23" xfId="0" applyNumberFormat="1" applyFont="1" applyBorder="1" applyAlignment="1">
      <alignment horizontal="center"/>
    </xf>
    <xf numFmtId="17" fontId="24" fillId="0" borderId="0" xfId="0" applyNumberFormat="1" applyFont="1" applyBorder="1" applyAlignment="1">
      <alignment horizontal="center"/>
    </xf>
    <xf numFmtId="0" fontId="31" fillId="0" borderId="0" xfId="0" applyFont="1"/>
    <xf numFmtId="49" fontId="60" fillId="0" borderId="7" xfId="0" applyNumberFormat="1" applyFont="1" applyBorder="1" applyAlignment="1">
      <alignment horizontal="center" vertical="center" wrapText="1"/>
    </xf>
    <xf numFmtId="49" fontId="58" fillId="0" borderId="7" xfId="0" applyNumberFormat="1" applyFont="1" applyBorder="1" applyAlignment="1">
      <alignment horizontal="center" vertical="center" wrapText="1"/>
    </xf>
    <xf numFmtId="49" fontId="58" fillId="0" borderId="27" xfId="0" applyNumberFormat="1" applyFont="1" applyBorder="1" applyAlignment="1">
      <alignment horizontal="center" vertical="center" wrapText="1"/>
    </xf>
    <xf numFmtId="49" fontId="58" fillId="0" borderId="2" xfId="0" applyNumberFormat="1" applyFont="1" applyBorder="1" applyAlignment="1">
      <alignment horizontal="center" vertical="center" wrapText="1"/>
    </xf>
    <xf numFmtId="1" fontId="24" fillId="0" borderId="0" xfId="0" applyNumberFormat="1" applyFont="1"/>
    <xf numFmtId="168" fontId="60" fillId="0" borderId="0" xfId="0" applyNumberFormat="1" applyFont="1" applyBorder="1" applyAlignment="1">
      <alignment horizontal="center" vertical="center" wrapText="1"/>
    </xf>
    <xf numFmtId="168" fontId="30" fillId="0" borderId="0" xfId="0" applyNumberFormat="1" applyFont="1" applyBorder="1" applyAlignment="1">
      <alignment horizontal="center" vertical="center" wrapText="1"/>
    </xf>
    <xf numFmtId="0" fontId="69" fillId="0" borderId="0" xfId="0" applyFont="1" applyBorder="1" applyAlignment="1">
      <alignment horizontal="center" vertical="center" wrapText="1"/>
    </xf>
    <xf numFmtId="0" fontId="69" fillId="0" borderId="0" xfId="0" applyFont="1" applyFill="1" applyBorder="1" applyAlignment="1">
      <alignment horizontal="center" vertical="center" wrapText="1"/>
    </xf>
    <xf numFmtId="9" fontId="60" fillId="0" borderId="1" xfId="557" applyFont="1" applyFill="1" applyBorder="1" applyAlignment="1">
      <alignment horizontal="center" vertical="center" wrapText="1"/>
    </xf>
    <xf numFmtId="9" fontId="58" fillId="0" borderId="1" xfId="557" applyFont="1" applyFill="1" applyBorder="1" applyAlignment="1">
      <alignment horizontal="center" vertical="center" wrapText="1"/>
    </xf>
    <xf numFmtId="9" fontId="58" fillId="0" borderId="10" xfId="557" applyFont="1" applyFill="1" applyBorder="1" applyAlignment="1">
      <alignment horizontal="center" vertical="center" wrapText="1"/>
    </xf>
    <xf numFmtId="3" fontId="30" fillId="0" borderId="1" xfId="0" applyNumberFormat="1" applyFont="1" applyBorder="1" applyAlignment="1">
      <alignment horizontal="center" vertical="center" wrapText="1"/>
    </xf>
    <xf numFmtId="49" fontId="60" fillId="0" borderId="2" xfId="0" applyNumberFormat="1" applyFont="1" applyBorder="1" applyAlignment="1">
      <alignment horizontal="center" vertical="center" wrapText="1"/>
    </xf>
    <xf numFmtId="168" fontId="30" fillId="0" borderId="8" xfId="0" applyNumberFormat="1" applyFont="1" applyBorder="1" applyAlignment="1">
      <alignment horizontal="center" vertical="center" wrapText="1"/>
    </xf>
    <xf numFmtId="0" fontId="24" fillId="0" borderId="9" xfId="0" applyFont="1" applyBorder="1" applyAlignment="1">
      <alignment horizontal="center"/>
    </xf>
    <xf numFmtId="0" fontId="24" fillId="0" borderId="10" xfId="0" applyFont="1" applyBorder="1" applyAlignment="1">
      <alignment horizontal="center"/>
    </xf>
    <xf numFmtId="0" fontId="24" fillId="0" borderId="11" xfId="0" applyFont="1" applyBorder="1"/>
    <xf numFmtId="49" fontId="24" fillId="0" borderId="42" xfId="0" applyNumberFormat="1" applyFont="1" applyBorder="1" applyAlignment="1">
      <alignment horizontal="center"/>
    </xf>
    <xf numFmtId="49" fontId="24" fillId="0" borderId="26" xfId="0" applyNumberFormat="1" applyFont="1" applyBorder="1" applyAlignment="1">
      <alignment horizontal="center"/>
    </xf>
    <xf numFmtId="0" fontId="24" fillId="0" borderId="43" xfId="0" applyFont="1" applyBorder="1"/>
    <xf numFmtId="0" fontId="24" fillId="0" borderId="44" xfId="0" applyFont="1" applyBorder="1"/>
    <xf numFmtId="49" fontId="24" fillId="0" borderId="43" xfId="0" applyNumberFormat="1" applyFont="1" applyBorder="1"/>
    <xf numFmtId="169" fontId="24" fillId="0" borderId="23" xfId="379" applyNumberFormat="1" applyFont="1" applyFill="1" applyBorder="1" applyAlignment="1">
      <alignment horizontal="center"/>
    </xf>
    <xf numFmtId="169" fontId="24" fillId="0" borderId="1" xfId="379" applyNumberFormat="1" applyFont="1" applyFill="1" applyBorder="1" applyAlignment="1">
      <alignment horizontal="center"/>
    </xf>
    <xf numFmtId="0" fontId="24" fillId="0" borderId="19" xfId="0" applyFont="1" applyFill="1" applyBorder="1"/>
    <xf numFmtId="49" fontId="24" fillId="0" borderId="2" xfId="0" applyNumberFormat="1" applyFont="1" applyFill="1" applyBorder="1" applyAlignment="1">
      <alignment horizontal="center" vertical="center" wrapText="1"/>
    </xf>
    <xf numFmtId="49" fontId="58" fillId="0" borderId="2" xfId="0" applyNumberFormat="1" applyFont="1" applyFill="1" applyBorder="1" applyAlignment="1">
      <alignment horizontal="center" vertical="center" wrapText="1"/>
    </xf>
    <xf numFmtId="49" fontId="58" fillId="0" borderId="9" xfId="0" applyNumberFormat="1" applyFont="1" applyFill="1" applyBorder="1" applyAlignment="1">
      <alignment horizontal="center" vertical="center" wrapText="1"/>
    </xf>
    <xf numFmtId="0" fontId="58" fillId="0" borderId="0" xfId="0" applyFont="1"/>
    <xf numFmtId="0" fontId="24" fillId="0" borderId="44" xfId="521" applyFont="1" applyBorder="1" applyAlignment="1">
      <alignment horizontal="center"/>
    </xf>
    <xf numFmtId="0" fontId="24" fillId="0" borderId="10" xfId="521" applyFont="1" applyBorder="1" applyAlignment="1">
      <alignment horizontal="center"/>
    </xf>
    <xf numFmtId="0" fontId="24" fillId="0" borderId="0" xfId="521" applyFont="1" applyAlignment="1">
      <alignment horizontal="center"/>
    </xf>
    <xf numFmtId="49" fontId="24" fillId="0" borderId="26" xfId="521" applyNumberFormat="1" applyFont="1" applyBorder="1" applyAlignment="1">
      <alignment horizontal="center"/>
    </xf>
    <xf numFmtId="2" fontId="24" fillId="0" borderId="26" xfId="521" applyNumberFormat="1" applyFont="1" applyBorder="1" applyAlignment="1">
      <alignment horizontal="center"/>
    </xf>
    <xf numFmtId="2" fontId="24" fillId="0" borderId="42" xfId="521" applyNumberFormat="1" applyFont="1" applyBorder="1" applyAlignment="1">
      <alignment horizontal="center"/>
    </xf>
    <xf numFmtId="0" fontId="24" fillId="0" borderId="26" xfId="521" applyNumberFormat="1" applyFont="1" applyBorder="1" applyAlignment="1">
      <alignment horizontal="center"/>
    </xf>
    <xf numFmtId="0" fontId="31" fillId="0" borderId="43" xfId="0" applyFont="1" applyBorder="1"/>
    <xf numFmtId="0" fontId="31" fillId="0" borderId="44" xfId="0" applyFont="1" applyBorder="1"/>
    <xf numFmtId="0" fontId="31" fillId="0" borderId="9" xfId="0" applyFont="1" applyBorder="1"/>
    <xf numFmtId="0" fontId="31" fillId="0" borderId="10" xfId="0" applyFont="1" applyBorder="1"/>
    <xf numFmtId="0" fontId="42" fillId="0" borderId="0" xfId="0" applyFont="1" applyFill="1" applyBorder="1"/>
    <xf numFmtId="0" fontId="60" fillId="0" borderId="28" xfId="0" applyFont="1" applyBorder="1" applyAlignment="1">
      <alignment horizontal="center" wrapText="1"/>
    </xf>
    <xf numFmtId="0" fontId="31" fillId="0" borderId="39" xfId="0" applyFont="1" applyBorder="1" applyAlignment="1">
      <alignment horizontal="center"/>
    </xf>
    <xf numFmtId="43" fontId="24" fillId="0" borderId="1" xfId="379" applyFont="1" applyFill="1" applyBorder="1"/>
    <xf numFmtId="166" fontId="24" fillId="0" borderId="26" xfId="0" applyNumberFormat="1" applyFont="1" applyBorder="1"/>
    <xf numFmtId="1" fontId="24" fillId="33" borderId="21" xfId="0" applyNumberFormat="1" applyFont="1" applyFill="1" applyBorder="1" applyAlignment="1">
      <alignment horizontal="center"/>
    </xf>
    <xf numFmtId="3" fontId="60" fillId="0" borderId="1" xfId="0" applyNumberFormat="1" applyFont="1" applyBorder="1" applyAlignment="1">
      <alignment horizontal="center" vertical="center" wrapText="1"/>
    </xf>
    <xf numFmtId="173" fontId="41" fillId="0" borderId="0" xfId="524" applyNumberFormat="1" applyFont="1"/>
    <xf numFmtId="174" fontId="41" fillId="0" borderId="0" xfId="524" applyNumberFormat="1" applyFont="1"/>
    <xf numFmtId="0" fontId="24" fillId="0" borderId="67" xfId="521" applyFont="1" applyBorder="1"/>
    <xf numFmtId="0" fontId="24" fillId="0" borderId="56" xfId="521" applyFont="1" applyBorder="1"/>
    <xf numFmtId="0" fontId="24" fillId="0" borderId="21" xfId="521" applyFont="1" applyBorder="1"/>
    <xf numFmtId="49" fontId="24" fillId="0" borderId="21" xfId="521" applyNumberFormat="1" applyFont="1" applyBorder="1"/>
    <xf numFmtId="0" fontId="24" fillId="0" borderId="17" xfId="521" applyFont="1" applyBorder="1"/>
    <xf numFmtId="0" fontId="24" fillId="0" borderId="22" xfId="521" applyFont="1" applyBorder="1"/>
    <xf numFmtId="175" fontId="41" fillId="0" borderId="0" xfId="379" applyNumberFormat="1" applyFont="1"/>
    <xf numFmtId="0" fontId="30" fillId="0" borderId="2" xfId="0" quotePrefix="1" applyFont="1" applyBorder="1" applyAlignment="1">
      <alignment horizontal="center" vertical="center" wrapText="1"/>
    </xf>
    <xf numFmtId="170" fontId="24" fillId="0" borderId="0" xfId="379" applyNumberFormat="1" applyFont="1" applyFill="1" applyBorder="1" applyAlignment="1">
      <alignment horizontal="center"/>
    </xf>
    <xf numFmtId="170" fontId="58" fillId="0" borderId="0" xfId="379" applyNumberFormat="1" applyFont="1" applyFill="1" applyBorder="1" applyAlignment="1">
      <alignment horizontal="center"/>
    </xf>
    <xf numFmtId="169" fontId="24" fillId="0" borderId="0" xfId="379" applyNumberFormat="1" applyFont="1"/>
    <xf numFmtId="166" fontId="24" fillId="0" borderId="53" xfId="0" applyNumberFormat="1" applyFont="1" applyFill="1" applyBorder="1" applyAlignment="1">
      <alignment horizontal="center"/>
    </xf>
    <xf numFmtId="169" fontId="24" fillId="0" borderId="2" xfId="379" applyNumberFormat="1" applyFont="1" applyBorder="1"/>
    <xf numFmtId="0" fontId="24" fillId="0" borderId="8" xfId="0" applyFont="1" applyBorder="1"/>
    <xf numFmtId="169" fontId="24" fillId="0" borderId="9" xfId="379" applyNumberFormat="1" applyFont="1" applyBorder="1"/>
    <xf numFmtId="166" fontId="24" fillId="0" borderId="11" xfId="0" applyNumberFormat="1" applyFont="1" applyFill="1" applyBorder="1" applyAlignment="1">
      <alignment horizontal="center"/>
    </xf>
    <xf numFmtId="0" fontId="31" fillId="0" borderId="1" xfId="0" applyFont="1" applyFill="1" applyBorder="1" applyAlignment="1" applyProtection="1">
      <alignment horizontal="center" wrapText="1"/>
      <protection locked="0"/>
    </xf>
    <xf numFmtId="0" fontId="24" fillId="0" borderId="0" xfId="0" applyFont="1" applyProtection="1">
      <protection locked="0"/>
    </xf>
    <xf numFmtId="0" fontId="24" fillId="0" borderId="0" xfId="0" applyFont="1" applyAlignment="1" applyProtection="1">
      <alignment horizontal="center"/>
      <protection locked="0"/>
    </xf>
    <xf numFmtId="0" fontId="40" fillId="0" borderId="0" xfId="0" applyFont="1" applyAlignment="1" applyProtection="1">
      <alignment horizontal="left"/>
      <protection locked="0"/>
    </xf>
    <xf numFmtId="0" fontId="24" fillId="0" borderId="0" xfId="0" applyFont="1" applyBorder="1" applyProtection="1">
      <protection locked="0"/>
    </xf>
    <xf numFmtId="0" fontId="31" fillId="0" borderId="0" xfId="0" applyFont="1" applyBorder="1" applyAlignment="1" applyProtection="1">
      <alignment horizontal="center" wrapText="1"/>
      <protection locked="0"/>
    </xf>
    <xf numFmtId="0" fontId="24" fillId="0" borderId="1" xfId="0" applyFont="1" applyBorder="1" applyAlignment="1" applyProtection="1">
      <alignment horizontal="center"/>
      <protection locked="0"/>
    </xf>
    <xf numFmtId="49" fontId="24" fillId="0" borderId="1" xfId="0" applyNumberFormat="1" applyFont="1" applyBorder="1" applyAlignment="1" applyProtection="1">
      <alignment horizontal="center"/>
      <protection locked="0"/>
    </xf>
    <xf numFmtId="2" fontId="24" fillId="33" borderId="23" xfId="379" applyNumberFormat="1" applyFont="1" applyFill="1" applyBorder="1" applyAlignment="1" applyProtection="1">
      <alignment horizontal="center"/>
      <protection locked="0"/>
    </xf>
    <xf numFmtId="2" fontId="24" fillId="33" borderId="1" xfId="379" applyNumberFormat="1" applyFont="1" applyFill="1" applyBorder="1" applyAlignment="1" applyProtection="1">
      <alignment horizontal="center"/>
      <protection locked="0"/>
    </xf>
    <xf numFmtId="17" fontId="24" fillId="0" borderId="0" xfId="0" applyNumberFormat="1" applyFont="1" applyBorder="1" applyAlignment="1" applyProtection="1">
      <alignment horizontal="center"/>
      <protection locked="0"/>
    </xf>
    <xf numFmtId="49" fontId="24" fillId="0" borderId="1" xfId="0" applyNumberFormat="1" applyFont="1" applyBorder="1" applyAlignment="1" applyProtection="1">
      <alignment horizontal="center" wrapText="1"/>
      <protection locked="0"/>
    </xf>
    <xf numFmtId="0" fontId="31" fillId="33" borderId="1" xfId="0" applyFont="1" applyFill="1" applyBorder="1" applyAlignment="1" applyProtection="1">
      <alignment horizontal="center" wrapText="1"/>
      <protection locked="0"/>
    </xf>
    <xf numFmtId="169" fontId="24" fillId="33" borderId="23" xfId="379" applyNumberFormat="1" applyFont="1" applyFill="1" applyBorder="1" applyAlignment="1" applyProtection="1">
      <alignment horizontal="center"/>
      <protection locked="0"/>
    </xf>
    <xf numFmtId="0" fontId="72" fillId="0" borderId="0" xfId="0" applyFont="1" applyAlignment="1" applyProtection="1">
      <alignment horizontal="center"/>
      <protection locked="0"/>
    </xf>
    <xf numFmtId="0" fontId="71" fillId="0" borderId="0" xfId="0" applyFont="1" applyAlignment="1" applyProtection="1">
      <alignment horizontal="center"/>
      <protection locked="0"/>
    </xf>
    <xf numFmtId="0" fontId="71" fillId="0" borderId="1" xfId="0" applyFont="1" applyBorder="1" applyAlignment="1" applyProtection="1">
      <alignment horizontal="center"/>
      <protection locked="0"/>
    </xf>
    <xf numFmtId="166" fontId="24" fillId="0" borderId="30" xfId="0" applyNumberFormat="1" applyFont="1" applyBorder="1" applyAlignment="1">
      <alignment horizontal="center"/>
    </xf>
    <xf numFmtId="166" fontId="24" fillId="0" borderId="29" xfId="0" applyNumberFormat="1" applyFont="1" applyBorder="1" applyAlignment="1">
      <alignment horizontal="center"/>
    </xf>
    <xf numFmtId="0" fontId="0" fillId="0" borderId="0" xfId="0" applyProtection="1">
      <protection locked="0"/>
    </xf>
    <xf numFmtId="0" fontId="68" fillId="0" borderId="0" xfId="0" applyFont="1" applyBorder="1" applyAlignment="1" applyProtection="1">
      <alignment horizontal="left" vertical="center"/>
      <protection locked="0"/>
    </xf>
    <xf numFmtId="0" fontId="24" fillId="0" borderId="44" xfId="0" applyFont="1" applyBorder="1" applyAlignment="1" applyProtection="1">
      <alignment horizontal="center"/>
      <protection locked="0"/>
    </xf>
    <xf numFmtId="0" fontId="31" fillId="0" borderId="44" xfId="0" applyFont="1" applyBorder="1" applyAlignment="1" applyProtection="1">
      <alignment horizontal="center" wrapText="1"/>
      <protection locked="0"/>
    </xf>
    <xf numFmtId="0" fontId="31" fillId="0" borderId="44" xfId="0" applyFont="1" applyFill="1" applyBorder="1" applyAlignment="1" applyProtection="1">
      <alignment horizontal="center" wrapText="1"/>
      <protection locked="0"/>
    </xf>
    <xf numFmtId="0" fontId="24" fillId="0" borderId="69" xfId="0" applyFont="1" applyBorder="1" applyProtection="1">
      <protection locked="0"/>
    </xf>
    <xf numFmtId="0" fontId="24" fillId="0" borderId="0" xfId="0" applyFont="1" applyFill="1" applyProtection="1">
      <protection locked="0"/>
    </xf>
    <xf numFmtId="0" fontId="24" fillId="0" borderId="50" xfId="0" applyFont="1" applyBorder="1" applyAlignment="1" applyProtection="1">
      <alignment horizontal="center"/>
      <protection locked="0"/>
    </xf>
    <xf numFmtId="17" fontId="24" fillId="0" borderId="23" xfId="0" applyNumberFormat="1" applyFont="1" applyBorder="1" applyAlignment="1" applyProtection="1">
      <alignment horizontal="center"/>
      <protection locked="0"/>
    </xf>
    <xf numFmtId="2" fontId="24" fillId="0" borderId="23" xfId="379" applyNumberFormat="1" applyFont="1" applyFill="1" applyBorder="1" applyAlignment="1" applyProtection="1">
      <alignment horizontal="center"/>
      <protection locked="0"/>
    </xf>
    <xf numFmtId="169" fontId="24" fillId="0" borderId="23" xfId="379" applyNumberFormat="1" applyFont="1" applyFill="1" applyBorder="1" applyAlignment="1" applyProtection="1">
      <alignment horizontal="center"/>
      <protection locked="0"/>
    </xf>
    <xf numFmtId="0" fontId="24" fillId="0" borderId="23" xfId="0" applyFont="1" applyFill="1" applyBorder="1" applyProtection="1">
      <protection locked="0"/>
    </xf>
    <xf numFmtId="169" fontId="24" fillId="33" borderId="1" xfId="379" applyNumberFormat="1" applyFont="1" applyFill="1" applyBorder="1" applyAlignment="1" applyProtection="1">
      <alignment horizontal="center"/>
      <protection locked="0"/>
    </xf>
    <xf numFmtId="0" fontId="24" fillId="0" borderId="1" xfId="0" applyFont="1" applyFill="1" applyBorder="1" applyProtection="1">
      <protection locked="0"/>
    </xf>
    <xf numFmtId="43" fontId="24" fillId="0" borderId="1" xfId="379" applyFont="1" applyFill="1" applyBorder="1" applyProtection="1">
      <protection locked="0"/>
    </xf>
    <xf numFmtId="0" fontId="28" fillId="0" borderId="0" xfId="0" applyFont="1" applyProtection="1">
      <protection locked="0"/>
    </xf>
    <xf numFmtId="43" fontId="24" fillId="0" borderId="1" xfId="379" applyFont="1" applyBorder="1" applyAlignment="1" applyProtection="1">
      <alignment horizontal="center"/>
      <protection locked="0"/>
    </xf>
    <xf numFmtId="10" fontId="24" fillId="0" borderId="1" xfId="557" applyNumberFormat="1" applyFont="1" applyBorder="1" applyAlignment="1" applyProtection="1">
      <alignment horizontal="center"/>
      <protection locked="0"/>
    </xf>
    <xf numFmtId="0" fontId="33" fillId="0" borderId="0" xfId="0" applyFont="1" applyAlignment="1" applyProtection="1">
      <alignment horizontal="center"/>
      <protection locked="0"/>
    </xf>
    <xf numFmtId="0" fontId="33" fillId="0" borderId="0" xfId="0" quotePrefix="1" applyFont="1" applyAlignment="1" applyProtection="1">
      <alignment horizontal="center"/>
      <protection locked="0"/>
    </xf>
    <xf numFmtId="9" fontId="24" fillId="0" borderId="0" xfId="557" applyFont="1" applyProtection="1">
      <protection locked="0"/>
    </xf>
    <xf numFmtId="0" fontId="31" fillId="0" borderId="0" xfId="0" applyFont="1" applyProtection="1">
      <protection locked="0"/>
    </xf>
    <xf numFmtId="10" fontId="31" fillId="0" borderId="0" xfId="0" applyNumberFormat="1" applyFont="1" applyAlignment="1" applyProtection="1">
      <alignment horizontal="center"/>
      <protection locked="0"/>
    </xf>
    <xf numFmtId="0" fontId="34" fillId="0" borderId="0" xfId="0" applyFont="1" applyAlignment="1" applyProtection="1">
      <alignment horizontal="left" indent="1"/>
      <protection locked="0"/>
    </xf>
    <xf numFmtId="17" fontId="24" fillId="0" borderId="0" xfId="0" applyNumberFormat="1" applyFont="1" applyBorder="1" applyProtection="1">
      <protection locked="0"/>
    </xf>
    <xf numFmtId="176" fontId="24" fillId="0" borderId="0" xfId="379" applyNumberFormat="1" applyFont="1" applyBorder="1" applyProtection="1">
      <protection locked="0"/>
    </xf>
    <xf numFmtId="172" fontId="24" fillId="0" borderId="0" xfId="379" applyNumberFormat="1" applyFont="1" applyBorder="1" applyProtection="1">
      <protection locked="0"/>
    </xf>
    <xf numFmtId="9" fontId="24" fillId="0" borderId="0" xfId="0" applyNumberFormat="1" applyFont="1" applyProtection="1">
      <protection locked="0"/>
    </xf>
    <xf numFmtId="0" fontId="31" fillId="33" borderId="44" xfId="0" applyFont="1" applyFill="1" applyBorder="1" applyAlignment="1" applyProtection="1">
      <alignment horizontal="center" wrapText="1"/>
    </xf>
    <xf numFmtId="0" fontId="31" fillId="33" borderId="26" xfId="0" applyFont="1" applyFill="1" applyBorder="1" applyAlignment="1" applyProtection="1">
      <alignment horizontal="center" wrapText="1"/>
    </xf>
    <xf numFmtId="0" fontId="0" fillId="0" borderId="0" xfId="0" applyFill="1" applyBorder="1" applyAlignment="1"/>
    <xf numFmtId="0" fontId="0" fillId="0" borderId="25" xfId="0" applyFill="1" applyBorder="1" applyAlignment="1"/>
    <xf numFmtId="0" fontId="75" fillId="0" borderId="24" xfId="0" applyFont="1" applyFill="1" applyBorder="1" applyAlignment="1">
      <alignment horizontal="center"/>
    </xf>
    <xf numFmtId="0" fontId="75" fillId="0" borderId="24" xfId="0" applyFont="1" applyFill="1" applyBorder="1" applyAlignment="1">
      <alignment horizontal="centerContinuous"/>
    </xf>
    <xf numFmtId="3" fontId="24" fillId="0" borderId="0" xfId="0" applyNumberFormat="1" applyFont="1"/>
    <xf numFmtId="43" fontId="24" fillId="0" borderId="0" xfId="0" applyNumberFormat="1" applyFont="1" applyAlignment="1">
      <alignment horizontal="center"/>
    </xf>
    <xf numFmtId="0" fontId="31" fillId="0" borderId="19" xfId="0" applyFont="1" applyFill="1" applyBorder="1" applyAlignment="1">
      <alignment horizontal="center"/>
    </xf>
    <xf numFmtId="3" fontId="58" fillId="0" borderId="10" xfId="0" applyNumberFormat="1" applyFont="1" applyBorder="1" applyAlignment="1">
      <alignment horizontal="center" vertical="center" wrapText="1"/>
    </xf>
    <xf numFmtId="3" fontId="58" fillId="0" borderId="1" xfId="0" applyNumberFormat="1" applyFont="1" applyBorder="1" applyAlignment="1">
      <alignment horizontal="center" vertical="center" wrapText="1"/>
    </xf>
    <xf numFmtId="3" fontId="58" fillId="0" borderId="50" xfId="0" applyNumberFormat="1" applyFont="1" applyBorder="1" applyAlignment="1">
      <alignment horizontal="center" vertical="center" wrapText="1"/>
    </xf>
    <xf numFmtId="0" fontId="60" fillId="0" borderId="23" xfId="0" applyFont="1" applyBorder="1" applyAlignment="1">
      <alignment horizontal="center" vertical="center" wrapText="1"/>
    </xf>
    <xf numFmtId="3" fontId="58" fillId="0" borderId="1" xfId="0" applyNumberFormat="1" applyFont="1" applyBorder="1" applyAlignment="1">
      <alignment horizontal="center" vertical="center" wrapText="1"/>
    </xf>
    <xf numFmtId="0" fontId="24" fillId="0" borderId="39" xfId="0" applyFont="1" applyFill="1" applyBorder="1" applyAlignment="1">
      <alignment horizontal="left"/>
    </xf>
    <xf numFmtId="2" fontId="58" fillId="0" borderId="42" xfId="0" applyNumberFormat="1" applyFont="1" applyFill="1" applyBorder="1" applyAlignment="1">
      <alignment horizontal="center"/>
    </xf>
    <xf numFmtId="0" fontId="24" fillId="0" borderId="67" xfId="0" applyFont="1" applyFill="1" applyBorder="1" applyAlignment="1">
      <alignment horizontal="left"/>
    </xf>
    <xf numFmtId="0" fontId="24" fillId="0" borderId="26" xfId="0" applyFont="1" applyFill="1" applyBorder="1" applyAlignment="1">
      <alignment horizontal="center"/>
    </xf>
    <xf numFmtId="0" fontId="31" fillId="0" borderId="72" xfId="0" applyFont="1" applyBorder="1" applyAlignment="1">
      <alignment wrapText="1"/>
    </xf>
    <xf numFmtId="0" fontId="31" fillId="0" borderId="72" xfId="0" applyFont="1" applyBorder="1" applyAlignment="1">
      <alignment horizontal="center" wrapText="1"/>
    </xf>
    <xf numFmtId="0" fontId="24" fillId="37" borderId="73" xfId="0" applyFont="1" applyFill="1" applyBorder="1" applyAlignment="1">
      <alignment wrapText="1"/>
    </xf>
    <xf numFmtId="0" fontId="31" fillId="37" borderId="74" xfId="0" applyFont="1" applyFill="1" applyBorder="1" applyAlignment="1">
      <alignment horizontal="center"/>
    </xf>
    <xf numFmtId="0" fontId="31" fillId="37" borderId="75" xfId="0" applyFont="1" applyFill="1" applyBorder="1" applyAlignment="1">
      <alignment horizontal="center"/>
    </xf>
    <xf numFmtId="0" fontId="24" fillId="37" borderId="76" xfId="0" applyFont="1" applyFill="1" applyBorder="1" applyAlignment="1">
      <alignment wrapText="1"/>
    </xf>
    <xf numFmtId="0" fontId="31" fillId="37" borderId="77" xfId="0" applyFont="1" applyFill="1" applyBorder="1" applyAlignment="1">
      <alignment horizontal="center"/>
    </xf>
    <xf numFmtId="0" fontId="31" fillId="37" borderId="79" xfId="0" applyFont="1" applyFill="1" applyBorder="1" applyAlignment="1">
      <alignment horizontal="center"/>
    </xf>
    <xf numFmtId="0" fontId="31" fillId="37" borderId="80" xfId="0" applyFont="1" applyFill="1" applyBorder="1" applyAlignment="1">
      <alignment horizontal="center"/>
    </xf>
    <xf numFmtId="49" fontId="24" fillId="37" borderId="76" xfId="0" applyNumberFormat="1" applyFont="1" applyFill="1" applyBorder="1" applyAlignment="1">
      <alignment wrapText="1"/>
    </xf>
    <xf numFmtId="49" fontId="24" fillId="37" borderId="78" xfId="0" applyNumberFormat="1" applyFont="1" applyFill="1" applyBorder="1" applyAlignment="1">
      <alignment wrapText="1"/>
    </xf>
    <xf numFmtId="0" fontId="0" fillId="0" borderId="45" xfId="0" applyBorder="1" applyAlignment="1">
      <alignment vertical="center"/>
    </xf>
    <xf numFmtId="0" fontId="24" fillId="37" borderId="82" xfId="0" applyFont="1" applyFill="1" applyBorder="1" applyAlignment="1">
      <alignment wrapText="1"/>
    </xf>
    <xf numFmtId="0" fontId="24" fillId="37" borderId="81" xfId="0" applyFont="1" applyFill="1" applyBorder="1" applyAlignment="1">
      <alignment wrapText="1"/>
    </xf>
    <xf numFmtId="0" fontId="31" fillId="37" borderId="72" xfId="0" applyFont="1" applyFill="1" applyBorder="1" applyAlignment="1">
      <alignment horizontal="center"/>
    </xf>
    <xf numFmtId="0" fontId="31" fillId="37" borderId="83" xfId="0" applyFont="1" applyFill="1" applyBorder="1" applyAlignment="1">
      <alignment horizontal="center"/>
    </xf>
    <xf numFmtId="0" fontId="31" fillId="37" borderId="85" xfId="0" applyFont="1" applyFill="1" applyBorder="1" applyAlignment="1">
      <alignment horizontal="center"/>
    </xf>
    <xf numFmtId="0" fontId="31" fillId="37" borderId="84" xfId="0" applyFont="1" applyFill="1" applyBorder="1" applyAlignment="1">
      <alignment horizontal="center"/>
    </xf>
    <xf numFmtId="166" fontId="24" fillId="0" borderId="10" xfId="0" applyNumberFormat="1" applyFont="1" applyFill="1" applyBorder="1" applyAlignment="1">
      <alignment horizontal="center"/>
    </xf>
    <xf numFmtId="169" fontId="24" fillId="0" borderId="26" xfId="379" applyNumberFormat="1" applyFont="1" applyBorder="1"/>
    <xf numFmtId="169" fontId="24" fillId="0" borderId="1" xfId="379" applyNumberFormat="1" applyFont="1" applyBorder="1" applyAlignment="1">
      <alignment horizontal="center"/>
    </xf>
    <xf numFmtId="169" fontId="24" fillId="0" borderId="10" xfId="379" applyNumberFormat="1" applyFont="1" applyFill="1" applyBorder="1" applyAlignment="1">
      <alignment horizontal="center"/>
    </xf>
    <xf numFmtId="169" fontId="30" fillId="0" borderId="1" xfId="379" applyNumberFormat="1" applyFont="1" applyBorder="1" applyAlignment="1">
      <alignment horizontal="center"/>
    </xf>
    <xf numFmtId="169" fontId="24" fillId="33" borderId="1" xfId="379" applyNumberFormat="1" applyFont="1" applyFill="1" applyBorder="1" applyAlignment="1">
      <alignment horizontal="center"/>
    </xf>
    <xf numFmtId="169" fontId="24" fillId="33" borderId="10" xfId="379" applyNumberFormat="1" applyFont="1" applyFill="1" applyBorder="1" applyAlignment="1">
      <alignment horizontal="center"/>
    </xf>
    <xf numFmtId="169" fontId="24" fillId="0" borderId="0" xfId="0" applyNumberFormat="1" applyFont="1"/>
    <xf numFmtId="0" fontId="24" fillId="0" borderId="20" xfId="0" applyFont="1" applyFill="1" applyBorder="1"/>
    <xf numFmtId="2" fontId="24" fillId="33" borderId="4" xfId="379" applyNumberFormat="1" applyFont="1" applyFill="1" applyBorder="1" applyAlignment="1" applyProtection="1">
      <alignment horizontal="center"/>
      <protection locked="0"/>
    </xf>
    <xf numFmtId="0" fontId="31" fillId="0" borderId="0" xfId="0" applyFont="1" applyAlignment="1" applyProtection="1">
      <alignment horizontal="center" vertical="center"/>
      <protection locked="0"/>
    </xf>
    <xf numFmtId="0" fontId="24" fillId="0" borderId="71" xfId="0" applyFont="1" applyBorder="1" applyAlignment="1">
      <alignment horizontal="center"/>
    </xf>
    <xf numFmtId="0" fontId="0" fillId="0" borderId="69" xfId="0" applyBorder="1"/>
    <xf numFmtId="0" fontId="81" fillId="0" borderId="0" xfId="0" applyFont="1" applyBorder="1"/>
    <xf numFmtId="0" fontId="82" fillId="0" borderId="17" xfId="0" applyFont="1" applyBorder="1" applyAlignment="1">
      <alignment horizontal="center"/>
    </xf>
    <xf numFmtId="0" fontId="82" fillId="0" borderId="50" xfId="0" applyFont="1" applyBorder="1"/>
    <xf numFmtId="0" fontId="82" fillId="0" borderId="21" xfId="0" applyFont="1" applyBorder="1" applyAlignment="1">
      <alignment horizontal="center"/>
    </xf>
    <xf numFmtId="0" fontId="82" fillId="0" borderId="55" xfId="0" applyFont="1" applyFill="1" applyBorder="1"/>
    <xf numFmtId="0" fontId="82" fillId="0" borderId="56" xfId="0" applyFont="1" applyBorder="1" applyAlignment="1">
      <alignment horizontal="center"/>
    </xf>
    <xf numFmtId="0" fontId="82" fillId="0" borderId="0" xfId="0" applyFont="1" applyAlignment="1">
      <alignment horizontal="center"/>
    </xf>
    <xf numFmtId="3" fontId="58" fillId="0" borderId="1" xfId="0" applyNumberFormat="1" applyFont="1" applyBorder="1" applyAlignment="1">
      <alignment horizontal="center" vertical="center" wrapText="1"/>
    </xf>
    <xf numFmtId="0" fontId="24" fillId="0" borderId="26" xfId="0" applyFont="1" applyBorder="1" applyAlignment="1">
      <alignment horizontal="center"/>
    </xf>
    <xf numFmtId="49" fontId="58" fillId="0" borderId="9" xfId="0" applyNumberFormat="1" applyFont="1" applyBorder="1" applyAlignment="1">
      <alignment horizontal="center" vertical="center" wrapText="1"/>
    </xf>
    <xf numFmtId="3" fontId="60" fillId="0" borderId="28" xfId="0" applyNumberFormat="1" applyFont="1" applyBorder="1" applyAlignment="1">
      <alignment horizontal="center" vertical="center" wrapText="1"/>
    </xf>
    <xf numFmtId="0" fontId="24" fillId="0" borderId="86" xfId="0" applyFont="1" applyBorder="1"/>
    <xf numFmtId="2" fontId="24" fillId="0" borderId="0" xfId="379" applyNumberFormat="1" applyFont="1" applyFill="1" applyBorder="1" applyAlignment="1" applyProtection="1">
      <alignment horizontal="center"/>
      <protection locked="0"/>
    </xf>
    <xf numFmtId="0" fontId="31" fillId="0" borderId="0" xfId="0" applyFont="1" applyFill="1" applyAlignment="1" applyProtection="1">
      <alignment horizontal="center" vertical="center"/>
      <protection locked="0"/>
    </xf>
    <xf numFmtId="0" fontId="71" fillId="0" borderId="1" xfId="0" applyFont="1" applyBorder="1" applyAlignment="1">
      <alignment horizontal="center"/>
    </xf>
    <xf numFmtId="168" fontId="30" fillId="0" borderId="53" xfId="0" applyNumberFormat="1" applyFont="1" applyBorder="1" applyAlignment="1">
      <alignment horizontal="center" vertical="center" wrapText="1"/>
    </xf>
    <xf numFmtId="0" fontId="71" fillId="0" borderId="15" xfId="0" applyFont="1" applyBorder="1" applyAlignment="1"/>
    <xf numFmtId="0" fontId="71" fillId="0" borderId="53" xfId="0" applyFont="1" applyBorder="1" applyAlignment="1"/>
    <xf numFmtId="0" fontId="71" fillId="0" borderId="16" xfId="0" applyFont="1" applyBorder="1" applyAlignment="1"/>
    <xf numFmtId="0" fontId="24" fillId="0" borderId="0" xfId="0" applyFont="1" applyAlignment="1">
      <alignment horizontal="center" wrapText="1"/>
    </xf>
    <xf numFmtId="0" fontId="71" fillId="0" borderId="15" xfId="0" applyFont="1" applyBorder="1" applyAlignment="1">
      <alignment horizontal="center"/>
    </xf>
    <xf numFmtId="2" fontId="98" fillId="33" borderId="4" xfId="379" applyNumberFormat="1" applyFont="1" applyFill="1" applyBorder="1" applyAlignment="1" applyProtection="1">
      <alignment horizontal="center"/>
      <protection locked="0"/>
    </xf>
    <xf numFmtId="0" fontId="99" fillId="0" borderId="0" xfId="0" applyFont="1" applyAlignment="1">
      <alignment horizontal="left"/>
    </xf>
    <xf numFmtId="0" fontId="78" fillId="0" borderId="0" xfId="0" applyFont="1" applyAlignment="1" applyProtection="1">
      <alignment horizontal="left" vertical="center"/>
      <protection locked="0"/>
    </xf>
    <xf numFmtId="171" fontId="24" fillId="0" borderId="0" xfId="383" applyNumberFormat="1" applyFont="1" applyFill="1" applyBorder="1" applyAlignment="1"/>
    <xf numFmtId="0" fontId="71" fillId="0" borderId="39" xfId="0" applyFont="1" applyBorder="1" applyAlignment="1">
      <alignment horizontal="center" wrapText="1"/>
    </xf>
    <xf numFmtId="0" fontId="71" fillId="0" borderId="42" xfId="0" applyFont="1" applyBorder="1" applyAlignment="1">
      <alignment horizontal="center" wrapText="1"/>
    </xf>
    <xf numFmtId="3" fontId="71" fillId="0" borderId="30" xfId="0" applyNumberFormat="1" applyFont="1" applyBorder="1" applyAlignment="1">
      <alignment horizontal="center" vertical="center" wrapText="1"/>
    </xf>
    <xf numFmtId="3" fontId="71" fillId="0" borderId="8" xfId="0" applyNumberFormat="1" applyFont="1" applyBorder="1" applyAlignment="1">
      <alignment horizontal="center" vertical="center" wrapText="1"/>
    </xf>
    <xf numFmtId="0" fontId="71" fillId="0" borderId="51" xfId="0" applyFont="1" applyBorder="1" applyAlignment="1"/>
    <xf numFmtId="0" fontId="71" fillId="0" borderId="68" xfId="0" applyFont="1" applyBorder="1" applyAlignment="1"/>
    <xf numFmtId="3" fontId="71" fillId="0" borderId="56" xfId="0" applyNumberFormat="1" applyFont="1" applyBorder="1" applyAlignment="1">
      <alignment horizontal="center" vertical="center" wrapText="1"/>
    </xf>
    <xf numFmtId="3" fontId="71" fillId="0" borderId="21" xfId="0" applyNumberFormat="1" applyFont="1" applyBorder="1" applyAlignment="1">
      <alignment horizontal="center" vertical="center" wrapText="1"/>
    </xf>
    <xf numFmtId="3" fontId="71" fillId="0" borderId="22" xfId="0" applyNumberFormat="1" applyFont="1" applyBorder="1" applyAlignment="1">
      <alignment horizontal="center" vertical="center" wrapText="1"/>
    </xf>
    <xf numFmtId="49" fontId="71" fillId="0" borderId="1" xfId="0" applyNumberFormat="1" applyFont="1" applyBorder="1" applyAlignment="1">
      <alignment horizontal="center"/>
    </xf>
    <xf numFmtId="0" fontId="60" fillId="0" borderId="50" xfId="0" applyFont="1" applyFill="1" applyBorder="1" applyAlignment="1">
      <alignment horizontal="center" vertical="center" wrapText="1"/>
    </xf>
    <xf numFmtId="3" fontId="30" fillId="0" borderId="50" xfId="0" applyNumberFormat="1" applyFont="1" applyBorder="1" applyAlignment="1">
      <alignment horizontal="center" vertical="center" wrapText="1"/>
    </xf>
    <xf numFmtId="0" fontId="24" fillId="0" borderId="57" xfId="0" applyFont="1" applyBorder="1" applyAlignment="1">
      <alignment horizontal="center"/>
    </xf>
    <xf numFmtId="49" fontId="71" fillId="0" borderId="56" xfId="0" applyNumberFormat="1" applyFont="1" applyBorder="1" applyAlignment="1">
      <alignment horizontal="center"/>
    </xf>
    <xf numFmtId="49" fontId="71" fillId="0" borderId="21" xfId="0" applyNumberFormat="1" applyFont="1" applyBorder="1" applyAlignment="1">
      <alignment horizontal="center"/>
    </xf>
    <xf numFmtId="49" fontId="71" fillId="0" borderId="17" xfId="0" applyNumberFormat="1" applyFont="1" applyBorder="1" applyAlignment="1">
      <alignment horizontal="center"/>
    </xf>
    <xf numFmtId="0" fontId="69" fillId="0" borderId="37" xfId="637" applyFont="1" applyFill="1" applyBorder="1" applyAlignment="1">
      <alignment horizontal="center" vertical="center" wrapText="1"/>
    </xf>
    <xf numFmtId="43" fontId="30" fillId="0" borderId="1" xfId="379" applyFont="1" applyBorder="1" applyAlignment="1">
      <alignment horizontal="center" vertical="center" wrapText="1"/>
    </xf>
    <xf numFmtId="0" fontId="60" fillId="0" borderId="13" xfId="0" applyFont="1" applyFill="1" applyBorder="1" applyAlignment="1">
      <alignment horizontal="center" vertical="center" wrapText="1"/>
    </xf>
    <xf numFmtId="1" fontId="24" fillId="0" borderId="10" xfId="0" applyNumberFormat="1" applyFont="1" applyBorder="1" applyAlignment="1">
      <alignment horizontal="center"/>
    </xf>
    <xf numFmtId="3" fontId="71" fillId="0" borderId="57" xfId="0" applyNumberFormat="1" applyFont="1" applyBorder="1" applyAlignment="1">
      <alignment horizontal="center" vertical="center" wrapText="1"/>
    </xf>
    <xf numFmtId="3" fontId="71" fillId="0" borderId="50" xfId="0" applyNumberFormat="1" applyFont="1" applyBorder="1" applyAlignment="1">
      <alignment horizontal="center" vertical="center" wrapText="1"/>
    </xf>
    <xf numFmtId="172" fontId="24" fillId="0" borderId="8" xfId="379" applyNumberFormat="1" applyFont="1" applyFill="1" applyBorder="1" applyAlignment="1"/>
    <xf numFmtId="1" fontId="24" fillId="0" borderId="1" xfId="0" applyNumberFormat="1" applyFont="1" applyBorder="1" applyAlignment="1">
      <alignment horizontal="center"/>
    </xf>
    <xf numFmtId="43" fontId="24" fillId="0" borderId="1" xfId="0" applyNumberFormat="1" applyFont="1" applyBorder="1" applyAlignment="1">
      <alignment horizontal="center"/>
    </xf>
    <xf numFmtId="169" fontId="24" fillId="0" borderId="8" xfId="379" applyNumberFormat="1" applyFont="1" applyBorder="1" applyAlignment="1">
      <alignment horizontal="center"/>
    </xf>
    <xf numFmtId="169" fontId="24" fillId="0" borderId="11" xfId="379" applyNumberFormat="1" applyFont="1" applyBorder="1" applyAlignment="1">
      <alignment horizontal="center"/>
    </xf>
    <xf numFmtId="0" fontId="24" fillId="0" borderId="19" xfId="0" applyFont="1" applyBorder="1" applyAlignment="1">
      <alignment horizontal="center" wrapText="1"/>
    </xf>
    <xf numFmtId="0" fontId="24" fillId="0" borderId="12" xfId="0" applyFont="1" applyBorder="1" applyAlignment="1">
      <alignment horizontal="center" wrapText="1"/>
    </xf>
    <xf numFmtId="0" fontId="24" fillId="0" borderId="13" xfId="0" applyFont="1" applyBorder="1" applyAlignment="1">
      <alignment horizontal="center" wrapText="1"/>
    </xf>
    <xf numFmtId="175" fontId="24" fillId="0" borderId="50" xfId="0" applyNumberFormat="1" applyFont="1" applyBorder="1" applyAlignment="1">
      <alignment horizontal="center"/>
    </xf>
    <xf numFmtId="175" fontId="24" fillId="0" borderId="57" xfId="0" applyNumberFormat="1" applyFont="1" applyBorder="1" applyAlignment="1">
      <alignment horizontal="center"/>
    </xf>
    <xf numFmtId="169" fontId="24" fillId="0" borderId="21" xfId="379" applyNumberFormat="1" applyFont="1" applyBorder="1" applyAlignment="1">
      <alignment horizontal="center"/>
    </xf>
    <xf numFmtId="169" fontId="24" fillId="0" borderId="22" xfId="379" applyNumberFormat="1" applyFont="1" applyBorder="1" applyAlignment="1">
      <alignment horizontal="center"/>
    </xf>
    <xf numFmtId="0" fontId="24" fillId="0" borderId="36" xfId="0" applyFont="1" applyBorder="1" applyAlignment="1">
      <alignment horizontal="center" wrapText="1"/>
    </xf>
    <xf numFmtId="3" fontId="24" fillId="0" borderId="0" xfId="0" applyNumberFormat="1" applyFont="1" applyAlignment="1">
      <alignment horizontal="center"/>
    </xf>
    <xf numFmtId="0" fontId="102" fillId="0" borderId="0" xfId="0" applyFont="1" applyAlignment="1">
      <alignment horizontal="left"/>
    </xf>
    <xf numFmtId="1" fontId="60" fillId="0" borderId="2" xfId="0" applyNumberFormat="1" applyFont="1" applyBorder="1" applyAlignment="1">
      <alignment horizontal="center" vertical="center" wrapText="1"/>
    </xf>
    <xf numFmtId="2" fontId="24" fillId="33" borderId="23" xfId="379" applyNumberFormat="1" applyFont="1" applyFill="1" applyBorder="1" applyAlignment="1" applyProtection="1">
      <alignment horizontal="center" wrapText="1"/>
      <protection locked="0"/>
    </xf>
    <xf numFmtId="0" fontId="60" fillId="0" borderId="19" xfId="0" applyFont="1" applyBorder="1" applyAlignment="1">
      <alignment horizontal="center" vertical="center" wrapText="1"/>
    </xf>
    <xf numFmtId="0" fontId="60" fillId="0" borderId="12" xfId="0" applyFont="1" applyBorder="1" applyAlignment="1">
      <alignment horizontal="center" vertical="center" wrapText="1"/>
    </xf>
    <xf numFmtId="0" fontId="103" fillId="0" borderId="92" xfId="0" applyFont="1" applyBorder="1"/>
    <xf numFmtId="0" fontId="103" fillId="0" borderId="93" xfId="0" quotePrefix="1" applyFont="1" applyBorder="1"/>
    <xf numFmtId="0" fontId="103" fillId="0" borderId="93" xfId="0" applyFont="1" applyBorder="1"/>
    <xf numFmtId="0" fontId="82" fillId="0" borderId="93" xfId="0" applyFont="1" applyBorder="1"/>
    <xf numFmtId="0" fontId="82" fillId="0" borderId="17" xfId="0" applyFont="1" applyBorder="1"/>
    <xf numFmtId="0" fontId="103" fillId="0" borderId="94" xfId="0" applyFont="1" applyBorder="1"/>
    <xf numFmtId="0" fontId="103" fillId="0" borderId="0" xfId="0" quotePrefix="1" applyFont="1" applyBorder="1"/>
    <xf numFmtId="0" fontId="103" fillId="0" borderId="0" xfId="0" applyFont="1" applyBorder="1"/>
    <xf numFmtId="0" fontId="82" fillId="0" borderId="0" xfId="0" applyFont="1" applyBorder="1"/>
    <xf numFmtId="0" fontId="82" fillId="0" borderId="69" xfId="0" applyFont="1" applyBorder="1"/>
    <xf numFmtId="0" fontId="103" fillId="0" borderId="55" xfId="0" applyFont="1" applyBorder="1"/>
    <xf numFmtId="0" fontId="103" fillId="0" borderId="71" xfId="0" quotePrefix="1" applyFont="1" applyBorder="1"/>
    <xf numFmtId="0" fontId="103" fillId="0" borderId="71" xfId="0" applyFont="1" applyBorder="1"/>
    <xf numFmtId="0" fontId="82" fillId="0" borderId="71" xfId="0" applyFont="1" applyBorder="1"/>
    <xf numFmtId="0" fontId="82" fillId="0" borderId="56" xfId="0" applyFont="1" applyBorder="1"/>
    <xf numFmtId="0" fontId="82" fillId="0" borderId="21" xfId="0" applyFont="1" applyBorder="1" applyAlignment="1">
      <alignment horizontal="center"/>
    </xf>
    <xf numFmtId="0" fontId="69" fillId="0" borderId="36" xfId="637" applyFont="1" applyFill="1" applyBorder="1" applyAlignment="1">
      <alignment horizontal="center" vertical="center" wrapText="1"/>
    </xf>
    <xf numFmtId="43" fontId="60" fillId="0" borderId="50" xfId="379" applyFont="1" applyBorder="1" applyAlignment="1">
      <alignment horizontal="center" vertical="center" wrapText="1"/>
    </xf>
    <xf numFmtId="171" fontId="24" fillId="0" borderId="8" xfId="383" applyNumberFormat="1" applyFont="1" applyFill="1" applyBorder="1" applyAlignment="1"/>
    <xf numFmtId="43" fontId="24" fillId="0" borderId="10" xfId="0" applyNumberFormat="1" applyFont="1" applyBorder="1" applyAlignment="1">
      <alignment horizontal="center"/>
    </xf>
    <xf numFmtId="175" fontId="60" fillId="0" borderId="1" xfId="379" applyNumberFormat="1" applyFont="1" applyBorder="1" applyAlignment="1">
      <alignment horizontal="center" vertical="center" wrapText="1"/>
    </xf>
    <xf numFmtId="0" fontId="69" fillId="0" borderId="35" xfId="637" applyFont="1" applyBorder="1" applyAlignment="1">
      <alignment horizontal="center" vertical="center" wrapText="1"/>
    </xf>
    <xf numFmtId="171" fontId="24" fillId="0" borderId="11" xfId="383" applyNumberFormat="1" applyFont="1" applyFill="1" applyBorder="1" applyAlignment="1"/>
    <xf numFmtId="177" fontId="30" fillId="0" borderId="1" xfId="0" applyNumberFormat="1" applyFont="1" applyBorder="1" applyAlignment="1">
      <alignment horizontal="center" vertical="center" wrapText="1"/>
    </xf>
    <xf numFmtId="175" fontId="30" fillId="0" borderId="1" xfId="379" applyNumberFormat="1" applyFont="1" applyBorder="1" applyAlignment="1">
      <alignment horizontal="center" vertical="center" wrapText="1"/>
    </xf>
    <xf numFmtId="0" fontId="41" fillId="0" borderId="0" xfId="524" applyFont="1"/>
    <xf numFmtId="10" fontId="24" fillId="0" borderId="0" xfId="559" applyNumberFormat="1" applyFont="1" applyBorder="1"/>
    <xf numFmtId="0" fontId="57" fillId="0" borderId="0" xfId="524" applyFont="1" applyBorder="1" applyAlignment="1">
      <alignment vertical="top" wrapText="1"/>
    </xf>
    <xf numFmtId="0" fontId="66" fillId="0" borderId="0" xfId="524" applyFont="1" applyBorder="1" applyAlignment="1">
      <alignment vertical="top" wrapText="1"/>
    </xf>
    <xf numFmtId="169" fontId="24" fillId="0" borderId="23" xfId="379" applyNumberFormat="1" applyFont="1" applyFill="1" applyBorder="1" applyAlignment="1">
      <alignment horizontal="center"/>
    </xf>
    <xf numFmtId="169" fontId="24" fillId="0" borderId="30" xfId="379" applyNumberFormat="1" applyFont="1" applyFill="1" applyBorder="1" applyAlignment="1">
      <alignment horizontal="center"/>
    </xf>
    <xf numFmtId="169" fontId="24" fillId="0" borderId="1" xfId="379" applyNumberFormat="1" applyFont="1" applyFill="1" applyBorder="1" applyAlignment="1">
      <alignment horizontal="center"/>
    </xf>
    <xf numFmtId="169" fontId="24" fillId="0" borderId="8" xfId="379" applyNumberFormat="1" applyFont="1" applyFill="1" applyBorder="1" applyAlignment="1">
      <alignment horizontal="center"/>
    </xf>
    <xf numFmtId="169" fontId="24" fillId="0" borderId="33" xfId="379" applyNumberFormat="1" applyFont="1" applyFill="1" applyBorder="1" applyAlignment="1">
      <alignment horizontal="center"/>
    </xf>
    <xf numFmtId="169" fontId="24" fillId="0" borderId="44" xfId="379" applyNumberFormat="1" applyFont="1" applyFill="1" applyBorder="1" applyAlignment="1">
      <alignment horizontal="center"/>
    </xf>
    <xf numFmtId="169" fontId="58" fillId="0" borderId="44" xfId="379" applyNumberFormat="1" applyFont="1" applyFill="1" applyBorder="1" applyAlignment="1">
      <alignment horizontal="center"/>
    </xf>
    <xf numFmtId="169" fontId="31" fillId="0" borderId="44" xfId="379" applyNumberFormat="1" applyFont="1" applyFill="1" applyBorder="1" applyAlignment="1">
      <alignment horizontal="center"/>
    </xf>
    <xf numFmtId="169" fontId="31" fillId="0" borderId="18" xfId="379" applyNumberFormat="1" applyFont="1" applyFill="1" applyBorder="1" applyAlignment="1">
      <alignment horizontal="center"/>
    </xf>
    <xf numFmtId="169" fontId="31" fillId="0" borderId="10" xfId="379" applyNumberFormat="1" applyFont="1" applyFill="1" applyBorder="1" applyAlignment="1">
      <alignment horizontal="center"/>
    </xf>
    <xf numFmtId="169" fontId="31" fillId="0" borderId="11" xfId="379" applyNumberFormat="1" applyFont="1" applyFill="1" applyBorder="1" applyAlignment="1">
      <alignment horizontal="center"/>
    </xf>
    <xf numFmtId="169" fontId="24" fillId="0" borderId="2" xfId="379" applyNumberFormat="1" applyFont="1" applyBorder="1"/>
    <xf numFmtId="169" fontId="24" fillId="0" borderId="9" xfId="379" applyNumberFormat="1" applyFont="1" applyBorder="1"/>
    <xf numFmtId="2" fontId="24" fillId="33" borderId="23" xfId="379" applyNumberFormat="1" applyFont="1" applyFill="1" applyBorder="1" applyAlignment="1" applyProtection="1">
      <alignment horizontal="center"/>
      <protection locked="0"/>
    </xf>
    <xf numFmtId="2" fontId="24" fillId="33" borderId="1" xfId="379" applyNumberFormat="1" applyFont="1" applyFill="1" applyBorder="1" applyAlignment="1" applyProtection="1">
      <alignment horizontal="center"/>
      <protection locked="0"/>
    </xf>
    <xf numFmtId="2" fontId="24" fillId="0" borderId="23" xfId="379" applyNumberFormat="1" applyFont="1" applyFill="1" applyBorder="1" applyAlignment="1" applyProtection="1">
      <alignment horizontal="center"/>
      <protection locked="0"/>
    </xf>
    <xf numFmtId="0" fontId="69" fillId="0" borderId="12" xfId="637" applyFont="1" applyFill="1" applyBorder="1" applyAlignment="1">
      <alignment horizontal="center" vertical="center" wrapText="1"/>
    </xf>
    <xf numFmtId="0" fontId="69" fillId="0" borderId="13" xfId="637" applyFont="1" applyFill="1" applyBorder="1" applyAlignment="1">
      <alignment horizontal="center" vertical="center" wrapText="1"/>
    </xf>
    <xf numFmtId="0" fontId="69" fillId="0" borderId="19" xfId="637" applyFont="1" applyBorder="1" applyAlignment="1">
      <alignment horizontal="center" vertical="center" wrapText="1"/>
    </xf>
    <xf numFmtId="43" fontId="125" fillId="33" borderId="17" xfId="769" applyNumberFormat="1" applyFont="1" applyFill="1" applyBorder="1"/>
    <xf numFmtId="43" fontId="125" fillId="33" borderId="124" xfId="769" applyNumberFormat="1" applyFont="1" applyFill="1" applyBorder="1"/>
    <xf numFmtId="0" fontId="18" fillId="0" borderId="0" xfId="768"/>
    <xf numFmtId="49" fontId="124" fillId="0" borderId="0" xfId="769" applyNumberFormat="1" applyFont="1" applyBorder="1" applyAlignment="1">
      <alignment vertical="top" wrapText="1"/>
    </xf>
    <xf numFmtId="0" fontId="96" fillId="35" borderId="45" xfId="768" applyFont="1" applyFill="1" applyBorder="1" applyAlignment="1">
      <alignment horizontal="right"/>
    </xf>
    <xf numFmtId="0" fontId="96" fillId="35" borderId="0" xfId="768" applyFont="1" applyFill="1" applyBorder="1" applyAlignment="1">
      <alignment horizontal="right"/>
    </xf>
    <xf numFmtId="0" fontId="96" fillId="35" borderId="41" xfId="768" applyFont="1" applyFill="1" applyBorder="1" applyAlignment="1">
      <alignment horizontal="right"/>
    </xf>
    <xf numFmtId="10" fontId="125" fillId="0" borderId="0" xfId="770" applyNumberFormat="1" applyFont="1" applyBorder="1"/>
    <xf numFmtId="10" fontId="125" fillId="0" borderId="112" xfId="770" applyNumberFormat="1" applyFont="1" applyBorder="1"/>
    <xf numFmtId="10" fontId="125" fillId="0" borderId="41" xfId="770" applyNumberFormat="1" applyFont="1" applyBorder="1"/>
    <xf numFmtId="10" fontId="125" fillId="0" borderId="113" xfId="770" applyNumberFormat="1" applyFont="1" applyBorder="1"/>
    <xf numFmtId="10" fontId="125" fillId="0" borderId="107" xfId="770" applyNumberFormat="1" applyFont="1" applyBorder="1"/>
    <xf numFmtId="0" fontId="96" fillId="0" borderId="45" xfId="768" applyFont="1" applyBorder="1"/>
    <xf numFmtId="10" fontId="96" fillId="0" borderId="0" xfId="768" applyNumberFormat="1" applyFont="1" applyBorder="1"/>
    <xf numFmtId="10" fontId="96" fillId="0" borderId="112" xfId="768" applyNumberFormat="1" applyFont="1" applyBorder="1"/>
    <xf numFmtId="10" fontId="96" fillId="0" borderId="41" xfId="768" applyNumberFormat="1" applyFont="1" applyBorder="1"/>
    <xf numFmtId="43" fontId="125" fillId="33" borderId="0" xfId="769" applyNumberFormat="1" applyFont="1" applyFill="1" applyBorder="1"/>
    <xf numFmtId="43" fontId="125" fillId="0" borderId="41" xfId="769" applyNumberFormat="1" applyFont="1" applyBorder="1"/>
    <xf numFmtId="43" fontId="125" fillId="0" borderId="0" xfId="769" applyNumberFormat="1" applyFont="1" applyBorder="1"/>
    <xf numFmtId="43" fontId="125" fillId="33" borderId="116" xfId="769" applyNumberFormat="1" applyFont="1" applyFill="1" applyBorder="1"/>
    <xf numFmtId="43" fontId="125" fillId="0" borderId="111" xfId="769" applyNumberFormat="1" applyFont="1" applyBorder="1"/>
    <xf numFmtId="43" fontId="125" fillId="0" borderId="107" xfId="769" applyNumberFormat="1" applyFont="1" applyBorder="1"/>
    <xf numFmtId="0" fontId="96" fillId="0" borderId="46" xfId="768" applyFont="1" applyBorder="1"/>
    <xf numFmtId="43" fontId="96" fillId="0" borderId="25" xfId="769" applyNumberFormat="1" applyFont="1" applyBorder="1"/>
    <xf numFmtId="43" fontId="96" fillId="0" borderId="114" xfId="769" applyNumberFormat="1" applyFont="1" applyBorder="1"/>
    <xf numFmtId="43" fontId="96" fillId="0" borderId="40" xfId="769" applyNumberFormat="1" applyFont="1" applyBorder="1"/>
    <xf numFmtId="0" fontId="96" fillId="0" borderId="0" xfId="768" applyFont="1" applyBorder="1"/>
    <xf numFmtId="43" fontId="96" fillId="0" borderId="0" xfId="769" applyNumberFormat="1" applyFont="1" applyBorder="1"/>
    <xf numFmtId="0" fontId="96" fillId="63" borderId="45" xfId="768" applyFont="1" applyFill="1" applyBorder="1" applyAlignment="1">
      <alignment horizontal="right"/>
    </xf>
    <xf numFmtId="0" fontId="96" fillId="63" borderId="0" xfId="768" applyFont="1" applyFill="1" applyBorder="1" applyAlignment="1">
      <alignment horizontal="right"/>
    </xf>
    <xf numFmtId="0" fontId="96" fillId="63" borderId="41" xfId="768" applyFont="1" applyFill="1" applyBorder="1" applyAlignment="1">
      <alignment horizontal="right"/>
    </xf>
    <xf numFmtId="0" fontId="96" fillId="0" borderId="117" xfId="768" applyFont="1" applyBorder="1"/>
    <xf numFmtId="10" fontId="96" fillId="0" borderId="118" xfId="768" applyNumberFormat="1" applyFont="1" applyBorder="1"/>
    <xf numFmtId="10" fontId="96" fillId="0" borderId="119" xfId="768" applyNumberFormat="1" applyFont="1" applyBorder="1"/>
    <xf numFmtId="10" fontId="96" fillId="0" borderId="120" xfId="768" applyNumberFormat="1" applyFont="1" applyBorder="1"/>
    <xf numFmtId="0" fontId="96" fillId="35" borderId="45" xfId="768" applyFont="1" applyFill="1" applyBorder="1" applyAlignment="1">
      <alignment horizontal="center"/>
    </xf>
    <xf numFmtId="0" fontId="96" fillId="35" borderId="0" xfId="768" applyFont="1" applyFill="1" applyBorder="1" applyAlignment="1">
      <alignment horizontal="center"/>
    </xf>
    <xf numFmtId="0" fontId="96" fillId="35" borderId="41" xfId="768" applyFont="1" applyFill="1" applyBorder="1" applyAlignment="1">
      <alignment horizontal="center"/>
    </xf>
    <xf numFmtId="0" fontId="96" fillId="36" borderId="41" xfId="768" applyFont="1" applyFill="1" applyBorder="1" applyAlignment="1">
      <alignment horizontal="center"/>
    </xf>
    <xf numFmtId="0" fontId="96" fillId="35" borderId="38" xfId="768" applyFont="1" applyFill="1" applyBorder="1" applyAlignment="1">
      <alignment horizontal="center"/>
    </xf>
    <xf numFmtId="0" fontId="96" fillId="35" borderId="71" xfId="768" applyFont="1" applyFill="1" applyBorder="1" applyAlignment="1">
      <alignment horizontal="center"/>
    </xf>
    <xf numFmtId="0" fontId="96" fillId="35" borderId="90" xfId="768" applyFont="1" applyFill="1" applyBorder="1" applyAlignment="1">
      <alignment horizontal="center"/>
    </xf>
    <xf numFmtId="0" fontId="96" fillId="35" borderId="41" xfId="768" applyFont="1" applyFill="1" applyBorder="1" applyAlignment="1">
      <alignment horizontal="center" wrapText="1"/>
    </xf>
    <xf numFmtId="0" fontId="96" fillId="35" borderId="71" xfId="768" applyFont="1" applyFill="1" applyBorder="1" applyAlignment="1">
      <alignment horizontal="center" vertical="center"/>
    </xf>
    <xf numFmtId="0" fontId="96" fillId="35" borderId="90" xfId="768" applyFont="1" applyFill="1" applyBorder="1" applyAlignment="1">
      <alignment horizontal="center" vertical="center" wrapText="1"/>
    </xf>
    <xf numFmtId="0" fontId="96" fillId="33" borderId="0" xfId="768" applyFont="1" applyFill="1" applyBorder="1" applyAlignment="1">
      <alignment vertical="top"/>
    </xf>
    <xf numFmtId="0" fontId="96" fillId="0" borderId="0" xfId="768" applyFont="1" applyFill="1" applyBorder="1" applyAlignment="1">
      <alignment vertical="top"/>
    </xf>
    <xf numFmtId="0" fontId="96" fillId="0" borderId="41" xfId="768" applyFont="1" applyFill="1" applyBorder="1" applyAlignment="1">
      <alignment horizontal="center" vertical="top" wrapText="1"/>
    </xf>
    <xf numFmtId="0" fontId="96" fillId="33" borderId="111" xfId="768" applyFont="1" applyFill="1" applyBorder="1" applyAlignment="1">
      <alignment vertical="top"/>
    </xf>
    <xf numFmtId="10" fontId="124" fillId="0" borderId="40" xfId="770" applyNumberFormat="1" applyFont="1" applyBorder="1"/>
    <xf numFmtId="0" fontId="96" fillId="0" borderId="0" xfId="768" applyFont="1" applyBorder="1" applyAlignment="1">
      <alignment vertical="top" wrapText="1"/>
    </xf>
    <xf numFmtId="10" fontId="124" fillId="0" borderId="0" xfId="770" applyNumberFormat="1" applyFont="1" applyBorder="1"/>
    <xf numFmtId="0" fontId="96" fillId="0" borderId="0" xfId="768" applyFont="1" applyFill="1" applyBorder="1" applyAlignment="1">
      <alignment vertical="top" wrapText="1"/>
    </xf>
    <xf numFmtId="0" fontId="18" fillId="0" borderId="0" xfId="768" applyBorder="1"/>
    <xf numFmtId="0" fontId="96" fillId="0" borderId="47" xfId="768" applyFont="1" applyBorder="1" applyAlignment="1">
      <alignment vertical="top" wrapText="1"/>
    </xf>
    <xf numFmtId="0" fontId="96" fillId="0" borderId="48" xfId="768" applyFont="1" applyFill="1" applyBorder="1" applyAlignment="1">
      <alignment horizontal="center" vertical="center" wrapText="1"/>
    </xf>
    <xf numFmtId="0" fontId="128" fillId="0" borderId="48" xfId="797" applyNumberFormat="1" applyFont="1" applyBorder="1" applyAlignment="1">
      <alignment horizontal="center" vertical="center"/>
    </xf>
    <xf numFmtId="0" fontId="18" fillId="0" borderId="49" xfId="768" applyBorder="1"/>
    <xf numFmtId="0" fontId="96" fillId="0" borderId="45" xfId="768" applyFont="1" applyBorder="1" applyAlignment="1">
      <alignment horizontal="left" vertical="center" wrapText="1"/>
    </xf>
    <xf numFmtId="0" fontId="96" fillId="36" borderId="1" xfId="768" applyFont="1" applyFill="1" applyBorder="1" applyAlignment="1">
      <alignment horizontal="center" vertical="center" wrapText="1"/>
    </xf>
    <xf numFmtId="10" fontId="124" fillId="0" borderId="41" xfId="770" applyNumberFormat="1" applyFont="1" applyBorder="1" applyAlignment="1">
      <alignment horizontal="center" vertical="center" wrapText="1"/>
    </xf>
    <xf numFmtId="0" fontId="122" fillId="0" borderId="46" xfId="768" applyFont="1" applyBorder="1" applyAlignment="1">
      <alignment horizontal="left" vertical="top" wrapText="1"/>
    </xf>
    <xf numFmtId="0" fontId="123" fillId="0" borderId="25" xfId="768" applyFont="1" applyBorder="1" applyAlignment="1">
      <alignment vertical="top" wrapText="1"/>
    </xf>
    <xf numFmtId="0" fontId="122" fillId="0" borderId="0" xfId="768" applyFont="1" applyBorder="1" applyAlignment="1">
      <alignment horizontal="left" vertical="top" wrapText="1"/>
    </xf>
    <xf numFmtId="0" fontId="123" fillId="0" borderId="0" xfId="768" applyFont="1" applyBorder="1" applyAlignment="1">
      <alignment vertical="top" wrapText="1"/>
    </xf>
    <xf numFmtId="0" fontId="96" fillId="35" borderId="48" xfId="768" applyFont="1" applyFill="1" applyBorder="1" applyAlignment="1">
      <alignment horizontal="center" vertical="center"/>
    </xf>
    <xf numFmtId="0" fontId="96" fillId="35" borderId="49" xfId="768" applyFont="1" applyFill="1" applyBorder="1" applyAlignment="1">
      <alignment horizontal="center" vertical="center"/>
    </xf>
    <xf numFmtId="43" fontId="124" fillId="33" borderId="71" xfId="797" applyFont="1" applyFill="1" applyBorder="1" applyAlignment="1">
      <alignment horizontal="center" vertical="center"/>
    </xf>
    <xf numFmtId="43" fontId="124" fillId="0" borderId="123" xfId="769" applyNumberFormat="1" applyFont="1" applyBorder="1" applyAlignment="1">
      <alignment horizontal="center" vertical="center"/>
    </xf>
    <xf numFmtId="43" fontId="124" fillId="0" borderId="118" xfId="769" applyNumberFormat="1" applyFont="1" applyBorder="1" applyAlignment="1">
      <alignment horizontal="center" vertical="center"/>
    </xf>
    <xf numFmtId="43" fontId="124" fillId="63" borderId="51" xfId="769" applyNumberFormat="1" applyFont="1" applyFill="1" applyBorder="1" applyAlignment="1">
      <alignment horizontal="center" vertical="center"/>
    </xf>
    <xf numFmtId="43" fontId="124" fillId="63" borderId="53" xfId="769" applyNumberFormat="1" applyFont="1" applyFill="1" applyBorder="1" applyAlignment="1">
      <alignment horizontal="center" vertical="center"/>
    </xf>
    <xf numFmtId="0" fontId="127" fillId="0" borderId="0" xfId="768" applyFont="1" applyBorder="1" applyAlignment="1">
      <alignment horizontal="center" vertical="top" wrapText="1"/>
    </xf>
    <xf numFmtId="0" fontId="18" fillId="0" borderId="0" xfId="768" applyFont="1"/>
    <xf numFmtId="49" fontId="18" fillId="0" borderId="0" xfId="768" applyNumberFormat="1" applyFont="1" applyAlignment="1">
      <alignment vertical="top" wrapText="1"/>
    </xf>
    <xf numFmtId="0" fontId="18" fillId="0" borderId="45" xfId="768" applyFont="1" applyBorder="1"/>
    <xf numFmtId="0" fontId="18" fillId="0" borderId="0" xfId="768" applyFont="1" applyBorder="1"/>
    <xf numFmtId="0" fontId="18" fillId="0" borderId="106" xfId="768" applyFont="1" applyBorder="1"/>
    <xf numFmtId="0" fontId="18" fillId="0" borderId="111" xfId="768" applyFont="1" applyBorder="1"/>
    <xf numFmtId="10" fontId="125" fillId="62" borderId="0" xfId="770" applyNumberFormat="1" applyFont="1" applyFill="1" applyBorder="1"/>
    <xf numFmtId="10" fontId="125" fillId="62" borderId="112" xfId="770" applyNumberFormat="1" applyFont="1" applyFill="1" applyBorder="1"/>
    <xf numFmtId="0" fontId="18" fillId="0" borderId="0" xfId="768" applyFont="1" applyBorder="1" applyAlignment="1">
      <alignment vertical="top" wrapText="1"/>
    </xf>
    <xf numFmtId="0" fontId="18" fillId="0" borderId="0" xfId="768" applyFont="1" applyAlignment="1">
      <alignment vertical="top" wrapText="1"/>
    </xf>
    <xf numFmtId="0" fontId="18" fillId="35" borderId="45" xfId="768" applyFont="1" applyFill="1" applyBorder="1" applyAlignment="1">
      <alignment vertical="top"/>
    </xf>
    <xf numFmtId="0" fontId="18" fillId="35" borderId="0" xfId="768" applyFont="1" applyFill="1" applyBorder="1" applyAlignment="1">
      <alignment vertical="top"/>
    </xf>
    <xf numFmtId="0" fontId="18" fillId="0" borderId="45" xfId="768" applyFont="1" applyFill="1" applyBorder="1" applyAlignment="1">
      <alignment vertical="top"/>
    </xf>
    <xf numFmtId="0" fontId="18" fillId="0" borderId="0" xfId="768" applyFont="1" applyFill="1" applyBorder="1" applyAlignment="1">
      <alignment vertical="top"/>
    </xf>
    <xf numFmtId="0" fontId="18" fillId="0" borderId="106" xfId="768" applyFont="1" applyFill="1" applyBorder="1" applyAlignment="1">
      <alignment vertical="top"/>
    </xf>
    <xf numFmtId="0" fontId="18" fillId="0" borderId="111" xfId="768" applyFont="1" applyFill="1" applyBorder="1" applyAlignment="1">
      <alignment vertical="top"/>
    </xf>
    <xf numFmtId="0" fontId="18" fillId="0" borderId="25" xfId="768" applyFont="1" applyFill="1" applyBorder="1"/>
    <xf numFmtId="0" fontId="18" fillId="0" borderId="25" xfId="768" applyFont="1" applyBorder="1"/>
    <xf numFmtId="0" fontId="18" fillId="0" borderId="0" xfId="768" applyFont="1" applyFill="1" applyBorder="1"/>
    <xf numFmtId="0" fontId="18" fillId="0" borderId="0" xfId="768" applyFont="1" applyBorder="1" applyAlignment="1">
      <alignment horizontal="left" vertical="top" wrapText="1"/>
    </xf>
    <xf numFmtId="0" fontId="18" fillId="0" borderId="32" xfId="768" applyFont="1" applyBorder="1" applyAlignment="1">
      <alignment wrapText="1"/>
    </xf>
    <xf numFmtId="43" fontId="18" fillId="0" borderId="0" xfId="768" applyNumberFormat="1" applyFont="1" applyBorder="1" applyAlignment="1">
      <alignment horizontal="center" vertical="center"/>
    </xf>
    <xf numFmtId="43" fontId="18" fillId="0" borderId="17" xfId="768" applyNumberFormat="1" applyFont="1" applyBorder="1" applyAlignment="1">
      <alignment horizontal="center" vertical="center"/>
    </xf>
    <xf numFmtId="43" fontId="18" fillId="0" borderId="41" xfId="768" applyNumberFormat="1" applyFont="1" applyBorder="1" applyAlignment="1">
      <alignment horizontal="center" vertical="center"/>
    </xf>
    <xf numFmtId="43" fontId="18" fillId="0" borderId="33" xfId="768" applyNumberFormat="1" applyFont="1" applyBorder="1" applyAlignment="1">
      <alignment horizontal="center" vertical="center"/>
    </xf>
    <xf numFmtId="0" fontId="18" fillId="0" borderId="7" xfId="768" applyFont="1" applyBorder="1" applyAlignment="1">
      <alignment wrapText="1"/>
    </xf>
    <xf numFmtId="43" fontId="18" fillId="0" borderId="71" xfId="768" applyNumberFormat="1" applyFont="1" applyBorder="1" applyAlignment="1">
      <alignment horizontal="center" vertical="center"/>
    </xf>
    <xf numFmtId="43" fontId="18" fillId="0" borderId="23" xfId="768" applyNumberFormat="1" applyFont="1" applyBorder="1" applyAlignment="1">
      <alignment horizontal="center" vertical="center"/>
    </xf>
    <xf numFmtId="43" fontId="18" fillId="0" borderId="90" xfId="768" applyNumberFormat="1" applyFont="1" applyBorder="1" applyAlignment="1">
      <alignment horizontal="center" vertical="center"/>
    </xf>
    <xf numFmtId="0" fontId="18" fillId="63" borderId="15" xfId="768" applyFont="1" applyFill="1" applyBorder="1" applyAlignment="1">
      <alignment wrapText="1"/>
    </xf>
    <xf numFmtId="43" fontId="18" fillId="63" borderId="51" xfId="768" applyNumberFormat="1" applyFont="1" applyFill="1" applyBorder="1" applyAlignment="1">
      <alignment horizontal="center" vertical="center"/>
    </xf>
    <xf numFmtId="43" fontId="18" fillId="63" borderId="53" xfId="768" applyNumberFormat="1" applyFont="1" applyFill="1" applyBorder="1" applyAlignment="1">
      <alignment horizontal="center" vertical="center"/>
    </xf>
    <xf numFmtId="43" fontId="18" fillId="0" borderId="93" xfId="768" applyNumberFormat="1" applyFont="1" applyBorder="1" applyAlignment="1">
      <alignment horizontal="center" vertical="center"/>
    </xf>
    <xf numFmtId="43" fontId="18" fillId="0" borderId="104" xfId="768" applyNumberFormat="1" applyFont="1" applyBorder="1" applyAlignment="1">
      <alignment horizontal="center" vertical="center"/>
    </xf>
    <xf numFmtId="43" fontId="18" fillId="0" borderId="105" xfId="768" applyNumberFormat="1" applyFont="1" applyBorder="1" applyAlignment="1">
      <alignment horizontal="center" vertical="center"/>
    </xf>
    <xf numFmtId="43" fontId="18" fillId="0" borderId="108" xfId="768" applyNumberFormat="1" applyFont="1" applyBorder="1" applyAlignment="1">
      <alignment horizontal="center" vertical="center"/>
    </xf>
    <xf numFmtId="0" fontId="18" fillId="63" borderId="106" xfId="768" applyFont="1" applyFill="1" applyBorder="1" applyAlignment="1">
      <alignment wrapText="1"/>
    </xf>
    <xf numFmtId="43" fontId="18" fillId="63" borderId="121" xfId="768" applyNumberFormat="1" applyFont="1" applyFill="1" applyBorder="1" applyAlignment="1">
      <alignment horizontal="center" vertical="center"/>
    </xf>
    <xf numFmtId="43" fontId="18" fillId="63" borderId="0" xfId="768" applyNumberFormat="1" applyFont="1" applyFill="1" applyBorder="1" applyAlignment="1">
      <alignment horizontal="center" vertical="center"/>
    </xf>
    <xf numFmtId="43" fontId="18" fillId="63" borderId="122" xfId="768" applyNumberFormat="1" applyFont="1" applyFill="1" applyBorder="1" applyAlignment="1">
      <alignment horizontal="center" vertical="center"/>
    </xf>
    <xf numFmtId="49" fontId="24" fillId="0" borderId="17" xfId="0" applyNumberFormat="1" applyFont="1" applyBorder="1"/>
    <xf numFmtId="0" fontId="24" fillId="0" borderId="17" xfId="0" applyFont="1" applyBorder="1"/>
    <xf numFmtId="0" fontId="31" fillId="0" borderId="17" xfId="0" applyFont="1" applyBorder="1"/>
    <xf numFmtId="0" fontId="31" fillId="0" borderId="22" xfId="0" applyFont="1" applyBorder="1"/>
    <xf numFmtId="169" fontId="24" fillId="0" borderId="1" xfId="379" applyNumberFormat="1" applyFont="1" applyFill="1" applyBorder="1" applyAlignment="1">
      <alignment horizontal="right"/>
    </xf>
    <xf numFmtId="169" fontId="58" fillId="0" borderId="1" xfId="379" applyNumberFormat="1" applyFont="1" applyFill="1" applyBorder="1" applyAlignment="1">
      <alignment horizontal="right"/>
    </xf>
    <xf numFmtId="169" fontId="58" fillId="0" borderId="8" xfId="379" applyNumberFormat="1" applyFont="1" applyFill="1" applyBorder="1" applyAlignment="1">
      <alignment horizontal="right"/>
    </xf>
    <xf numFmtId="169" fontId="24" fillId="0" borderId="44" xfId="379" applyNumberFormat="1" applyFont="1" applyFill="1" applyBorder="1" applyAlignment="1">
      <alignment horizontal="right"/>
    </xf>
    <xf numFmtId="169" fontId="58" fillId="0" borderId="44" xfId="379" applyNumberFormat="1" applyFont="1" applyFill="1" applyBorder="1" applyAlignment="1">
      <alignment horizontal="right"/>
    </xf>
    <xf numFmtId="169" fontId="58" fillId="0" borderId="18" xfId="379" applyNumberFormat="1" applyFont="1" applyFill="1" applyBorder="1" applyAlignment="1">
      <alignment horizontal="right"/>
    </xf>
    <xf numFmtId="169" fontId="31" fillId="0" borderId="44" xfId="379" applyNumberFormat="1" applyFont="1" applyFill="1" applyBorder="1" applyAlignment="1">
      <alignment horizontal="right"/>
    </xf>
    <xf numFmtId="169" fontId="31" fillId="0" borderId="18" xfId="379" applyNumberFormat="1" applyFont="1" applyFill="1" applyBorder="1" applyAlignment="1">
      <alignment horizontal="right"/>
    </xf>
    <xf numFmtId="43" fontId="31" fillId="0" borderId="44" xfId="379" applyNumberFormat="1" applyFont="1" applyFill="1" applyBorder="1" applyAlignment="1">
      <alignment horizontal="right"/>
    </xf>
    <xf numFmtId="169" fontId="31" fillId="0" borderId="10" xfId="379" applyNumberFormat="1" applyFont="1" applyFill="1" applyBorder="1" applyAlignment="1">
      <alignment horizontal="right"/>
    </xf>
    <xf numFmtId="169" fontId="31" fillId="0" borderId="11" xfId="379" applyNumberFormat="1" applyFont="1" applyFill="1" applyBorder="1" applyAlignment="1">
      <alignment horizontal="right"/>
    </xf>
    <xf numFmtId="49" fontId="24" fillId="63" borderId="26" xfId="0" applyNumberFormat="1" applyFont="1" applyFill="1" applyBorder="1" applyAlignment="1">
      <alignment horizontal="center"/>
    </xf>
    <xf numFmtId="49" fontId="24" fillId="63" borderId="42" xfId="0" applyNumberFormat="1" applyFont="1" applyFill="1" applyBorder="1" applyAlignment="1">
      <alignment horizontal="center"/>
    </xf>
    <xf numFmtId="0" fontId="24" fillId="63" borderId="26" xfId="0" applyFont="1" applyFill="1" applyBorder="1" applyAlignment="1">
      <alignment horizontal="center"/>
    </xf>
    <xf numFmtId="2" fontId="24" fillId="0" borderId="7" xfId="0" applyNumberFormat="1" applyFont="1" applyBorder="1"/>
    <xf numFmtId="2" fontId="24" fillId="0" borderId="2" xfId="0" applyNumberFormat="1" applyFont="1" applyBorder="1"/>
    <xf numFmtId="43" fontId="129" fillId="65" borderId="110" xfId="769" applyNumberFormat="1" applyFont="1" applyFill="1" applyBorder="1" applyAlignment="1">
      <alignment horizontal="center" vertical="center"/>
    </xf>
    <xf numFmtId="0" fontId="66" fillId="0" borderId="0" xfId="524" applyFont="1" applyAlignment="1">
      <alignment horizontal="center" vertical="center"/>
    </xf>
    <xf numFmtId="2" fontId="24" fillId="0" borderId="7" xfId="521" applyNumberFormat="1" applyFont="1" applyBorder="1"/>
    <xf numFmtId="2" fontId="24" fillId="0" borderId="2" xfId="521" applyNumberFormat="1" applyFont="1" applyBorder="1"/>
    <xf numFmtId="2" fontId="24" fillId="0" borderId="43" xfId="521" applyNumberFormat="1" applyFont="1" applyBorder="1"/>
    <xf numFmtId="49" fontId="24" fillId="0" borderId="42" xfId="521" applyNumberFormat="1" applyFont="1" applyBorder="1" applyAlignment="1">
      <alignment horizontal="center"/>
    </xf>
    <xf numFmtId="2" fontId="24" fillId="0" borderId="19" xfId="521" applyNumberFormat="1" applyFont="1" applyBorder="1"/>
    <xf numFmtId="0" fontId="24" fillId="0" borderId="20" xfId="521" applyFont="1" applyBorder="1"/>
    <xf numFmtId="0" fontId="24" fillId="0" borderId="12" xfId="521" applyFont="1" applyBorder="1" applyAlignment="1">
      <alignment horizontal="center"/>
    </xf>
    <xf numFmtId="169" fontId="24" fillId="0" borderId="18" xfId="379" applyNumberFormat="1" applyFont="1" applyFill="1" applyBorder="1" applyAlignment="1">
      <alignment horizontal="center"/>
    </xf>
    <xf numFmtId="169" fontId="41" fillId="0" borderId="12" xfId="379" applyNumberFormat="1" applyFont="1" applyBorder="1"/>
    <xf numFmtId="169" fontId="41" fillId="0" borderId="13" xfId="379" applyNumberFormat="1" applyFont="1" applyBorder="1"/>
    <xf numFmtId="169" fontId="41" fillId="0" borderId="1" xfId="379" applyNumberFormat="1" applyFont="1" applyBorder="1"/>
    <xf numFmtId="169" fontId="41" fillId="0" borderId="8" xfId="379" applyNumberFormat="1" applyFont="1" applyBorder="1"/>
    <xf numFmtId="169" fontId="24" fillId="0" borderId="11" xfId="379" applyNumberFormat="1" applyFont="1" applyFill="1" applyBorder="1" applyAlignment="1">
      <alignment horizontal="center"/>
    </xf>
    <xf numFmtId="3" fontId="24" fillId="0" borderId="1" xfId="558" applyNumberFormat="1" applyFont="1" applyFill="1" applyBorder="1" applyAlignment="1">
      <alignment horizontal="center"/>
    </xf>
    <xf numFmtId="3" fontId="24" fillId="0" borderId="1" xfId="379" applyNumberFormat="1" applyFont="1" applyFill="1" applyBorder="1" applyAlignment="1">
      <alignment horizontal="center"/>
    </xf>
    <xf numFmtId="3" fontId="24" fillId="0" borderId="10" xfId="558" applyNumberFormat="1" applyFont="1" applyFill="1" applyBorder="1" applyAlignment="1">
      <alignment horizontal="center"/>
    </xf>
    <xf numFmtId="0" fontId="24" fillId="0" borderId="39" xfId="521" applyFont="1" applyBorder="1" applyAlignment="1">
      <alignment horizontal="center" wrapText="1"/>
    </xf>
    <xf numFmtId="0" fontId="24" fillId="0" borderId="26" xfId="521" applyFont="1" applyBorder="1" applyAlignment="1">
      <alignment horizontal="center" wrapText="1"/>
    </xf>
    <xf numFmtId="0" fontId="24" fillId="0" borderId="70" xfId="521" applyFont="1" applyBorder="1" applyAlignment="1">
      <alignment horizontal="center" wrapText="1"/>
    </xf>
    <xf numFmtId="3" fontId="58" fillId="0" borderId="50" xfId="379" applyNumberFormat="1" applyFont="1" applyFill="1" applyBorder="1" applyAlignment="1">
      <alignment horizontal="center"/>
    </xf>
    <xf numFmtId="3" fontId="58" fillId="0" borderId="57" xfId="379" applyNumberFormat="1" applyFont="1" applyFill="1" applyBorder="1" applyAlignment="1">
      <alignment horizontal="center"/>
    </xf>
    <xf numFmtId="0" fontId="24" fillId="0" borderId="26" xfId="521" applyFont="1" applyFill="1" applyBorder="1" applyAlignment="1">
      <alignment horizontal="center" wrapText="1"/>
    </xf>
    <xf numFmtId="0" fontId="24" fillId="0" borderId="42" xfId="521" applyFont="1" applyFill="1" applyBorder="1" applyAlignment="1">
      <alignment horizontal="center" wrapText="1"/>
    </xf>
    <xf numFmtId="0" fontId="24" fillId="0" borderId="36" xfId="521" applyFont="1" applyFill="1" applyBorder="1" applyAlignment="1">
      <alignment horizontal="center" wrapText="1"/>
    </xf>
    <xf numFmtId="3" fontId="24" fillId="0" borderId="12" xfId="379" applyNumberFormat="1" applyFont="1" applyFill="1" applyBorder="1" applyAlignment="1">
      <alignment horizontal="center"/>
    </xf>
    <xf numFmtId="3" fontId="58" fillId="0" borderId="87" xfId="379" applyNumberFormat="1" applyFont="1" applyFill="1" applyBorder="1" applyAlignment="1">
      <alignment horizontal="center"/>
    </xf>
    <xf numFmtId="3" fontId="24" fillId="0" borderId="13" xfId="0" applyNumberFormat="1" applyFont="1" applyBorder="1"/>
    <xf numFmtId="3" fontId="24" fillId="0" borderId="8" xfId="0" applyNumberFormat="1" applyFont="1" applyBorder="1"/>
    <xf numFmtId="0" fontId="24" fillId="0" borderId="37" xfId="521" applyFont="1" applyFill="1" applyBorder="1" applyAlignment="1">
      <alignment horizontal="center" wrapText="1"/>
    </xf>
    <xf numFmtId="3" fontId="58" fillId="0" borderId="19" xfId="521" applyNumberFormat="1" applyFont="1" applyFill="1" applyBorder="1" applyAlignment="1">
      <alignment horizontal="center"/>
    </xf>
    <xf numFmtId="3" fontId="58" fillId="0" borderId="2" xfId="521" applyNumberFormat="1" applyFont="1" applyFill="1" applyBorder="1" applyAlignment="1">
      <alignment horizontal="center"/>
    </xf>
    <xf numFmtId="3" fontId="58" fillId="0" borderId="9" xfId="521" applyNumberFormat="1" applyFont="1" applyFill="1" applyBorder="1" applyAlignment="1">
      <alignment horizontal="center"/>
    </xf>
    <xf numFmtId="169" fontId="24" fillId="33" borderId="12" xfId="379" applyNumberFormat="1" applyFont="1" applyFill="1" applyBorder="1"/>
    <xf numFmtId="169" fontId="24" fillId="33" borderId="1" xfId="379" applyNumberFormat="1" applyFont="1" applyFill="1" applyBorder="1"/>
    <xf numFmtId="3" fontId="24" fillId="0" borderId="12" xfId="521" applyNumberFormat="1" applyFont="1" applyFill="1" applyBorder="1" applyAlignment="1">
      <alignment horizontal="center"/>
    </xf>
    <xf numFmtId="0" fontId="24" fillId="0" borderId="35" xfId="521" applyFont="1" applyBorder="1" applyAlignment="1">
      <alignment horizontal="center" wrapText="1"/>
    </xf>
    <xf numFmtId="169" fontId="24" fillId="0" borderId="12" xfId="379" applyNumberFormat="1" applyFont="1" applyFill="1" applyBorder="1" applyAlignment="1">
      <alignment horizontal="center"/>
    </xf>
    <xf numFmtId="169" fontId="24" fillId="0" borderId="13" xfId="379" applyNumberFormat="1" applyFont="1" applyFill="1" applyBorder="1" applyAlignment="1">
      <alignment horizontal="center"/>
    </xf>
    <xf numFmtId="0" fontId="24" fillId="0" borderId="27" xfId="521" applyFont="1" applyBorder="1"/>
    <xf numFmtId="0" fontId="24" fillId="0" borderId="89" xfId="521" applyFont="1" applyBorder="1"/>
    <xf numFmtId="0" fontId="24" fillId="0" borderId="28" xfId="521" applyFont="1" applyBorder="1" applyAlignment="1">
      <alignment horizontal="center"/>
    </xf>
    <xf numFmtId="169" fontId="24" fillId="0" borderId="28" xfId="379" applyNumberFormat="1" applyFont="1" applyFill="1" applyBorder="1" applyAlignment="1">
      <alignment horizontal="center"/>
    </xf>
    <xf numFmtId="169" fontId="24" fillId="0" borderId="29" xfId="379" applyNumberFormat="1" applyFont="1" applyFill="1" applyBorder="1" applyAlignment="1">
      <alignment horizontal="center"/>
    </xf>
    <xf numFmtId="0" fontId="24" fillId="0" borderId="28" xfId="521" applyFont="1" applyBorder="1"/>
    <xf numFmtId="3" fontId="24" fillId="0" borderId="28" xfId="521" applyNumberFormat="1" applyFont="1" applyFill="1" applyBorder="1" applyAlignment="1">
      <alignment horizontal="center"/>
    </xf>
    <xf numFmtId="10" fontId="24" fillId="0" borderId="27" xfId="558" applyNumberFormat="1" applyFont="1" applyFill="1" applyBorder="1" applyAlignment="1">
      <alignment horizontal="center"/>
    </xf>
    <xf numFmtId="3" fontId="24" fillId="0" borderId="28" xfId="558" applyNumberFormat="1" applyFont="1" applyFill="1" applyBorder="1" applyAlignment="1">
      <alignment horizontal="center"/>
    </xf>
    <xf numFmtId="3" fontId="58" fillId="0" borderId="88" xfId="379" applyNumberFormat="1" applyFont="1" applyFill="1" applyBorder="1" applyAlignment="1">
      <alignment horizontal="center"/>
    </xf>
    <xf numFmtId="3" fontId="24" fillId="0" borderId="88" xfId="379" applyNumberFormat="1" applyFont="1" applyFill="1" applyBorder="1" applyAlignment="1">
      <alignment horizontal="center"/>
    </xf>
    <xf numFmtId="3" fontId="24" fillId="0" borderId="29" xfId="379" applyNumberFormat="1" applyFont="1" applyFill="1" applyBorder="1" applyAlignment="1">
      <alignment horizontal="center"/>
    </xf>
    <xf numFmtId="0" fontId="24" fillId="33" borderId="10" xfId="0" applyFont="1" applyFill="1" applyBorder="1"/>
    <xf numFmtId="3" fontId="58" fillId="0" borderId="27" xfId="521" applyNumberFormat="1" applyFont="1" applyFill="1" applyBorder="1" applyAlignment="1">
      <alignment horizontal="center"/>
    </xf>
    <xf numFmtId="3" fontId="24" fillId="0" borderId="29" xfId="521" applyNumberFormat="1" applyFont="1" applyFill="1" applyBorder="1" applyAlignment="1">
      <alignment horizontal="center"/>
    </xf>
    <xf numFmtId="0" fontId="24" fillId="63" borderId="39" xfId="0" applyFont="1" applyFill="1" applyBorder="1"/>
    <xf numFmtId="0" fontId="24" fillId="63" borderId="26" xfId="0" applyFont="1" applyFill="1" applyBorder="1"/>
    <xf numFmtId="0" fontId="31" fillId="0" borderId="69" xfId="0" applyFont="1" applyBorder="1"/>
    <xf numFmtId="0" fontId="31" fillId="0" borderId="33" xfId="0" applyFont="1" applyBorder="1"/>
    <xf numFmtId="169" fontId="31" fillId="0" borderId="33" xfId="379" applyNumberFormat="1" applyFont="1" applyFill="1" applyBorder="1" applyAlignment="1">
      <alignment horizontal="right"/>
    </xf>
    <xf numFmtId="169" fontId="31" fillId="0" borderId="34" xfId="379" applyNumberFormat="1" applyFont="1" applyFill="1" applyBorder="1" applyAlignment="1">
      <alignment horizontal="right"/>
    </xf>
    <xf numFmtId="0" fontId="24" fillId="0" borderId="22" xfId="0" applyFont="1" applyBorder="1"/>
    <xf numFmtId="169" fontId="24" fillId="0" borderId="10" xfId="379" applyNumberFormat="1" applyFont="1" applyFill="1" applyBorder="1" applyAlignment="1">
      <alignment horizontal="right"/>
    </xf>
    <xf numFmtId="169" fontId="58" fillId="0" borderId="10" xfId="379" applyNumberFormat="1" applyFont="1" applyFill="1" applyBorder="1" applyAlignment="1">
      <alignment horizontal="right"/>
    </xf>
    <xf numFmtId="169" fontId="58" fillId="0" borderId="11" xfId="379" applyNumberFormat="1" applyFont="1" applyFill="1" applyBorder="1" applyAlignment="1">
      <alignment horizontal="right"/>
    </xf>
    <xf numFmtId="49" fontId="24" fillId="0" borderId="32" xfId="0" applyNumberFormat="1" applyFont="1" applyBorder="1"/>
    <xf numFmtId="0" fontId="24" fillId="0" borderId="33" xfId="0" applyFont="1" applyBorder="1"/>
    <xf numFmtId="43" fontId="58" fillId="0" borderId="33" xfId="379" applyNumberFormat="1" applyFont="1" applyFill="1" applyBorder="1" applyAlignment="1">
      <alignment horizontal="center"/>
    </xf>
    <xf numFmtId="169" fontId="58" fillId="0" borderId="10" xfId="379" applyNumberFormat="1" applyFont="1" applyFill="1" applyBorder="1" applyAlignment="1">
      <alignment horizontal="center"/>
    </xf>
    <xf numFmtId="2" fontId="24" fillId="0" borderId="43" xfId="0" applyNumberFormat="1" applyFont="1" applyBorder="1"/>
    <xf numFmtId="169" fontId="24" fillId="0" borderId="34" xfId="379" applyNumberFormat="1" applyFont="1" applyFill="1" applyBorder="1" applyAlignment="1">
      <alignment horizontal="center"/>
    </xf>
    <xf numFmtId="3" fontId="60" fillId="0" borderId="23" xfId="0" applyNumberFormat="1" applyFont="1" applyFill="1" applyBorder="1" applyAlignment="1">
      <alignment horizontal="center" vertical="center" wrapText="1"/>
    </xf>
    <xf numFmtId="3" fontId="60" fillId="0" borderId="30" xfId="0" applyNumberFormat="1" applyFont="1" applyFill="1" applyBorder="1" applyAlignment="1">
      <alignment horizontal="center" vertical="center" wrapText="1"/>
    </xf>
    <xf numFmtId="0" fontId="60" fillId="0" borderId="39"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26" xfId="0" applyFont="1" applyFill="1" applyBorder="1" applyAlignment="1">
      <alignment horizontal="center" vertical="center" wrapText="1"/>
    </xf>
    <xf numFmtId="0" fontId="60" fillId="0" borderId="42" xfId="0" applyFont="1" applyBorder="1" applyAlignment="1">
      <alignment horizontal="center" vertical="center" wrapText="1"/>
    </xf>
    <xf numFmtId="9" fontId="60" fillId="0" borderId="8" xfId="557" applyFont="1" applyFill="1" applyBorder="1" applyAlignment="1">
      <alignment horizontal="center" vertical="center" wrapText="1"/>
    </xf>
    <xf numFmtId="9" fontId="58" fillId="0" borderId="8" xfId="557" applyFont="1" applyFill="1" applyBorder="1" applyAlignment="1">
      <alignment horizontal="center" vertical="center" wrapText="1"/>
    </xf>
    <xf numFmtId="9" fontId="58" fillId="0" borderId="11" xfId="557" applyFont="1" applyFill="1" applyBorder="1" applyAlignment="1">
      <alignment horizontal="center" vertical="center" wrapText="1"/>
    </xf>
    <xf numFmtId="0" fontId="69" fillId="0" borderId="20" xfId="637" applyFont="1" applyBorder="1" applyAlignment="1">
      <alignment horizontal="center" vertical="center" wrapText="1"/>
    </xf>
    <xf numFmtId="0" fontId="60" fillId="0" borderId="21" xfId="0" applyFont="1" applyFill="1" applyBorder="1" applyAlignment="1">
      <alignment horizontal="center" vertical="center" wrapText="1"/>
    </xf>
    <xf numFmtId="0" fontId="58" fillId="0" borderId="21" xfId="0" applyFont="1" applyBorder="1" applyAlignment="1">
      <alignment horizontal="center" vertical="center" wrapText="1"/>
    </xf>
    <xf numFmtId="0" fontId="30" fillId="0" borderId="56" xfId="0" quotePrefix="1" applyFont="1" applyBorder="1" applyAlignment="1">
      <alignment horizontal="center" vertical="center" wrapText="1"/>
    </xf>
    <xf numFmtId="0" fontId="24" fillId="0" borderId="22" xfId="0" applyFont="1" applyBorder="1" applyAlignment="1">
      <alignment horizontal="center"/>
    </xf>
    <xf numFmtId="0" fontId="24" fillId="0" borderId="20" xfId="0" applyFont="1" applyBorder="1" applyAlignment="1">
      <alignment horizontal="center" wrapText="1"/>
    </xf>
    <xf numFmtId="49" fontId="24" fillId="0" borderId="21" xfId="0" applyNumberFormat="1" applyFont="1" applyBorder="1" applyAlignment="1">
      <alignment horizontal="center"/>
    </xf>
    <xf numFmtId="49" fontId="24" fillId="0" borderId="22" xfId="0" applyNumberFormat="1" applyFont="1" applyBorder="1" applyAlignment="1">
      <alignment horizontal="center"/>
    </xf>
    <xf numFmtId="0" fontId="30" fillId="0" borderId="21" xfId="0" quotePrefix="1" applyFont="1" applyBorder="1" applyAlignment="1">
      <alignment horizontal="center" vertical="center" wrapText="1"/>
    </xf>
    <xf numFmtId="3" fontId="58" fillId="0" borderId="23" xfId="0" applyNumberFormat="1" applyFont="1" applyBorder="1" applyAlignment="1">
      <alignment horizontal="center" vertical="center" wrapText="1"/>
    </xf>
    <xf numFmtId="0" fontId="82" fillId="0" borderId="50" xfId="0" applyFont="1" applyBorder="1" applyAlignment="1">
      <alignment horizontal="left"/>
    </xf>
    <xf numFmtId="186" fontId="131" fillId="0" borderId="1" xfId="891" applyNumberFormat="1" applyFont="1" applyBorder="1"/>
    <xf numFmtId="0" fontId="82" fillId="0" borderId="1" xfId="861" applyFont="1" applyBorder="1" applyAlignment="1">
      <alignment horizontal="center"/>
    </xf>
    <xf numFmtId="0" fontId="130" fillId="0" borderId="0" xfId="0" applyFont="1" applyProtection="1">
      <protection locked="0"/>
    </xf>
    <xf numFmtId="0" fontId="82" fillId="0" borderId="1" xfId="861" applyFont="1" applyBorder="1"/>
    <xf numFmtId="43" fontId="24" fillId="0" borderId="1" xfId="379" applyFont="1" applyBorder="1" applyAlignment="1" applyProtection="1">
      <alignment horizontal="center"/>
      <protection locked="0"/>
    </xf>
    <xf numFmtId="49" fontId="24" fillId="37" borderId="126" xfId="0" applyNumberFormat="1" applyFont="1" applyFill="1" applyBorder="1" applyAlignment="1">
      <alignment wrapText="1"/>
    </xf>
    <xf numFmtId="0" fontId="31" fillId="37" borderId="127" xfId="0" applyFont="1" applyFill="1" applyBorder="1" applyAlignment="1">
      <alignment horizontal="center"/>
    </xf>
    <xf numFmtId="0" fontId="31" fillId="37" borderId="128" xfId="0" applyFont="1" applyFill="1" applyBorder="1" applyAlignment="1">
      <alignment horizontal="center"/>
    </xf>
    <xf numFmtId="0" fontId="78" fillId="0" borderId="0" xfId="0" applyFont="1" applyAlignment="1">
      <alignment vertical="center" wrapText="1"/>
    </xf>
    <xf numFmtId="169" fontId="60" fillId="0" borderId="23" xfId="379" applyNumberFormat="1" applyFont="1" applyBorder="1" applyAlignment="1">
      <alignment horizontal="right" vertical="center" wrapText="1"/>
    </xf>
    <xf numFmtId="169" fontId="60" fillId="0" borderId="30" xfId="379" applyNumberFormat="1" applyFont="1" applyBorder="1" applyAlignment="1">
      <alignment horizontal="right" vertical="center" wrapText="1"/>
    </xf>
    <xf numFmtId="169" fontId="24" fillId="0" borderId="8" xfId="379" applyNumberFormat="1" applyFont="1" applyFill="1" applyBorder="1" applyAlignment="1">
      <alignment horizontal="right"/>
    </xf>
    <xf numFmtId="169" fontId="60" fillId="0" borderId="1" xfId="379" applyNumberFormat="1" applyFont="1" applyBorder="1" applyAlignment="1">
      <alignment horizontal="right" vertical="center" wrapText="1"/>
    </xf>
    <xf numFmtId="169" fontId="60" fillId="0" borderId="8" xfId="379" applyNumberFormat="1" applyFont="1" applyBorder="1" applyAlignment="1">
      <alignment horizontal="right" vertical="center" wrapText="1"/>
    </xf>
    <xf numFmtId="43" fontId="0" fillId="0" borderId="0" xfId="379" applyFont="1"/>
    <xf numFmtId="176" fontId="0" fillId="0" borderId="0" xfId="379" applyNumberFormat="1" applyFont="1"/>
    <xf numFmtId="43" fontId="0" fillId="0" borderId="0" xfId="0" applyNumberFormat="1"/>
    <xf numFmtId="169" fontId="0" fillId="0" borderId="0" xfId="0" applyNumberFormat="1"/>
    <xf numFmtId="169" fontId="58" fillId="0" borderId="87" xfId="379" applyNumberFormat="1" applyFont="1" applyFill="1" applyBorder="1" applyAlignment="1">
      <alignment horizontal="center"/>
    </xf>
    <xf numFmtId="169" fontId="58" fillId="0" borderId="1" xfId="379" applyNumberFormat="1" applyFont="1" applyFill="1" applyBorder="1" applyAlignment="1">
      <alignment horizontal="center"/>
    </xf>
    <xf numFmtId="169" fontId="58" fillId="0" borderId="88" xfId="379" applyNumberFormat="1" applyFont="1" applyFill="1" applyBorder="1" applyAlignment="1">
      <alignment horizontal="center"/>
    </xf>
    <xf numFmtId="3" fontId="58" fillId="0" borderId="7" xfId="521" applyNumberFormat="1" applyFont="1" applyFill="1" applyBorder="1" applyAlignment="1">
      <alignment horizontal="center"/>
    </xf>
    <xf numFmtId="3" fontId="24" fillId="0" borderId="23" xfId="521" applyNumberFormat="1" applyFont="1" applyFill="1" applyBorder="1" applyAlignment="1">
      <alignment horizontal="center"/>
    </xf>
    <xf numFmtId="3" fontId="58" fillId="0" borderId="43" xfId="521" applyNumberFormat="1" applyFont="1" applyFill="1" applyBorder="1" applyAlignment="1">
      <alignment horizontal="center"/>
    </xf>
    <xf numFmtId="3" fontId="58" fillId="0" borderId="39" xfId="521" applyNumberFormat="1" applyFont="1" applyFill="1" applyBorder="1" applyAlignment="1">
      <alignment horizontal="center"/>
    </xf>
    <xf numFmtId="3" fontId="24" fillId="0" borderId="26" xfId="521" applyNumberFormat="1" applyFont="1" applyFill="1" applyBorder="1" applyAlignment="1">
      <alignment horizontal="center"/>
    </xf>
    <xf numFmtId="3" fontId="24" fillId="0" borderId="42" xfId="521" applyNumberFormat="1" applyFont="1" applyFill="1" applyBorder="1" applyAlignment="1">
      <alignment horizontal="center"/>
    </xf>
    <xf numFmtId="169" fontId="24" fillId="0" borderId="90" xfId="379" applyNumberFormat="1" applyFont="1" applyFill="1" applyBorder="1" applyAlignment="1">
      <alignment horizontal="center"/>
    </xf>
    <xf numFmtId="169" fontId="24" fillId="0" borderId="53" xfId="379" applyNumberFormat="1" applyFont="1" applyFill="1" applyBorder="1" applyAlignment="1">
      <alignment horizontal="center"/>
    </xf>
    <xf numFmtId="169" fontId="24" fillId="0" borderId="41" xfId="379" applyNumberFormat="1" applyFont="1" applyFill="1" applyBorder="1" applyAlignment="1">
      <alignment horizontal="center"/>
    </xf>
    <xf numFmtId="169" fontId="24" fillId="0" borderId="108" xfId="379" applyNumberFormat="1" applyFont="1" applyFill="1" applyBorder="1" applyAlignment="1">
      <alignment horizontal="center"/>
    </xf>
    <xf numFmtId="3" fontId="60" fillId="0" borderId="21" xfId="0" applyNumberFormat="1" applyFont="1" applyFill="1" applyBorder="1" applyAlignment="1">
      <alignment horizontal="center" vertical="center" wrapText="1"/>
    </xf>
    <xf numFmtId="3" fontId="60" fillId="0" borderId="22" xfId="0" applyNumberFormat="1" applyFont="1" applyFill="1" applyBorder="1" applyAlignment="1">
      <alignment horizontal="center" vertical="center" wrapText="1"/>
    </xf>
    <xf numFmtId="0" fontId="24" fillId="0" borderId="0" xfId="0" applyFont="1" applyAlignment="1">
      <alignment vertical="center"/>
    </xf>
    <xf numFmtId="169" fontId="24" fillId="0" borderId="0" xfId="0" applyNumberFormat="1" applyFont="1" applyBorder="1" applyAlignment="1">
      <alignment horizontal="center"/>
    </xf>
    <xf numFmtId="3" fontId="24" fillId="0" borderId="0" xfId="0" applyNumberFormat="1" applyFont="1" applyBorder="1" applyAlignment="1">
      <alignment horizontal="center"/>
    </xf>
    <xf numFmtId="43" fontId="24" fillId="0" borderId="0" xfId="0" applyNumberFormat="1" applyFont="1" applyBorder="1"/>
    <xf numFmtId="169" fontId="24" fillId="0" borderId="0" xfId="379" applyNumberFormat="1" applyFont="1" applyBorder="1" applyAlignment="1">
      <alignment horizontal="center"/>
    </xf>
    <xf numFmtId="43" fontId="24" fillId="0" borderId="0" xfId="379" applyFont="1" applyBorder="1"/>
    <xf numFmtId="169" fontId="58" fillId="33" borderId="8" xfId="379" applyNumberFormat="1" applyFont="1" applyFill="1" applyBorder="1" applyAlignment="1">
      <alignment horizontal="center"/>
    </xf>
    <xf numFmtId="169" fontId="24" fillId="33" borderId="56" xfId="379" applyNumberFormat="1" applyFont="1" applyFill="1" applyBorder="1" applyAlignment="1">
      <alignment horizontal="center"/>
    </xf>
    <xf numFmtId="169" fontId="58" fillId="33" borderId="15" xfId="379" applyNumberFormat="1" applyFont="1" applyFill="1" applyBorder="1" applyAlignment="1">
      <alignment horizontal="center"/>
    </xf>
    <xf numFmtId="169" fontId="24" fillId="33" borderId="21" xfId="379" applyNumberFormat="1" applyFont="1" applyFill="1" applyBorder="1" applyAlignment="1">
      <alignment horizontal="center"/>
    </xf>
    <xf numFmtId="169" fontId="24" fillId="33" borderId="2" xfId="379" applyNumberFormat="1" applyFont="1" applyFill="1" applyBorder="1" applyAlignment="1">
      <alignment horizontal="center"/>
    </xf>
    <xf numFmtId="169" fontId="74" fillId="33" borderId="1" xfId="379" applyNumberFormat="1" applyFont="1" applyFill="1" applyBorder="1"/>
    <xf numFmtId="169" fontId="24" fillId="33" borderId="21" xfId="379" applyNumberFormat="1" applyFont="1" applyFill="1" applyBorder="1" applyAlignment="1">
      <alignment horizontal="right"/>
    </xf>
    <xf numFmtId="169" fontId="58" fillId="33" borderId="2" xfId="379" applyNumberFormat="1" applyFont="1" applyFill="1" applyBorder="1" applyAlignment="1">
      <alignment horizontal="center"/>
    </xf>
    <xf numFmtId="169" fontId="58" fillId="33" borderId="53" xfId="379" applyNumberFormat="1" applyFont="1" applyFill="1" applyBorder="1" applyAlignment="1">
      <alignment horizontal="center"/>
    </xf>
    <xf numFmtId="169" fontId="24" fillId="33" borderId="44" xfId="379" applyNumberFormat="1" applyFont="1" applyFill="1" applyBorder="1" applyAlignment="1">
      <alignment horizontal="center"/>
    </xf>
    <xf numFmtId="169" fontId="24" fillId="33" borderId="2" xfId="379" applyNumberFormat="1" applyFont="1" applyFill="1" applyBorder="1" applyAlignment="1">
      <alignment horizontal="center" vertical="center"/>
    </xf>
    <xf numFmtId="169" fontId="60" fillId="33" borderId="2" xfId="379" applyNumberFormat="1" applyFont="1" applyFill="1" applyBorder="1" applyAlignment="1">
      <alignment horizontal="center"/>
    </xf>
    <xf numFmtId="169" fontId="41" fillId="33" borderId="2" xfId="379" applyNumberFormat="1" applyFont="1" applyFill="1" applyBorder="1" applyAlignment="1">
      <alignment horizontal="center"/>
    </xf>
    <xf numFmtId="169" fontId="24" fillId="33" borderId="9" xfId="379" applyNumberFormat="1" applyFont="1" applyFill="1" applyBorder="1" applyAlignment="1">
      <alignment horizontal="center"/>
    </xf>
    <xf numFmtId="169" fontId="58" fillId="33" borderId="11" xfId="379" applyNumberFormat="1" applyFont="1" applyFill="1" applyBorder="1" applyAlignment="1">
      <alignment horizontal="center"/>
    </xf>
    <xf numFmtId="169" fontId="24" fillId="33" borderId="22" xfId="379" applyNumberFormat="1" applyFont="1" applyFill="1" applyBorder="1" applyAlignment="1">
      <alignment horizontal="center"/>
    </xf>
    <xf numFmtId="169" fontId="58" fillId="33" borderId="9" xfId="379" applyNumberFormat="1" applyFont="1" applyFill="1" applyBorder="1" applyAlignment="1">
      <alignment horizontal="center"/>
    </xf>
    <xf numFmtId="169" fontId="58" fillId="33" borderId="129" xfId="379" applyNumberFormat="1" applyFont="1" applyFill="1" applyBorder="1" applyAlignment="1">
      <alignment horizontal="center"/>
    </xf>
    <xf numFmtId="169" fontId="24" fillId="33" borderId="1" xfId="379" applyNumberFormat="1" applyFont="1" applyFill="1" applyBorder="1" applyProtection="1">
      <protection locked="0"/>
    </xf>
    <xf numFmtId="169" fontId="24" fillId="33" borderId="23" xfId="379" applyNumberFormat="1" applyFont="1" applyFill="1" applyBorder="1" applyProtection="1">
      <protection locked="0"/>
    </xf>
    <xf numFmtId="169" fontId="24" fillId="0" borderId="0" xfId="0" applyNumberFormat="1" applyFont="1" applyBorder="1" applyProtection="1">
      <protection locked="0"/>
    </xf>
    <xf numFmtId="0" fontId="31" fillId="0" borderId="51" xfId="0" applyFont="1" applyBorder="1" applyAlignment="1" applyProtection="1">
      <alignment horizontal="center" vertical="center" wrapText="1"/>
      <protection locked="0"/>
    </xf>
    <xf numFmtId="17" fontId="24" fillId="0" borderId="132" xfId="0" applyNumberFormat="1" applyFont="1" applyFill="1" applyBorder="1" applyAlignment="1">
      <alignment horizontal="center"/>
    </xf>
    <xf numFmtId="17" fontId="24" fillId="0" borderId="131" xfId="0" applyNumberFormat="1" applyFont="1" applyFill="1" applyBorder="1" applyAlignment="1">
      <alignment horizontal="center"/>
    </xf>
    <xf numFmtId="17" fontId="24" fillId="0" borderId="130" xfId="0" applyNumberFormat="1" applyFont="1" applyFill="1" applyBorder="1" applyAlignment="1">
      <alignment horizontal="center"/>
    </xf>
    <xf numFmtId="169" fontId="41" fillId="33" borderId="21" xfId="379" applyNumberFormat="1" applyFont="1" applyFill="1" applyBorder="1" applyAlignment="1">
      <alignment horizontal="center"/>
    </xf>
    <xf numFmtId="0" fontId="24" fillId="0" borderId="47" xfId="0" applyFont="1" applyFill="1" applyBorder="1" applyAlignment="1">
      <alignment horizontal="center"/>
    </xf>
    <xf numFmtId="43" fontId="58" fillId="0" borderId="0" xfId="379" applyFont="1" applyFill="1" applyBorder="1" applyAlignment="1">
      <alignment horizontal="center"/>
    </xf>
    <xf numFmtId="176" fontId="24" fillId="0" borderId="0" xfId="379" applyNumberFormat="1" applyFont="1" applyFill="1" applyBorder="1" applyAlignment="1">
      <alignment horizontal="center"/>
    </xf>
    <xf numFmtId="169" fontId="24" fillId="33" borderId="7" xfId="379" applyNumberFormat="1" applyFont="1" applyFill="1" applyBorder="1" applyAlignment="1">
      <alignment horizontal="center"/>
    </xf>
    <xf numFmtId="10" fontId="58" fillId="0" borderId="1" xfId="557" applyNumberFormat="1" applyFont="1" applyBorder="1" applyAlignment="1">
      <alignment horizontal="center" vertical="center" wrapText="1"/>
    </xf>
    <xf numFmtId="169" fontId="58" fillId="0" borderId="0" xfId="0" applyNumberFormat="1" applyFont="1"/>
    <xf numFmtId="176" fontId="24" fillId="0" borderId="0" xfId="379" applyNumberFormat="1" applyFont="1"/>
    <xf numFmtId="10" fontId="24" fillId="0" borderId="0" xfId="0" applyNumberFormat="1" applyFont="1" applyAlignment="1">
      <alignment horizontal="center"/>
    </xf>
    <xf numFmtId="10" fontId="24" fillId="0" borderId="0" xfId="379" applyNumberFormat="1" applyFont="1" applyAlignment="1">
      <alignment horizontal="center"/>
    </xf>
    <xf numFmtId="0" fontId="82" fillId="0" borderId="21" xfId="0" applyFont="1" applyBorder="1" applyAlignment="1">
      <alignment horizontal="center"/>
    </xf>
    <xf numFmtId="0" fontId="136" fillId="0" borderId="0" xfId="966" applyFont="1"/>
    <xf numFmtId="0" fontId="14" fillId="0" borderId="0" xfId="966"/>
    <xf numFmtId="43" fontId="14" fillId="0" borderId="0" xfId="967" applyFont="1"/>
    <xf numFmtId="0" fontId="96" fillId="0" borderId="1" xfId="966" applyFont="1" applyBorder="1" applyAlignment="1">
      <alignment horizontal="center"/>
    </xf>
    <xf numFmtId="172" fontId="14" fillId="0" borderId="0" xfId="967" applyNumberFormat="1" applyFont="1"/>
    <xf numFmtId="43" fontId="14" fillId="0" borderId="0" xfId="966" applyNumberFormat="1"/>
    <xf numFmtId="43" fontId="24" fillId="0" borderId="1" xfId="967" applyFont="1" applyFill="1" applyBorder="1" applyAlignment="1">
      <alignment vertical="top"/>
    </xf>
    <xf numFmtId="0" fontId="135" fillId="0" borderId="0" xfId="966" applyFont="1"/>
    <xf numFmtId="43" fontId="24" fillId="0" borderId="1" xfId="967" applyFont="1" applyBorder="1" applyAlignment="1">
      <alignment vertical="top"/>
    </xf>
    <xf numFmtId="43" fontId="41" fillId="0" borderId="1" xfId="967" applyFont="1" applyFill="1" applyBorder="1"/>
    <xf numFmtId="43" fontId="41" fillId="67" borderId="1" xfId="967" applyFont="1" applyFill="1" applyBorder="1"/>
    <xf numFmtId="43" fontId="41" fillId="0" borderId="1" xfId="967" applyFont="1" applyBorder="1"/>
    <xf numFmtId="43" fontId="42" fillId="66" borderId="1" xfId="967" applyFont="1" applyFill="1" applyBorder="1"/>
    <xf numFmtId="0" fontId="96" fillId="0" borderId="0" xfId="966" applyFont="1"/>
    <xf numFmtId="0" fontId="96" fillId="0" borderId="1" xfId="966" applyFont="1" applyBorder="1"/>
    <xf numFmtId="0" fontId="132" fillId="66" borderId="1" xfId="966" applyFont="1" applyFill="1" applyBorder="1" applyAlignment="1">
      <alignment horizontal="center"/>
    </xf>
    <xf numFmtId="0" fontId="96" fillId="0" borderId="0" xfId="966" applyFont="1" applyAlignment="1">
      <alignment horizontal="center"/>
    </xf>
    <xf numFmtId="0" fontId="96" fillId="0" borderId="0" xfId="966" applyFont="1" applyFill="1" applyBorder="1" applyAlignment="1">
      <alignment horizontal="center"/>
    </xf>
    <xf numFmtId="0" fontId="96" fillId="0" borderId="0" xfId="966" applyFont="1" applyFill="1" applyBorder="1"/>
    <xf numFmtId="43" fontId="41" fillId="63" borderId="1" xfId="967" applyFont="1" applyFill="1" applyBorder="1"/>
    <xf numFmtId="17" fontId="24" fillId="0" borderId="23" xfId="0" applyNumberFormat="1" applyFont="1" applyBorder="1" applyAlignment="1" applyProtection="1">
      <alignment horizontal="left"/>
      <protection locked="0"/>
    </xf>
    <xf numFmtId="43" fontId="13" fillId="0" borderId="1" xfId="379" applyFont="1" applyBorder="1"/>
    <xf numFmtId="0" fontId="13" fillId="0" borderId="0" xfId="966" applyFont="1"/>
    <xf numFmtId="10" fontId="125" fillId="0" borderId="0" xfId="557" applyNumberFormat="1" applyFont="1" applyBorder="1"/>
    <xf numFmtId="43" fontId="125" fillId="33" borderId="125" xfId="769" applyNumberFormat="1" applyFont="1" applyFill="1" applyBorder="1"/>
    <xf numFmtId="0" fontId="14" fillId="0" borderId="21" xfId="966" applyBorder="1"/>
    <xf numFmtId="169" fontId="41" fillId="33" borderId="1" xfId="379" applyNumberFormat="1" applyFont="1" applyFill="1" applyBorder="1"/>
    <xf numFmtId="0" fontId="96" fillId="68" borderId="1" xfId="966" applyFont="1" applyFill="1" applyBorder="1" applyAlignment="1">
      <alignment horizontal="center"/>
    </xf>
    <xf numFmtId="0" fontId="96" fillId="68" borderId="0" xfId="966" applyFont="1" applyFill="1" applyAlignment="1">
      <alignment horizontal="center"/>
    </xf>
    <xf numFmtId="0" fontId="14" fillId="68" borderId="0" xfId="966" applyFill="1"/>
    <xf numFmtId="0" fontId="13" fillId="0" borderId="50" xfId="966" applyFont="1" applyBorder="1"/>
    <xf numFmtId="0" fontId="14" fillId="0" borderId="50" xfId="966" applyBorder="1"/>
    <xf numFmtId="43" fontId="24" fillId="0" borderId="0" xfId="0" applyNumberFormat="1" applyFont="1"/>
    <xf numFmtId="10" fontId="24" fillId="0" borderId="0" xfId="557" applyNumberFormat="1" applyFont="1"/>
    <xf numFmtId="187" fontId="24" fillId="0" borderId="0" xfId="557" applyNumberFormat="1" applyFont="1"/>
    <xf numFmtId="171" fontId="60" fillId="0" borderId="28" xfId="0" applyNumberFormat="1" applyFont="1" applyBorder="1" applyAlignment="1">
      <alignment horizontal="center" wrapText="1"/>
    </xf>
    <xf numFmtId="0" fontId="24" fillId="0" borderId="129" xfId="0" applyFont="1" applyBorder="1" applyAlignment="1">
      <alignment horizontal="center"/>
    </xf>
    <xf numFmtId="0" fontId="138" fillId="0" borderId="16" xfId="0" applyFont="1" applyBorder="1" applyAlignment="1">
      <alignment horizontal="center"/>
    </xf>
    <xf numFmtId="3" fontId="24" fillId="0" borderId="13" xfId="0" applyNumberFormat="1" applyFont="1" applyBorder="1" applyAlignment="1">
      <alignment horizontal="center"/>
    </xf>
    <xf numFmtId="0" fontId="24" fillId="0" borderId="8" xfId="0" applyFont="1" applyBorder="1" applyAlignment="1">
      <alignment horizontal="center"/>
    </xf>
    <xf numFmtId="3" fontId="24" fillId="0" borderId="8" xfId="0" applyNumberFormat="1" applyFont="1" applyBorder="1" applyAlignment="1">
      <alignment horizontal="center"/>
    </xf>
    <xf numFmtId="0" fontId="24" fillId="0" borderId="11" xfId="0" applyFont="1" applyBorder="1" applyAlignment="1">
      <alignment horizontal="center"/>
    </xf>
    <xf numFmtId="3" fontId="24" fillId="0" borderId="30" xfId="0" applyNumberFormat="1" applyFont="1" applyBorder="1" applyAlignment="1">
      <alignment horizontal="center"/>
    </xf>
    <xf numFmtId="0" fontId="24" fillId="0" borderId="44" xfId="0" applyFont="1" applyBorder="1" applyAlignment="1">
      <alignment horizontal="center"/>
    </xf>
    <xf numFmtId="0" fontId="24" fillId="0" borderId="18" xfId="0" applyFont="1" applyBorder="1" applyAlignment="1">
      <alignment horizontal="center"/>
    </xf>
    <xf numFmtId="169" fontId="60" fillId="33" borderId="21" xfId="379" applyNumberFormat="1" applyFont="1" applyFill="1" applyBorder="1" applyAlignment="1">
      <alignment horizontal="center"/>
    </xf>
    <xf numFmtId="169" fontId="24" fillId="33" borderId="19" xfId="379" applyNumberFormat="1" applyFont="1" applyFill="1" applyBorder="1" applyAlignment="1">
      <alignment horizontal="center"/>
    </xf>
    <xf numFmtId="169" fontId="58" fillId="33" borderId="13" xfId="379" applyNumberFormat="1" applyFont="1" applyFill="1" applyBorder="1" applyAlignment="1">
      <alignment horizontal="center"/>
    </xf>
    <xf numFmtId="0" fontId="139" fillId="0" borderId="0" xfId="0" applyFont="1"/>
    <xf numFmtId="0" fontId="139" fillId="0" borderId="1" xfId="969" applyFont="1" applyBorder="1"/>
    <xf numFmtId="43" fontId="139" fillId="0" borderId="1" xfId="379" applyFont="1" applyBorder="1"/>
    <xf numFmtId="0" fontId="139" fillId="0" borderId="1" xfId="0" applyFont="1" applyBorder="1"/>
    <xf numFmtId="13" fontId="139" fillId="0" borderId="0" xfId="379" applyNumberFormat="1" applyFont="1"/>
    <xf numFmtId="43" fontId="139" fillId="0" borderId="0" xfId="379" applyFont="1"/>
    <xf numFmtId="0" fontId="139" fillId="0" borderId="1" xfId="969" applyFont="1" applyFill="1" applyBorder="1"/>
    <xf numFmtId="0" fontId="139" fillId="0" borderId="0" xfId="0" applyFont="1" applyAlignment="1">
      <alignment horizontal="left"/>
    </xf>
    <xf numFmtId="43" fontId="24" fillId="0" borderId="1" xfId="379" applyFont="1" applyBorder="1"/>
    <xf numFmtId="43" fontId="24" fillId="0" borderId="1" xfId="0" applyNumberFormat="1" applyFont="1" applyBorder="1"/>
    <xf numFmtId="0" fontId="32" fillId="0" borderId="0" xfId="0" applyFont="1" applyAlignment="1">
      <alignment horizontal="left"/>
    </xf>
    <xf numFmtId="43" fontId="24" fillId="0" borderId="23" xfId="379" applyFont="1" applyBorder="1"/>
    <xf numFmtId="0" fontId="140" fillId="66" borderId="39" xfId="0" applyFont="1" applyFill="1" applyBorder="1" applyAlignment="1">
      <alignment horizontal="left"/>
    </xf>
    <xf numFmtId="43" fontId="140" fillId="66" borderId="26" xfId="379" applyFont="1" applyFill="1" applyBorder="1" applyAlignment="1">
      <alignment horizontal="center" vertical="center" wrapText="1"/>
    </xf>
    <xf numFmtId="43" fontId="140" fillId="66" borderId="26" xfId="379" applyFont="1" applyFill="1" applyBorder="1" applyAlignment="1">
      <alignment horizontal="center" vertical="center"/>
    </xf>
    <xf numFmtId="0" fontId="139" fillId="63" borderId="1" xfId="0" applyFont="1" applyFill="1" applyBorder="1"/>
    <xf numFmtId="0" fontId="141" fillId="0" borderId="0" xfId="0" applyFont="1"/>
    <xf numFmtId="43" fontId="24" fillId="0" borderId="0" xfId="379" applyFont="1"/>
    <xf numFmtId="0" fontId="24" fillId="0" borderId="0" xfId="0" applyFont="1" applyBorder="1" applyAlignment="1"/>
    <xf numFmtId="0" fontId="42" fillId="66" borderId="1" xfId="0" applyFont="1" applyFill="1" applyBorder="1" applyAlignment="1">
      <alignment horizontal="center"/>
    </xf>
    <xf numFmtId="0" fontId="24" fillId="66" borderId="0" xfId="0" applyFont="1" applyFill="1"/>
    <xf numFmtId="0" fontId="140" fillId="66" borderId="0" xfId="0" applyFont="1" applyFill="1"/>
    <xf numFmtId="0" fontId="143" fillId="66" borderId="0" xfId="0" applyFont="1" applyFill="1"/>
    <xf numFmtId="0" fontId="24" fillId="67" borderId="1" xfId="0" applyFont="1" applyFill="1" applyBorder="1"/>
    <xf numFmtId="43" fontId="24" fillId="67" borderId="1" xfId="379" applyFont="1" applyFill="1" applyBorder="1"/>
    <xf numFmtId="0" fontId="31" fillId="67" borderId="4" xfId="0" applyFont="1" applyFill="1" applyBorder="1" applyAlignment="1" applyProtection="1">
      <alignment horizontal="center" vertical="center" wrapText="1"/>
      <protection locked="0"/>
    </xf>
    <xf numFmtId="0" fontId="139" fillId="66" borderId="0" xfId="0" applyFont="1" applyFill="1"/>
    <xf numFmtId="0" fontId="140" fillId="66" borderId="1" xfId="0" applyFont="1" applyFill="1" applyBorder="1" applyAlignment="1">
      <alignment horizontal="center"/>
    </xf>
    <xf numFmtId="0" fontId="140" fillId="66" borderId="1" xfId="0" applyFont="1" applyFill="1" applyBorder="1" applyAlignment="1">
      <alignment horizontal="center" wrapText="1"/>
    </xf>
    <xf numFmtId="0" fontId="139" fillId="0" borderId="0" xfId="0" applyFont="1" applyAlignment="1">
      <alignment horizontal="center"/>
    </xf>
    <xf numFmtId="0" fontId="140" fillId="66" borderId="44" xfId="0" applyFont="1" applyFill="1" applyBorder="1" applyAlignment="1">
      <alignment horizontal="center"/>
    </xf>
    <xf numFmtId="43" fontId="142" fillId="66" borderId="26" xfId="379" applyFont="1" applyFill="1" applyBorder="1" applyAlignment="1">
      <alignment horizontal="center" vertical="center"/>
    </xf>
    <xf numFmtId="43" fontId="142" fillId="66" borderId="42" xfId="379" applyFont="1" applyFill="1" applyBorder="1" applyAlignment="1">
      <alignment vertical="center"/>
    </xf>
    <xf numFmtId="0" fontId="36" fillId="0" borderId="0" xfId="0" applyFont="1"/>
    <xf numFmtId="169" fontId="24" fillId="0" borderId="1" xfId="0" applyNumberFormat="1" applyFont="1" applyBorder="1"/>
    <xf numFmtId="0" fontId="24" fillId="0" borderId="0" xfId="0" applyFont="1" applyAlignment="1">
      <alignment wrapText="1"/>
    </xf>
    <xf numFmtId="0" fontId="24" fillId="0" borderId="71" xfId="0" applyFont="1" applyBorder="1" applyAlignment="1">
      <alignment horizontal="center" wrapText="1"/>
    </xf>
    <xf numFmtId="43" fontId="60" fillId="0" borderId="1" xfId="379" applyFont="1" applyFill="1" applyBorder="1" applyAlignment="1">
      <alignment horizontal="center" vertical="center" wrapText="1"/>
    </xf>
    <xf numFmtId="43" fontId="60" fillId="0" borderId="10" xfId="379" applyFont="1" applyFill="1" applyBorder="1" applyAlignment="1">
      <alignment horizontal="center" vertical="center" wrapText="1"/>
    </xf>
    <xf numFmtId="169" fontId="60" fillId="0" borderId="1" xfId="379" applyNumberFormat="1" applyFont="1" applyFill="1" applyBorder="1" applyAlignment="1">
      <alignment horizontal="center" vertical="center" wrapText="1"/>
    </xf>
    <xf numFmtId="169" fontId="60" fillId="0" borderId="23" xfId="379" applyNumberFormat="1" applyFont="1" applyBorder="1" applyAlignment="1">
      <alignment horizontal="center" vertical="center" wrapText="1"/>
    </xf>
    <xf numFmtId="43" fontId="18" fillId="69" borderId="0" xfId="768" applyNumberFormat="1" applyFont="1" applyFill="1" applyBorder="1" applyAlignment="1">
      <alignment horizontal="center" vertical="center"/>
    </xf>
    <xf numFmtId="43" fontId="18" fillId="69" borderId="69" xfId="768" applyNumberFormat="1" applyFont="1" applyFill="1" applyBorder="1" applyAlignment="1">
      <alignment horizontal="center" vertical="center"/>
    </xf>
    <xf numFmtId="43" fontId="18" fillId="69" borderId="71" xfId="768" applyNumberFormat="1" applyFont="1" applyFill="1" applyBorder="1" applyAlignment="1">
      <alignment horizontal="center" vertical="center"/>
    </xf>
    <xf numFmtId="43" fontId="18" fillId="69" borderId="56" xfId="768" applyNumberFormat="1" applyFont="1" applyFill="1" applyBorder="1" applyAlignment="1">
      <alignment horizontal="center" vertical="center"/>
    </xf>
    <xf numFmtId="0" fontId="12" fillId="0" borderId="109" xfId="768" applyFont="1" applyBorder="1" applyAlignment="1">
      <alignment wrapText="1"/>
    </xf>
    <xf numFmtId="0" fontId="12" fillId="0" borderId="7" xfId="768" applyFont="1" applyBorder="1" applyAlignment="1">
      <alignment wrapText="1"/>
    </xf>
    <xf numFmtId="0" fontId="96" fillId="0" borderId="1" xfId="966" applyFont="1" applyFill="1" applyBorder="1"/>
    <xf numFmtId="0" fontId="14" fillId="0" borderId="0" xfId="966" applyFill="1"/>
    <xf numFmtId="43" fontId="139" fillId="0" borderId="0" xfId="379" applyFont="1" applyBorder="1"/>
    <xf numFmtId="43" fontId="142" fillId="66" borderId="4" xfId="379" applyFont="1" applyFill="1" applyBorder="1" applyAlignment="1">
      <alignment vertical="center"/>
    </xf>
    <xf numFmtId="0" fontId="35" fillId="0" borderId="0" xfId="0" applyFont="1"/>
    <xf numFmtId="0" fontId="35" fillId="0" borderId="0" xfId="0" applyFont="1" applyAlignment="1">
      <alignment wrapText="1"/>
    </xf>
    <xf numFmtId="169" fontId="35" fillId="0" borderId="0" xfId="379" applyNumberFormat="1" applyFont="1" applyAlignment="1">
      <alignment wrapText="1"/>
    </xf>
    <xf numFmtId="0" fontId="35" fillId="0" borderId="0" xfId="0" applyFont="1" applyAlignment="1">
      <alignment horizontal="right"/>
    </xf>
    <xf numFmtId="0" fontId="35" fillId="0" borderId="1" xfId="0" applyFont="1" applyBorder="1" applyAlignment="1">
      <alignment horizontal="right"/>
    </xf>
    <xf numFmtId="169" fontId="35" fillId="0" borderId="1" xfId="379" applyNumberFormat="1" applyFont="1" applyBorder="1" applyAlignment="1">
      <alignment wrapText="1"/>
    </xf>
    <xf numFmtId="188" fontId="35" fillId="0" borderId="1" xfId="978" applyNumberFormat="1" applyFont="1" applyBorder="1" applyAlignment="1">
      <alignment wrapText="1"/>
    </xf>
    <xf numFmtId="0" fontId="142" fillId="66" borderId="1" xfId="0" applyFont="1" applyFill="1" applyBorder="1" applyAlignment="1">
      <alignment horizontal="right"/>
    </xf>
    <xf numFmtId="169" fontId="142" fillId="66" borderId="1" xfId="379" applyNumberFormat="1" applyFont="1" applyFill="1" applyBorder="1" applyAlignment="1">
      <alignment wrapText="1"/>
    </xf>
    <xf numFmtId="188" fontId="142" fillId="66" borderId="1" xfId="978" applyNumberFormat="1" applyFont="1" applyFill="1" applyBorder="1" applyAlignment="1">
      <alignment wrapText="1"/>
    </xf>
    <xf numFmtId="188" fontId="35" fillId="0" borderId="1" xfId="978" applyNumberFormat="1" applyFont="1" applyFill="1" applyBorder="1" applyAlignment="1">
      <alignment wrapText="1"/>
    </xf>
    <xf numFmtId="166" fontId="35" fillId="0" borderId="1" xfId="0" applyNumberFormat="1" applyFont="1" applyBorder="1" applyAlignment="1">
      <alignment wrapText="1"/>
    </xf>
    <xf numFmtId="169" fontId="98" fillId="0" borderId="1" xfId="379" applyNumberFormat="1" applyFont="1" applyBorder="1" applyAlignment="1">
      <alignment horizontal="center" wrapText="1"/>
    </xf>
    <xf numFmtId="0" fontId="40" fillId="0" borderId="1" xfId="0" applyFont="1" applyBorder="1" applyAlignment="1">
      <alignment wrapText="1"/>
    </xf>
    <xf numFmtId="0" fontId="98" fillId="0" borderId="0" xfId="608" applyFont="1"/>
    <xf numFmtId="0" fontId="36" fillId="0" borderId="0" xfId="608" applyFont="1"/>
    <xf numFmtId="169" fontId="35" fillId="0" borderId="0" xfId="0" applyNumberFormat="1" applyFont="1"/>
    <xf numFmtId="0" fontId="35" fillId="0" borderId="0" xfId="608" applyFont="1"/>
    <xf numFmtId="169" fontId="35" fillId="33" borderId="1" xfId="379" applyNumberFormat="1" applyFont="1" applyFill="1" applyBorder="1"/>
    <xf numFmtId="189" fontId="144" fillId="0" borderId="0" xfId="608" applyNumberFormat="1" applyFont="1" applyFill="1"/>
    <xf numFmtId="0" fontId="37" fillId="0" borderId="0" xfId="608" applyFont="1"/>
    <xf numFmtId="166" fontId="35" fillId="0" borderId="0" xfId="983" applyNumberFormat="1" applyFont="1" applyFill="1"/>
    <xf numFmtId="166" fontId="35" fillId="0" borderId="0" xfId="608" applyNumberFormat="1" applyFont="1"/>
    <xf numFmtId="0" fontId="36" fillId="0" borderId="0" xfId="608" applyFont="1" applyAlignment="1">
      <alignment horizontal="left" indent="1"/>
    </xf>
    <xf numFmtId="0" fontId="35" fillId="0" borderId="0" xfId="608" applyFont="1" applyAlignment="1">
      <alignment horizontal="left" indent="2"/>
    </xf>
    <xf numFmtId="166" fontId="35" fillId="0" borderId="0" xfId="608" applyNumberFormat="1" applyFont="1" applyAlignment="1">
      <alignment horizontal="center"/>
    </xf>
    <xf numFmtId="0" fontId="35" fillId="0" borderId="0" xfId="608" applyFont="1" applyAlignment="1">
      <alignment horizontal="left" indent="1"/>
    </xf>
    <xf numFmtId="0" fontId="35" fillId="0" borderId="0" xfId="608" applyFont="1" applyAlignment="1">
      <alignment horizontal="center"/>
    </xf>
    <xf numFmtId="169" fontId="39" fillId="33" borderId="39" xfId="379" applyNumberFormat="1" applyFont="1" applyFill="1" applyBorder="1"/>
    <xf numFmtId="169" fontId="39" fillId="33" borderId="42" xfId="379" applyNumberFormat="1" applyFont="1" applyFill="1" applyBorder="1"/>
    <xf numFmtId="169" fontId="24" fillId="33" borderId="15" xfId="379" applyNumberFormat="1" applyFont="1" applyFill="1" applyBorder="1" applyAlignment="1">
      <alignment horizontal="center"/>
    </xf>
    <xf numFmtId="169" fontId="35" fillId="0" borderId="0" xfId="379" applyNumberFormat="1" applyFont="1"/>
    <xf numFmtId="176" fontId="35" fillId="0" borderId="0" xfId="379" applyNumberFormat="1" applyFont="1"/>
    <xf numFmtId="176" fontId="35" fillId="0" borderId="0" xfId="379" applyNumberFormat="1" applyFont="1" applyAlignment="1">
      <alignment horizontal="center"/>
    </xf>
    <xf numFmtId="17" fontId="35" fillId="0" borderId="1" xfId="0" quotePrefix="1" applyNumberFormat="1" applyFont="1" applyBorder="1" applyAlignment="1">
      <alignment horizontal="right"/>
    </xf>
    <xf numFmtId="0" fontId="35" fillId="0" borderId="1" xfId="0" quotePrefix="1" applyFont="1" applyBorder="1" applyAlignment="1">
      <alignment horizontal="right"/>
    </xf>
    <xf numFmtId="0" fontId="37" fillId="0" borderId="0" xfId="608" applyFont="1" applyAlignment="1">
      <alignment horizontal="center"/>
    </xf>
    <xf numFmtId="169" fontId="35" fillId="0" borderId="1" xfId="379" applyNumberFormat="1" applyFont="1" applyBorder="1"/>
    <xf numFmtId="176" fontId="35" fillId="0" borderId="1" xfId="379" applyNumberFormat="1" applyFont="1" applyBorder="1" applyAlignment="1">
      <alignment horizontal="center"/>
    </xf>
    <xf numFmtId="176" fontId="35" fillId="0" borderId="1" xfId="379" applyNumberFormat="1" applyFont="1" applyBorder="1"/>
    <xf numFmtId="0" fontId="35" fillId="0" borderId="0" xfId="0" applyFont="1" applyFill="1" applyBorder="1"/>
    <xf numFmtId="49" fontId="35" fillId="0" borderId="0" xfId="0" applyNumberFormat="1" applyFont="1" applyFill="1" applyBorder="1" applyAlignment="1">
      <alignment horizontal="center"/>
    </xf>
    <xf numFmtId="169" fontId="35" fillId="0" borderId="0" xfId="379" applyNumberFormat="1" applyFont="1" applyFill="1" applyBorder="1"/>
    <xf numFmtId="176" fontId="35" fillId="0" borderId="0" xfId="379" applyNumberFormat="1" applyFont="1" applyFill="1" applyBorder="1"/>
    <xf numFmtId="169" fontId="35" fillId="0" borderId="0" xfId="0" applyNumberFormat="1" applyFont="1" applyFill="1" applyBorder="1"/>
    <xf numFmtId="169" fontId="142" fillId="66" borderId="0" xfId="379" applyNumberFormat="1" applyFont="1" applyFill="1" applyBorder="1"/>
    <xf numFmtId="169" fontId="35" fillId="33" borderId="44" xfId="379" applyNumberFormat="1" applyFont="1" applyFill="1" applyBorder="1"/>
    <xf numFmtId="169" fontId="35" fillId="35" borderId="39" xfId="379" applyNumberFormat="1" applyFont="1" applyFill="1" applyBorder="1"/>
    <xf numFmtId="169" fontId="35" fillId="35" borderId="26" xfId="379" applyNumberFormat="1" applyFont="1" applyFill="1" applyBorder="1"/>
    <xf numFmtId="169" fontId="35" fillId="35" borderId="42" xfId="379" applyNumberFormat="1" applyFont="1" applyFill="1" applyBorder="1"/>
    <xf numFmtId="49" fontId="142" fillId="66" borderId="1" xfId="379" applyNumberFormat="1" applyFont="1" applyFill="1" applyBorder="1" applyAlignment="1">
      <alignment horizontal="center"/>
    </xf>
    <xf numFmtId="49" fontId="142" fillId="66" borderId="1" xfId="0" applyNumberFormat="1" applyFont="1" applyFill="1" applyBorder="1" applyAlignment="1">
      <alignment horizontal="center"/>
    </xf>
    <xf numFmtId="176" fontId="35" fillId="67" borderId="1" xfId="379" applyNumberFormat="1" applyFont="1" applyFill="1" applyBorder="1" applyAlignment="1">
      <alignment horizontal="center"/>
    </xf>
    <xf numFmtId="169" fontId="145" fillId="66" borderId="1" xfId="379" applyNumberFormat="1" applyFont="1" applyFill="1" applyBorder="1" applyAlignment="1">
      <alignment horizontal="center" wrapText="1"/>
    </xf>
    <xf numFmtId="0" fontId="146" fillId="66" borderId="1" xfId="0" applyFont="1" applyFill="1" applyBorder="1" applyAlignment="1">
      <alignment wrapText="1"/>
    </xf>
    <xf numFmtId="169" fontId="35" fillId="35" borderId="39" xfId="0" applyNumberFormat="1" applyFont="1" applyFill="1" applyBorder="1"/>
    <xf numFmtId="169" fontId="35" fillId="35" borderId="26" xfId="0" applyNumberFormat="1" applyFont="1" applyFill="1" applyBorder="1"/>
    <xf numFmtId="169" fontId="35" fillId="35" borderId="42" xfId="0" applyNumberFormat="1" applyFont="1" applyFill="1" applyBorder="1"/>
    <xf numFmtId="2" fontId="35" fillId="0" borderId="0" xfId="608" applyNumberFormat="1" applyFont="1"/>
    <xf numFmtId="0" fontId="24" fillId="0" borderId="1" xfId="0" applyFont="1" applyBorder="1" applyAlignment="1" applyProtection="1">
      <alignment horizontal="center"/>
      <protection locked="0"/>
    </xf>
    <xf numFmtId="43" fontId="24" fillId="0" borderId="0" xfId="379" applyFont="1" applyBorder="1" applyProtection="1">
      <protection locked="0"/>
    </xf>
    <xf numFmtId="0" fontId="0" fillId="0" borderId="0" xfId="0" applyBorder="1"/>
    <xf numFmtId="0" fontId="75" fillId="0" borderId="0" xfId="0" applyFont="1" applyFill="1" applyBorder="1" applyAlignment="1">
      <alignment horizontal="center"/>
    </xf>
    <xf numFmtId="0" fontId="35" fillId="0" borderId="0" xfId="0" applyFont="1" applyAlignment="1">
      <alignment horizontal="center"/>
    </xf>
    <xf numFmtId="43" fontId="35" fillId="0" borderId="0" xfId="379" applyFont="1" applyAlignment="1">
      <alignment horizontal="center"/>
    </xf>
    <xf numFmtId="172" fontId="35" fillId="0" borderId="0" xfId="379" applyNumberFormat="1" applyFont="1" applyAlignment="1">
      <alignment horizontal="center"/>
    </xf>
    <xf numFmtId="43" fontId="35" fillId="0" borderId="0" xfId="379" applyFont="1"/>
    <xf numFmtId="10" fontId="35" fillId="0" borderId="0" xfId="557" applyNumberFormat="1" applyFont="1" applyAlignment="1">
      <alignment horizontal="center"/>
    </xf>
    <xf numFmtId="3" fontId="35" fillId="0" borderId="0" xfId="0" applyNumberFormat="1" applyFont="1"/>
    <xf numFmtId="0" fontId="35" fillId="0" borderId="1" xfId="0" applyFont="1" applyBorder="1" applyAlignment="1">
      <alignment horizontal="center"/>
    </xf>
    <xf numFmtId="3" fontId="35" fillId="0" borderId="1" xfId="0" applyNumberFormat="1" applyFont="1" applyBorder="1"/>
    <xf numFmtId="10" fontId="35" fillId="0" borderId="1" xfId="557" applyNumberFormat="1" applyFont="1" applyBorder="1" applyAlignment="1">
      <alignment horizontal="center"/>
    </xf>
    <xf numFmtId="169" fontId="35" fillId="0" borderId="0" xfId="379" applyNumberFormat="1" applyFont="1" applyAlignment="1">
      <alignment horizontal="center"/>
    </xf>
    <xf numFmtId="169" fontId="35" fillId="0" borderId="1" xfId="379" applyNumberFormat="1" applyFont="1" applyBorder="1" applyAlignment="1">
      <alignment horizontal="center"/>
    </xf>
    <xf numFmtId="169" fontId="35" fillId="0" borderId="50" xfId="379" applyNumberFormat="1" applyFont="1" applyBorder="1" applyAlignment="1">
      <alignment horizontal="center"/>
    </xf>
    <xf numFmtId="10" fontId="35" fillId="69" borderId="4" xfId="557" applyNumberFormat="1" applyFont="1" applyFill="1" applyBorder="1" applyAlignment="1">
      <alignment horizontal="center"/>
    </xf>
    <xf numFmtId="0" fontId="35" fillId="0" borderId="23" xfId="0" applyFont="1" applyBorder="1" applyAlignment="1">
      <alignment horizontal="center"/>
    </xf>
    <xf numFmtId="3" fontId="35" fillId="0" borderId="23" xfId="0" applyNumberFormat="1" applyFont="1" applyBorder="1"/>
    <xf numFmtId="43" fontId="35" fillId="0" borderId="23" xfId="379" applyFont="1" applyBorder="1" applyAlignment="1">
      <alignment horizontal="center"/>
    </xf>
    <xf numFmtId="169" fontId="35" fillId="0" borderId="55" xfId="379" applyNumberFormat="1" applyFont="1" applyBorder="1" applyAlignment="1">
      <alignment horizontal="center"/>
    </xf>
    <xf numFmtId="43" fontId="35" fillId="0" borderId="23" xfId="379" applyFont="1" applyBorder="1"/>
    <xf numFmtId="0" fontId="35" fillId="0" borderId="23" xfId="0" applyFont="1" applyBorder="1"/>
    <xf numFmtId="169" fontId="35" fillId="0" borderId="23" xfId="379" applyNumberFormat="1" applyFont="1" applyBorder="1"/>
    <xf numFmtId="169" fontId="35" fillId="0" borderId="23" xfId="379" applyNumberFormat="1" applyFont="1" applyBorder="1" applyAlignment="1">
      <alignment horizontal="right"/>
    </xf>
    <xf numFmtId="169" fontId="35" fillId="0" borderId="1" xfId="379" applyNumberFormat="1" applyFont="1" applyBorder="1" applyAlignment="1">
      <alignment horizontal="right"/>
    </xf>
    <xf numFmtId="169" fontId="35" fillId="0" borderId="0" xfId="379" applyNumberFormat="1" applyFont="1" applyAlignment="1">
      <alignment horizontal="right"/>
    </xf>
    <xf numFmtId="169" fontId="35" fillId="0" borderId="55" xfId="379" applyNumberFormat="1" applyFont="1" applyBorder="1" applyAlignment="1">
      <alignment horizontal="right"/>
    </xf>
    <xf numFmtId="3" fontId="35" fillId="0" borderId="0" xfId="379" applyNumberFormat="1" applyFont="1" applyAlignment="1">
      <alignment horizontal="center"/>
    </xf>
    <xf numFmtId="3" fontId="35" fillId="0" borderId="0" xfId="0" applyNumberFormat="1" applyFont="1" applyAlignment="1">
      <alignment horizontal="center"/>
    </xf>
    <xf numFmtId="0" fontId="35" fillId="0" borderId="0" xfId="0" applyFont="1" applyBorder="1" applyAlignment="1">
      <alignment horizontal="center"/>
    </xf>
    <xf numFmtId="170" fontId="35" fillId="0" borderId="0" xfId="0" applyNumberFormat="1" applyFont="1" applyAlignment="1">
      <alignment horizontal="center"/>
    </xf>
    <xf numFmtId="3" fontId="35" fillId="0" borderId="1" xfId="379" applyNumberFormat="1" applyFont="1" applyBorder="1" applyAlignment="1">
      <alignment horizontal="center"/>
    </xf>
    <xf numFmtId="170" fontId="35" fillId="0" borderId="1" xfId="379" applyNumberFormat="1" applyFont="1" applyBorder="1" applyAlignment="1">
      <alignment horizontal="center"/>
    </xf>
    <xf numFmtId="3" fontId="35" fillId="0" borderId="1" xfId="0" applyNumberFormat="1" applyFont="1" applyBorder="1" applyAlignment="1">
      <alignment horizontal="center"/>
    </xf>
    <xf numFmtId="170" fontId="35" fillId="0" borderId="1" xfId="0" applyNumberFormat="1" applyFont="1" applyBorder="1" applyAlignment="1">
      <alignment horizontal="center"/>
    </xf>
    <xf numFmtId="0" fontId="35" fillId="0" borderId="0" xfId="0" applyFont="1" applyAlignment="1">
      <alignment horizontal="left"/>
    </xf>
    <xf numFmtId="169" fontId="35" fillId="0" borderId="23" xfId="379" applyNumberFormat="1" applyFont="1" applyBorder="1" applyAlignment="1">
      <alignment horizontal="center"/>
    </xf>
    <xf numFmtId="3" fontId="35" fillId="0" borderId="23" xfId="379" applyNumberFormat="1" applyFont="1" applyBorder="1" applyAlignment="1">
      <alignment horizontal="center"/>
    </xf>
    <xf numFmtId="3" fontId="35" fillId="0" borderId="23" xfId="0" applyNumberFormat="1" applyFont="1" applyBorder="1" applyAlignment="1">
      <alignment horizontal="center"/>
    </xf>
    <xf numFmtId="10" fontId="36" fillId="33" borderId="17" xfId="557" applyNumberFormat="1" applyFont="1" applyFill="1" applyBorder="1" applyAlignment="1">
      <alignment horizontal="center"/>
    </xf>
    <xf numFmtId="10" fontId="36" fillId="33" borderId="44" xfId="557" applyNumberFormat="1" applyFont="1" applyFill="1" applyBorder="1" applyAlignment="1">
      <alignment horizontal="center"/>
    </xf>
    <xf numFmtId="9" fontId="36" fillId="33" borderId="44" xfId="557" applyFont="1" applyFill="1" applyBorder="1" applyAlignment="1">
      <alignment horizontal="center"/>
    </xf>
    <xf numFmtId="43" fontId="35" fillId="0" borderId="0" xfId="0" applyNumberFormat="1" applyFont="1"/>
    <xf numFmtId="176" fontId="35" fillId="69" borderId="1" xfId="379" applyNumberFormat="1" applyFont="1" applyFill="1" applyBorder="1" applyAlignment="1">
      <alignment horizontal="center"/>
    </xf>
    <xf numFmtId="176" fontId="35" fillId="69" borderId="1" xfId="379" applyNumberFormat="1" applyFont="1" applyFill="1" applyBorder="1"/>
    <xf numFmtId="43" fontId="14" fillId="0" borderId="0" xfId="379" applyFont="1"/>
    <xf numFmtId="43" fontId="24" fillId="70" borderId="1" xfId="379" applyFont="1" applyFill="1" applyBorder="1"/>
    <xf numFmtId="169" fontId="24" fillId="0" borderId="0" xfId="0" applyNumberFormat="1" applyFont="1" applyFill="1" applyBorder="1"/>
    <xf numFmtId="169" fontId="35" fillId="0" borderId="0" xfId="379" applyNumberFormat="1" applyFont="1" applyBorder="1" applyAlignment="1">
      <alignment horizontal="center"/>
    </xf>
    <xf numFmtId="43" fontId="24" fillId="0" borderId="0" xfId="521" applyNumberFormat="1" applyFont="1"/>
    <xf numFmtId="0" fontId="24" fillId="37" borderId="133" xfId="0" applyFont="1" applyFill="1" applyBorder="1" applyAlignment="1">
      <alignment vertical="center" wrapText="1"/>
    </xf>
    <xf numFmtId="0" fontId="8" fillId="0" borderId="1" xfId="966" applyFont="1" applyBorder="1" applyAlignment="1">
      <alignment horizontal="center"/>
    </xf>
    <xf numFmtId="43" fontId="14" fillId="0" borderId="1" xfId="966" applyNumberFormat="1" applyBorder="1" applyAlignment="1">
      <alignment horizontal="center"/>
    </xf>
    <xf numFmtId="43" fontId="14" fillId="0" borderId="1" xfId="379" applyFont="1" applyBorder="1" applyAlignment="1">
      <alignment horizontal="center"/>
    </xf>
    <xf numFmtId="43" fontId="0" fillId="0" borderId="1" xfId="379" applyFont="1" applyBorder="1"/>
    <xf numFmtId="43" fontId="14" fillId="0" borderId="1" xfId="966" applyNumberFormat="1" applyBorder="1"/>
    <xf numFmtId="0" fontId="8" fillId="0" borderId="0" xfId="1043"/>
    <xf numFmtId="169" fontId="14" fillId="0" borderId="0" xfId="966" applyNumberFormat="1"/>
    <xf numFmtId="167" fontId="28" fillId="0" borderId="1" xfId="0" applyNumberFormat="1" applyFont="1" applyBorder="1"/>
    <xf numFmtId="0" fontId="147" fillId="0" borderId="0" xfId="0" applyFont="1" applyAlignment="1">
      <alignment horizontal="center"/>
    </xf>
    <xf numFmtId="10" fontId="14" fillId="0" borderId="1" xfId="557" applyNumberFormat="1" applyFont="1" applyBorder="1"/>
    <xf numFmtId="167" fontId="14" fillId="0" borderId="1" xfId="557" applyNumberFormat="1" applyFont="1" applyBorder="1"/>
    <xf numFmtId="169" fontId="96" fillId="0" borderId="0" xfId="966" applyNumberFormat="1" applyFont="1" applyAlignment="1">
      <alignment horizontal="center"/>
    </xf>
    <xf numFmtId="10" fontId="24" fillId="71" borderId="19" xfId="558" applyNumberFormat="1" applyFont="1" applyFill="1" applyBorder="1" applyAlignment="1">
      <alignment horizontal="center"/>
    </xf>
    <xf numFmtId="167" fontId="24" fillId="71" borderId="2" xfId="558" applyNumberFormat="1" applyFont="1" applyFill="1" applyBorder="1" applyAlignment="1">
      <alignment horizontal="center"/>
    </xf>
    <xf numFmtId="10" fontId="24" fillId="71" borderId="2" xfId="558" applyNumberFormat="1" applyFont="1" applyFill="1" applyBorder="1" applyAlignment="1">
      <alignment horizontal="center"/>
    </xf>
    <xf numFmtId="10" fontId="24" fillId="0" borderId="0" xfId="521" applyNumberFormat="1" applyFont="1"/>
    <xf numFmtId="43" fontId="24" fillId="0" borderId="0" xfId="379" applyFont="1" applyFill="1" applyBorder="1"/>
    <xf numFmtId="43" fontId="24" fillId="34" borderId="0" xfId="379" applyFont="1" applyFill="1" applyBorder="1"/>
    <xf numFmtId="43" fontId="24" fillId="0" borderId="0" xfId="0" applyNumberFormat="1" applyFont="1" applyFill="1" applyBorder="1"/>
    <xf numFmtId="3" fontId="58" fillId="0" borderId="10" xfId="0" applyNumberFormat="1" applyFont="1" applyBorder="1" applyAlignment="1">
      <alignment horizontal="center" vertical="center" wrapText="1"/>
    </xf>
    <xf numFmtId="0" fontId="60" fillId="0" borderId="23" xfId="0" applyFont="1" applyBorder="1" applyAlignment="1">
      <alignment horizontal="center" vertical="center" wrapText="1"/>
    </xf>
    <xf numFmtId="3" fontId="58" fillId="0" borderId="1" xfId="0" applyNumberFormat="1" applyFont="1" applyBorder="1" applyAlignment="1">
      <alignment horizontal="center" vertical="center" wrapText="1"/>
    </xf>
    <xf numFmtId="0" fontId="96" fillId="35" borderId="48" xfId="768" applyFont="1" applyFill="1" applyBorder="1" applyAlignment="1">
      <alignment horizontal="center"/>
    </xf>
    <xf numFmtId="169" fontId="24" fillId="34" borderId="0" xfId="0" applyNumberFormat="1" applyFont="1" applyFill="1" applyBorder="1"/>
    <xf numFmtId="43" fontId="7" fillId="0" borderId="0" xfId="379" applyFont="1"/>
    <xf numFmtId="165" fontId="7" fillId="0" borderId="0" xfId="1060" applyFont="1"/>
    <xf numFmtId="165" fontId="7" fillId="0" borderId="0" xfId="1060" applyFont="1"/>
    <xf numFmtId="3" fontId="60" fillId="0" borderId="29" xfId="0" applyNumberFormat="1" applyFont="1" applyBorder="1" applyAlignment="1">
      <alignment horizontal="center" vertical="center" wrapText="1"/>
    </xf>
    <xf numFmtId="3" fontId="60" fillId="0" borderId="30" xfId="0" applyNumberFormat="1" applyFont="1" applyBorder="1" applyAlignment="1">
      <alignment horizontal="center" vertical="center" wrapText="1"/>
    </xf>
    <xf numFmtId="0" fontId="35" fillId="0" borderId="1" xfId="0" applyFont="1" applyBorder="1" applyAlignment="1">
      <alignment horizontal="center" wrapText="1"/>
    </xf>
    <xf numFmtId="3" fontId="35" fillId="0" borderId="1" xfId="379" applyNumberFormat="1" applyFont="1" applyBorder="1" applyAlignment="1">
      <alignment horizontal="center" wrapText="1"/>
    </xf>
    <xf numFmtId="176" fontId="35" fillId="0" borderId="0" xfId="379" applyNumberFormat="1" applyFont="1" applyFill="1"/>
    <xf numFmtId="0" fontId="35" fillId="0" borderId="21" xfId="0" applyFont="1" applyBorder="1" applyAlignment="1">
      <alignment horizontal="center" wrapText="1"/>
    </xf>
    <xf numFmtId="3" fontId="35" fillId="33" borderId="23" xfId="0" applyNumberFormat="1" applyFont="1" applyFill="1" applyBorder="1"/>
    <xf numFmtId="3" fontId="35" fillId="33" borderId="1" xfId="0" applyNumberFormat="1" applyFont="1" applyFill="1" applyBorder="1"/>
    <xf numFmtId="172" fontId="35" fillId="33" borderId="23" xfId="379" applyNumberFormat="1" applyFont="1" applyFill="1" applyBorder="1" applyAlignment="1">
      <alignment horizontal="center"/>
    </xf>
    <xf numFmtId="169" fontId="35" fillId="33" borderId="23" xfId="379" applyNumberFormat="1" applyFont="1" applyFill="1" applyBorder="1" applyAlignment="1">
      <alignment horizontal="right"/>
    </xf>
    <xf numFmtId="169" fontId="35" fillId="33" borderId="1" xfId="379" applyNumberFormat="1" applyFont="1" applyFill="1" applyBorder="1" applyAlignment="1">
      <alignment horizontal="right"/>
    </xf>
    <xf numFmtId="169" fontId="35" fillId="33" borderId="23" xfId="379" applyNumberFormat="1" applyFont="1" applyFill="1" applyBorder="1"/>
    <xf numFmtId="0" fontId="35" fillId="0" borderId="5" xfId="0" applyFont="1" applyBorder="1"/>
    <xf numFmtId="0" fontId="35" fillId="0" borderId="5" xfId="0" applyFont="1" applyBorder="1" applyAlignment="1">
      <alignment horizontal="left"/>
    </xf>
    <xf numFmtId="0" fontId="35" fillId="0" borderId="5" xfId="0" applyFont="1" applyBorder="1" applyAlignment="1">
      <alignment horizontal="center"/>
    </xf>
    <xf numFmtId="43" fontId="35" fillId="0" borderId="5" xfId="379" applyFont="1" applyBorder="1"/>
    <xf numFmtId="0" fontId="31" fillId="0" borderId="51" xfId="0" applyFont="1" applyFill="1" applyBorder="1" applyAlignment="1" applyProtection="1">
      <alignment horizontal="center" vertical="center" wrapText="1"/>
      <protection locked="0"/>
    </xf>
    <xf numFmtId="0" fontId="32" fillId="0" borderId="31" xfId="0" applyFont="1" applyBorder="1" applyAlignment="1">
      <alignment horizontal="center"/>
    </xf>
    <xf numFmtId="0" fontId="36" fillId="0" borderId="5" xfId="0" applyFont="1" applyBorder="1"/>
    <xf numFmtId="0" fontId="36" fillId="68" borderId="27" xfId="0" applyFont="1" applyFill="1" applyBorder="1" applyAlignment="1">
      <alignment horizontal="center" wrapText="1"/>
    </xf>
    <xf numFmtId="0" fontId="36" fillId="68" borderId="28" xfId="0" applyFont="1" applyFill="1" applyBorder="1" applyAlignment="1">
      <alignment horizontal="center" wrapText="1"/>
    </xf>
    <xf numFmtId="0" fontId="36" fillId="68" borderId="29" xfId="0" applyFont="1" applyFill="1" applyBorder="1" applyAlignment="1">
      <alignment horizontal="center" wrapText="1"/>
    </xf>
    <xf numFmtId="0" fontId="36" fillId="68" borderId="39" xfId="0" applyFont="1" applyFill="1" applyBorder="1" applyAlignment="1">
      <alignment horizontal="center" wrapText="1"/>
    </xf>
    <xf numFmtId="0" fontId="36" fillId="68" borderId="26" xfId="0" applyFont="1" applyFill="1" applyBorder="1" applyAlignment="1">
      <alignment horizontal="center" wrapText="1"/>
    </xf>
    <xf numFmtId="0" fontId="36" fillId="68" borderId="42" xfId="0" applyFont="1" applyFill="1" applyBorder="1" applyAlignment="1">
      <alignment horizontal="center" wrapText="1"/>
    </xf>
    <xf numFmtId="3" fontId="32" fillId="0" borderId="4" xfId="0" applyNumberFormat="1" applyFont="1" applyBorder="1" applyAlignment="1">
      <alignment horizontal="left"/>
    </xf>
    <xf numFmtId="3" fontId="32" fillId="0" borderId="31" xfId="0" applyNumberFormat="1" applyFont="1" applyBorder="1" applyAlignment="1"/>
    <xf numFmtId="0" fontId="36" fillId="0" borderId="4" xfId="0" applyFont="1" applyBorder="1" applyAlignment="1">
      <alignment horizontal="center"/>
    </xf>
    <xf numFmtId="0" fontId="148" fillId="0" borderId="1" xfId="0" applyFont="1" applyBorder="1" applyAlignment="1">
      <alignment horizontal="center"/>
    </xf>
    <xf numFmtId="10" fontId="35" fillId="68" borderId="1" xfId="557" applyNumberFormat="1" applyFont="1" applyFill="1" applyBorder="1" applyAlignment="1">
      <alignment horizontal="center"/>
    </xf>
    <xf numFmtId="10" fontId="35" fillId="68" borderId="44" xfId="557" applyNumberFormat="1" applyFont="1" applyFill="1" applyBorder="1" applyAlignment="1">
      <alignment horizontal="center"/>
    </xf>
    <xf numFmtId="43" fontId="35" fillId="68" borderId="23" xfId="379" applyFont="1" applyFill="1" applyBorder="1"/>
    <xf numFmtId="3" fontId="35" fillId="33" borderId="1" xfId="379" applyNumberFormat="1" applyFont="1" applyFill="1" applyBorder="1" applyAlignment="1">
      <alignment horizontal="center"/>
    </xf>
    <xf numFmtId="0" fontId="32" fillId="68" borderId="0" xfId="521" applyFont="1" applyFill="1"/>
    <xf numFmtId="0" fontId="24" fillId="68" borderId="0" xfId="521" applyFont="1" applyFill="1"/>
    <xf numFmtId="0" fontId="18" fillId="0" borderId="41" xfId="768" applyBorder="1"/>
    <xf numFmtId="0" fontId="18" fillId="0" borderId="40" xfId="768" applyBorder="1"/>
    <xf numFmtId="0" fontId="18" fillId="0" borderId="41" xfId="768" applyBorder="1" applyAlignment="1">
      <alignment horizontal="center"/>
    </xf>
    <xf numFmtId="0" fontId="18" fillId="0" borderId="32" xfId="768" applyBorder="1" applyAlignment="1">
      <alignment horizontal="center"/>
    </xf>
    <xf numFmtId="0" fontId="18" fillId="0" borderId="32" xfId="768" applyBorder="1"/>
    <xf numFmtId="0" fontId="18" fillId="0" borderId="27" xfId="768" applyBorder="1"/>
    <xf numFmtId="0" fontId="18" fillId="0" borderId="47" xfId="768" applyFont="1" applyBorder="1"/>
    <xf numFmtId="0" fontId="96" fillId="35" borderId="36" xfId="768" applyFont="1" applyFill="1" applyBorder="1" applyAlignment="1">
      <alignment horizontal="center"/>
    </xf>
    <xf numFmtId="0" fontId="96" fillId="35" borderId="40" xfId="768" applyFont="1" applyFill="1" applyBorder="1" applyAlignment="1">
      <alignment horizontal="center" vertical="top"/>
    </xf>
    <xf numFmtId="0" fontId="96" fillId="35" borderId="25" xfId="768" applyFont="1" applyFill="1" applyBorder="1" applyAlignment="1">
      <alignment horizontal="center" vertical="top"/>
    </xf>
    <xf numFmtId="0" fontId="18" fillId="0" borderId="46" xfId="768" applyFont="1" applyBorder="1"/>
    <xf numFmtId="0" fontId="96" fillId="35" borderId="28" xfId="768" applyFont="1" applyFill="1" applyBorder="1" applyAlignment="1">
      <alignment horizontal="center" vertical="top"/>
    </xf>
    <xf numFmtId="0" fontId="6" fillId="0" borderId="32" xfId="1121" applyFont="1" applyBorder="1" applyAlignment="1" applyProtection="1">
      <alignment wrapText="1"/>
      <protection locked="0"/>
    </xf>
    <xf numFmtId="0" fontId="6" fillId="68" borderId="27" xfId="1121" applyFont="1" applyFill="1" applyBorder="1" applyAlignment="1" applyProtection="1">
      <alignment wrapText="1"/>
      <protection locked="0"/>
    </xf>
    <xf numFmtId="10" fontId="0" fillId="0" borderId="1" xfId="0" applyNumberFormat="1" applyFill="1" applyBorder="1"/>
    <xf numFmtId="43" fontId="0" fillId="0" borderId="25" xfId="379" applyFont="1" applyFill="1" applyBorder="1" applyAlignment="1"/>
    <xf numFmtId="43" fontId="0" fillId="0" borderId="0" xfId="379" applyFont="1" applyFill="1" applyBorder="1" applyAlignment="1"/>
    <xf numFmtId="0" fontId="28" fillId="0" borderId="0" xfId="0" applyFont="1"/>
    <xf numFmtId="0" fontId="28" fillId="0" borderId="25" xfId="0" applyFont="1" applyFill="1" applyBorder="1" applyAlignment="1"/>
    <xf numFmtId="0" fontId="8" fillId="0" borderId="0" xfId="1041" applyBorder="1"/>
    <xf numFmtId="0" fontId="8" fillId="0" borderId="0" xfId="1048" applyBorder="1"/>
    <xf numFmtId="0" fontId="8" fillId="0" borderId="0" xfId="1043" applyBorder="1"/>
    <xf numFmtId="0" fontId="8" fillId="0" borderId="0" xfId="1049" applyBorder="1"/>
    <xf numFmtId="0" fontId="8" fillId="0" borderId="0" xfId="1044" applyBorder="1"/>
    <xf numFmtId="0" fontId="8" fillId="0" borderId="0" xfId="1050" applyBorder="1"/>
    <xf numFmtId="0" fontId="8" fillId="0" borderId="0" xfId="1051" applyBorder="1"/>
    <xf numFmtId="0" fontId="8" fillId="0" borderId="0" xfId="1039" applyBorder="1"/>
    <xf numFmtId="0" fontId="8" fillId="0" borderId="0" xfId="1042" applyBorder="1"/>
    <xf numFmtId="0" fontId="8" fillId="0" borderId="0" xfId="1046" applyBorder="1"/>
    <xf numFmtId="43" fontId="96" fillId="0" borderId="0" xfId="379" applyFont="1" applyBorder="1"/>
    <xf numFmtId="43" fontId="124" fillId="0" borderId="71" xfId="769" applyNumberFormat="1" applyFont="1" applyBorder="1" applyAlignment="1">
      <alignment horizontal="center" vertical="center"/>
    </xf>
    <xf numFmtId="43" fontId="124" fillId="0" borderId="134" xfId="769" applyNumberFormat="1" applyFont="1" applyBorder="1" applyAlignment="1">
      <alignment horizontal="center" vertical="center"/>
    </xf>
    <xf numFmtId="0" fontId="5" fillId="0" borderId="1" xfId="966" applyFont="1" applyBorder="1" applyAlignment="1">
      <alignment horizontal="center"/>
    </xf>
    <xf numFmtId="10" fontId="14" fillId="0" borderId="0" xfId="966" applyNumberFormat="1"/>
    <xf numFmtId="10" fontId="14" fillId="34" borderId="1" xfId="557" applyNumberFormat="1" applyFont="1" applyFill="1" applyBorder="1"/>
    <xf numFmtId="4" fontId="60" fillId="0" borderId="8" xfId="0" applyNumberFormat="1" applyFont="1" applyFill="1" applyBorder="1" applyAlignment="1">
      <alignment horizontal="center" vertical="center" wrapText="1"/>
    </xf>
    <xf numFmtId="4" fontId="60" fillId="0" borderId="11" xfId="0" applyNumberFormat="1" applyFont="1" applyFill="1" applyBorder="1" applyAlignment="1">
      <alignment horizontal="center" vertical="center" wrapText="1"/>
    </xf>
    <xf numFmtId="169" fontId="35" fillId="0" borderId="4" xfId="0" applyNumberFormat="1" applyFont="1" applyFill="1" applyBorder="1"/>
    <xf numFmtId="169" fontId="35" fillId="0" borderId="4" xfId="379" applyNumberFormat="1" applyFont="1" applyFill="1" applyBorder="1"/>
    <xf numFmtId="0" fontId="24" fillId="0" borderId="1" xfId="0" applyFont="1" applyBorder="1" applyAlignment="1" applyProtection="1">
      <alignment horizontal="center"/>
      <protection locked="0"/>
    </xf>
    <xf numFmtId="0" fontId="24" fillId="0" borderId="1" xfId="0" applyFont="1" applyBorder="1" applyAlignment="1" applyProtection="1">
      <alignment horizontal="center"/>
      <protection locked="0"/>
    </xf>
    <xf numFmtId="0" fontId="0" fillId="0" borderId="1" xfId="0" applyBorder="1"/>
    <xf numFmtId="0" fontId="0" fillId="0" borderId="1" xfId="0" applyBorder="1" applyAlignment="1">
      <alignment horizontal="center"/>
    </xf>
    <xf numFmtId="2" fontId="24" fillId="68" borderId="1" xfId="379" applyNumberFormat="1" applyFont="1" applyFill="1" applyBorder="1" applyAlignment="1" applyProtection="1">
      <alignment horizontal="center"/>
      <protection locked="0"/>
    </xf>
    <xf numFmtId="0" fontId="24" fillId="0" borderId="1" xfId="0" applyFont="1" applyBorder="1" applyAlignment="1" applyProtection="1">
      <alignment horizontal="center"/>
      <protection locked="0"/>
    </xf>
    <xf numFmtId="0" fontId="24" fillId="68" borderId="1" xfId="379" applyNumberFormat="1" applyFont="1" applyFill="1" applyBorder="1" applyAlignment="1" applyProtection="1">
      <alignment horizontal="center"/>
      <protection locked="0"/>
    </xf>
    <xf numFmtId="169" fontId="24" fillId="68" borderId="1" xfId="379" applyNumberFormat="1" applyFont="1" applyFill="1" applyBorder="1" applyAlignment="1" applyProtection="1">
      <alignment horizontal="center"/>
      <protection locked="0"/>
    </xf>
    <xf numFmtId="0" fontId="24" fillId="0" borderId="1" xfId="0" applyFont="1" applyBorder="1" applyAlignment="1" applyProtection="1">
      <alignment horizontal="center"/>
      <protection locked="0"/>
    </xf>
    <xf numFmtId="3" fontId="58" fillId="0" borderId="10" xfId="0" applyNumberFormat="1" applyFont="1" applyBorder="1" applyAlignment="1">
      <alignment horizontal="center" vertical="center" wrapText="1"/>
    </xf>
    <xf numFmtId="3" fontId="58" fillId="0" borderId="50" xfId="0" applyNumberFormat="1" applyFont="1" applyBorder="1" applyAlignment="1">
      <alignment horizontal="center" vertical="center" wrapText="1"/>
    </xf>
    <xf numFmtId="3" fontId="58" fillId="0" borderId="1" xfId="0" applyNumberFormat="1" applyFont="1" applyBorder="1" applyAlignment="1">
      <alignment horizontal="center" vertical="center" wrapText="1"/>
    </xf>
    <xf numFmtId="17" fontId="0" fillId="0" borderId="1" xfId="0" applyNumberFormat="1" applyBorder="1"/>
    <xf numFmtId="0" fontId="149" fillId="0" borderId="1" xfId="0" applyFont="1" applyBorder="1" applyAlignment="1">
      <alignment horizontal="center"/>
    </xf>
    <xf numFmtId="0" fontId="24" fillId="0" borderId="1" xfId="0" applyFont="1" applyFill="1" applyBorder="1" applyAlignment="1" applyProtection="1">
      <alignment horizontal="center"/>
      <protection locked="0"/>
    </xf>
    <xf numFmtId="190" fontId="0" fillId="0" borderId="1" xfId="0" applyNumberFormat="1" applyBorder="1" applyAlignment="1">
      <alignment horizontal="center"/>
    </xf>
    <xf numFmtId="0" fontId="24" fillId="68" borderId="1" xfId="379" quotePrefix="1" applyNumberFormat="1" applyFont="1" applyFill="1" applyBorder="1" applyAlignment="1" applyProtection="1">
      <alignment horizontal="center"/>
      <protection locked="0"/>
    </xf>
    <xf numFmtId="0" fontId="24" fillId="68" borderId="44" xfId="379" quotePrefix="1" applyNumberFormat="1" applyFont="1" applyFill="1" applyBorder="1" applyAlignment="1" applyProtection="1">
      <alignment horizontal="center"/>
      <protection locked="0"/>
    </xf>
    <xf numFmtId="0" fontId="24" fillId="68" borderId="17" xfId="379" quotePrefix="1" applyNumberFormat="1" applyFont="1" applyFill="1" applyBorder="1" applyAlignment="1" applyProtection="1">
      <alignment horizontal="center"/>
      <protection locked="0"/>
    </xf>
    <xf numFmtId="0" fontId="24" fillId="68" borderId="44" xfId="379" applyNumberFormat="1" applyFont="1" applyFill="1" applyBorder="1" applyAlignment="1" applyProtection="1">
      <alignment horizontal="center"/>
      <protection locked="0"/>
    </xf>
    <xf numFmtId="2" fontId="24" fillId="0" borderId="23" xfId="0" applyNumberFormat="1" applyFont="1" applyBorder="1" applyAlignment="1">
      <alignment horizontal="center"/>
    </xf>
    <xf numFmtId="2" fontId="24" fillId="0" borderId="1" xfId="0" applyNumberFormat="1" applyFont="1" applyBorder="1" applyAlignment="1">
      <alignment horizontal="center"/>
    </xf>
    <xf numFmtId="0" fontId="24" fillId="0" borderId="1" xfId="0" applyFont="1" applyBorder="1" applyAlignment="1" applyProtection="1">
      <alignment horizontal="center" wrapText="1"/>
      <protection locked="0"/>
    </xf>
    <xf numFmtId="169" fontId="24" fillId="0" borderId="1" xfId="379" applyNumberFormat="1" applyFont="1" applyBorder="1" applyAlignment="1" applyProtection="1">
      <alignment horizontal="center"/>
      <protection locked="0"/>
    </xf>
    <xf numFmtId="0" fontId="24" fillId="0" borderId="1" xfId="0" applyFont="1" applyBorder="1" applyAlignment="1">
      <alignment horizontal="center" wrapText="1"/>
    </xf>
    <xf numFmtId="190" fontId="24" fillId="68" borderId="23" xfId="379" applyNumberFormat="1" applyFont="1" applyFill="1" applyBorder="1" applyAlignment="1" applyProtection="1">
      <alignment horizontal="center"/>
      <protection locked="0"/>
    </xf>
    <xf numFmtId="190" fontId="24" fillId="68" borderId="1" xfId="379" applyNumberFormat="1" applyFont="1" applyFill="1" applyBorder="1" applyAlignment="1" applyProtection="1">
      <alignment horizontal="center"/>
      <protection locked="0"/>
    </xf>
    <xf numFmtId="190" fontId="24" fillId="0" borderId="1" xfId="0" applyNumberFormat="1" applyFont="1" applyBorder="1"/>
    <xf numFmtId="190" fontId="24" fillId="0" borderId="1" xfId="0" applyNumberFormat="1" applyFont="1" applyBorder="1" applyAlignment="1">
      <alignment horizontal="center"/>
    </xf>
    <xf numFmtId="0" fontId="24" fillId="0" borderId="1" xfId="0" applyFont="1" applyFill="1" applyBorder="1" applyAlignment="1">
      <alignment horizontal="center" wrapText="1"/>
    </xf>
    <xf numFmtId="0" fontId="24" fillId="0" borderId="1" xfId="0" applyFont="1" applyBorder="1" applyAlignment="1">
      <alignment vertical="center"/>
    </xf>
    <xf numFmtId="169" fontId="24" fillId="0" borderId="1" xfId="379" applyNumberFormat="1" applyFont="1" applyBorder="1" applyAlignment="1" applyProtection="1">
      <alignment horizontal="center" vertical="center"/>
      <protection locked="0"/>
    </xf>
    <xf numFmtId="43" fontId="24" fillId="0" borderId="1" xfId="379" applyFont="1" applyBorder="1" applyAlignment="1" applyProtection="1">
      <alignment horizontal="center" vertical="center"/>
      <protection locked="0"/>
    </xf>
    <xf numFmtId="169" fontId="24" fillId="0" borderId="1" xfId="379" applyNumberFormat="1" applyFont="1" applyBorder="1" applyAlignment="1">
      <alignment vertical="center"/>
    </xf>
    <xf numFmtId="169" fontId="24" fillId="0" borderId="1" xfId="0" applyNumberFormat="1" applyFont="1" applyBorder="1" applyAlignment="1">
      <alignment vertical="center"/>
    </xf>
    <xf numFmtId="169" fontId="24" fillId="0" borderId="0" xfId="379" applyNumberFormat="1" applyFont="1" applyFill="1" applyBorder="1" applyAlignment="1">
      <alignment horizontal="right"/>
    </xf>
    <xf numFmtId="169" fontId="58" fillId="0" borderId="0" xfId="379" applyNumberFormat="1" applyFont="1" applyFill="1" applyBorder="1" applyAlignment="1">
      <alignment horizontal="right"/>
    </xf>
    <xf numFmtId="49" fontId="24" fillId="0" borderId="0" xfId="0" applyNumberFormat="1" applyFont="1" applyBorder="1"/>
    <xf numFmtId="0" fontId="24" fillId="68" borderId="39" xfId="0" applyFont="1" applyFill="1" applyBorder="1"/>
    <xf numFmtId="0" fontId="24" fillId="68" borderId="26" xfId="0" applyFont="1" applyFill="1" applyBorder="1" applyAlignment="1">
      <alignment horizontal="center"/>
    </xf>
    <xf numFmtId="49" fontId="24" fillId="68" borderId="26" xfId="0" applyNumberFormat="1" applyFont="1" applyFill="1" applyBorder="1" applyAlignment="1">
      <alignment horizontal="center"/>
    </xf>
    <xf numFmtId="49" fontId="24" fillId="68" borderId="42" xfId="0" applyNumberFormat="1" applyFont="1" applyFill="1" applyBorder="1" applyAlignment="1">
      <alignment horizontal="center"/>
    </xf>
    <xf numFmtId="2" fontId="24" fillId="68" borderId="7" xfId="379" applyNumberFormat="1" applyFont="1" applyFill="1" applyBorder="1" applyAlignment="1" applyProtection="1">
      <alignment horizontal="center"/>
      <protection locked="0"/>
    </xf>
    <xf numFmtId="2" fontId="24" fillId="68" borderId="23" xfId="379" applyNumberFormat="1" applyFont="1" applyFill="1" applyBorder="1" applyAlignment="1" applyProtection="1">
      <alignment horizontal="center"/>
      <protection locked="0"/>
    </xf>
    <xf numFmtId="169" fontId="60" fillId="68" borderId="23" xfId="379" applyNumberFormat="1" applyFont="1" applyFill="1" applyBorder="1" applyAlignment="1">
      <alignment horizontal="right" vertical="center" wrapText="1"/>
    </xf>
    <xf numFmtId="169" fontId="60" fillId="68" borderId="30" xfId="379" applyNumberFormat="1" applyFont="1" applyFill="1" applyBorder="1" applyAlignment="1">
      <alignment horizontal="right" vertical="center" wrapText="1"/>
    </xf>
    <xf numFmtId="0" fontId="24" fillId="68" borderId="2" xfId="0" applyFont="1" applyFill="1" applyBorder="1"/>
    <xf numFmtId="0" fontId="24" fillId="68" borderId="1" xfId="0" applyFont="1" applyFill="1" applyBorder="1"/>
    <xf numFmtId="169" fontId="24" fillId="68" borderId="1" xfId="379" applyNumberFormat="1" applyFont="1" applyFill="1" applyBorder="1" applyAlignment="1">
      <alignment horizontal="right"/>
    </xf>
    <xf numFmtId="169" fontId="24" fillId="68" borderId="8" xfId="379" applyNumberFormat="1" applyFont="1" applyFill="1" applyBorder="1" applyAlignment="1">
      <alignment horizontal="right"/>
    </xf>
    <xf numFmtId="169" fontId="58" fillId="68" borderId="1" xfId="379" applyNumberFormat="1" applyFont="1" applyFill="1" applyBorder="1" applyAlignment="1">
      <alignment horizontal="right"/>
    </xf>
    <xf numFmtId="169" fontId="58" fillId="68" borderId="8" xfId="379" applyNumberFormat="1" applyFont="1" applyFill="1" applyBorder="1" applyAlignment="1">
      <alignment horizontal="right"/>
    </xf>
    <xf numFmtId="0" fontId="24" fillId="68" borderId="23" xfId="0" applyFont="1" applyFill="1" applyBorder="1"/>
    <xf numFmtId="0" fontId="31" fillId="68" borderId="32" xfId="0" applyFont="1" applyFill="1" applyBorder="1"/>
    <xf numFmtId="0" fontId="31" fillId="68" borderId="33" xfId="0" applyFont="1" applyFill="1" applyBorder="1"/>
    <xf numFmtId="169" fontId="31" fillId="68" borderId="33" xfId="379" applyNumberFormat="1" applyFont="1" applyFill="1" applyBorder="1" applyAlignment="1">
      <alignment horizontal="right"/>
    </xf>
    <xf numFmtId="169" fontId="31" fillId="68" borderId="34" xfId="379" applyNumberFormat="1" applyFont="1" applyFill="1" applyBorder="1" applyAlignment="1">
      <alignment horizontal="right"/>
    </xf>
    <xf numFmtId="0" fontId="31" fillId="68" borderId="43" xfId="0" applyFont="1" applyFill="1" applyBorder="1"/>
    <xf numFmtId="0" fontId="31" fillId="68" borderId="44" xfId="0" applyFont="1" applyFill="1" applyBorder="1"/>
    <xf numFmtId="43" fontId="31" fillId="68" borderId="44" xfId="379" applyNumberFormat="1" applyFont="1" applyFill="1" applyBorder="1" applyAlignment="1">
      <alignment horizontal="right"/>
    </xf>
    <xf numFmtId="169" fontId="31" fillId="68" borderId="44" xfId="379" applyNumberFormat="1" applyFont="1" applyFill="1" applyBorder="1" applyAlignment="1">
      <alignment horizontal="right"/>
    </xf>
    <xf numFmtId="169" fontId="31" fillId="68" borderId="18" xfId="379" applyNumberFormat="1" applyFont="1" applyFill="1" applyBorder="1" applyAlignment="1">
      <alignment horizontal="right"/>
    </xf>
    <xf numFmtId="0" fontId="31" fillId="68" borderId="9" xfId="0" applyFont="1" applyFill="1" applyBorder="1"/>
    <xf numFmtId="0" fontId="31" fillId="68" borderId="10" xfId="0" applyFont="1" applyFill="1" applyBorder="1"/>
    <xf numFmtId="169" fontId="31" fillId="68" borderId="10" xfId="379" applyNumberFormat="1" applyFont="1" applyFill="1" applyBorder="1" applyAlignment="1">
      <alignment horizontal="right"/>
    </xf>
    <xf numFmtId="169" fontId="31" fillId="68" borderId="11" xfId="379" applyNumberFormat="1" applyFont="1" applyFill="1" applyBorder="1" applyAlignment="1">
      <alignment horizontal="right"/>
    </xf>
    <xf numFmtId="2" fontId="31" fillId="0" borderId="31" xfId="0" applyNumberFormat="1" applyFont="1" applyBorder="1" applyAlignment="1"/>
    <xf numFmtId="0" fontId="31" fillId="0" borderId="5" xfId="0" applyFont="1" applyBorder="1" applyAlignment="1"/>
    <xf numFmtId="0" fontId="31" fillId="0" borderId="6" xfId="0" applyFont="1" applyBorder="1" applyAlignment="1"/>
    <xf numFmtId="0" fontId="60" fillId="0" borderId="67" xfId="0" applyFont="1" applyFill="1" applyBorder="1" applyAlignment="1">
      <alignment horizontal="center" vertical="center" wrapText="1"/>
    </xf>
    <xf numFmtId="3" fontId="60" fillId="0" borderId="56" xfId="0" applyNumberFormat="1" applyFont="1" applyFill="1" applyBorder="1" applyAlignment="1">
      <alignment horizontal="center" vertical="center" wrapText="1"/>
    </xf>
    <xf numFmtId="0" fontId="58" fillId="0" borderId="38" xfId="0" applyFont="1" applyBorder="1" applyAlignment="1">
      <alignment horizontal="center" vertical="center" wrapText="1"/>
    </xf>
    <xf numFmtId="167" fontId="60" fillId="0" borderId="8" xfId="557" applyNumberFormat="1" applyFont="1" applyFill="1" applyBorder="1" applyAlignment="1">
      <alignment horizontal="center" vertical="center" wrapText="1"/>
    </xf>
    <xf numFmtId="167" fontId="58" fillId="0" borderId="8" xfId="557" applyNumberFormat="1" applyFont="1" applyFill="1" applyBorder="1" applyAlignment="1">
      <alignment horizontal="center" vertical="center" wrapText="1"/>
    </xf>
    <xf numFmtId="167" fontId="58" fillId="0" borderId="11" xfId="557" applyNumberFormat="1" applyFont="1" applyFill="1" applyBorder="1" applyAlignment="1">
      <alignment horizontal="center" vertical="center" wrapText="1"/>
    </xf>
    <xf numFmtId="167" fontId="60" fillId="0" borderId="1" xfId="557" applyNumberFormat="1" applyFont="1" applyFill="1" applyBorder="1" applyAlignment="1">
      <alignment horizontal="center" vertical="center" wrapText="1"/>
    </xf>
    <xf numFmtId="167" fontId="58" fillId="0" borderId="1" xfId="557" applyNumberFormat="1" applyFont="1" applyFill="1" applyBorder="1" applyAlignment="1">
      <alignment horizontal="center" vertical="center" wrapText="1"/>
    </xf>
    <xf numFmtId="167" fontId="58" fillId="0" borderId="10" xfId="557" applyNumberFormat="1" applyFont="1" applyFill="1" applyBorder="1" applyAlignment="1">
      <alignment horizontal="center" vertical="center" wrapText="1"/>
    </xf>
    <xf numFmtId="179" fontId="60" fillId="0" borderId="23" xfId="0" applyNumberFormat="1" applyFont="1" applyFill="1" applyBorder="1" applyAlignment="1">
      <alignment horizontal="center" vertical="center" wrapText="1"/>
    </xf>
    <xf numFmtId="179" fontId="60" fillId="0" borderId="1" xfId="557" applyNumberFormat="1" applyFont="1" applyFill="1" applyBorder="1" applyAlignment="1">
      <alignment horizontal="center" vertical="center" wrapText="1"/>
    </xf>
    <xf numFmtId="179" fontId="58" fillId="0" borderId="1" xfId="557" applyNumberFormat="1" applyFont="1" applyFill="1" applyBorder="1" applyAlignment="1">
      <alignment horizontal="center" vertical="center" wrapText="1"/>
    </xf>
    <xf numFmtId="179" fontId="58" fillId="0" borderId="10" xfId="557" applyNumberFormat="1" applyFont="1" applyFill="1" applyBorder="1" applyAlignment="1">
      <alignment horizontal="center" vertical="center" wrapText="1"/>
    </xf>
    <xf numFmtId="43" fontId="24" fillId="0" borderId="0" xfId="379" applyFont="1" applyBorder="1" applyAlignment="1">
      <alignment horizontal="center"/>
    </xf>
    <xf numFmtId="0" fontId="24" fillId="0" borderId="0" xfId="0" applyFont="1" applyFill="1" applyAlignment="1">
      <alignment wrapText="1"/>
    </xf>
    <xf numFmtId="169" fontId="24" fillId="0" borderId="1" xfId="379" applyNumberFormat="1" applyFont="1" applyFill="1" applyBorder="1"/>
    <xf numFmtId="0" fontId="24" fillId="0" borderId="1" xfId="0" applyFont="1" applyFill="1" applyBorder="1"/>
    <xf numFmtId="169" fontId="24" fillId="0" borderId="1" xfId="0" applyNumberFormat="1" applyFont="1" applyFill="1" applyBorder="1"/>
    <xf numFmtId="10" fontId="24" fillId="0" borderId="1" xfId="557" applyNumberFormat="1" applyFont="1" applyFill="1" applyBorder="1"/>
    <xf numFmtId="0" fontId="60" fillId="0" borderId="19"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8" xfId="0" applyFont="1" applyFill="1" applyBorder="1"/>
    <xf numFmtId="10" fontId="24" fillId="0" borderId="8" xfId="557" applyNumberFormat="1" applyFont="1" applyFill="1" applyBorder="1"/>
    <xf numFmtId="169" fontId="24" fillId="0" borderId="10" xfId="379" applyNumberFormat="1" applyFont="1" applyFill="1" applyBorder="1"/>
    <xf numFmtId="169" fontId="24" fillId="0" borderId="10" xfId="0" applyNumberFormat="1" applyFont="1" applyFill="1" applyBorder="1"/>
    <xf numFmtId="10" fontId="24" fillId="0" borderId="10" xfId="557" applyNumberFormat="1" applyFont="1" applyFill="1" applyBorder="1"/>
    <xf numFmtId="10" fontId="24" fillId="0" borderId="11" xfId="557" applyNumberFormat="1" applyFont="1" applyFill="1" applyBorder="1"/>
    <xf numFmtId="2" fontId="31" fillId="0" borderId="1" xfId="0" applyNumberFormat="1" applyFont="1" applyBorder="1" applyAlignment="1">
      <alignment horizontal="center" vertical="center" wrapText="1"/>
    </xf>
    <xf numFmtId="0" fontId="60" fillId="0" borderId="1" xfId="0" applyFont="1" applyBorder="1" applyAlignment="1">
      <alignment horizontal="center" vertical="center" wrapText="1"/>
    </xf>
    <xf numFmtId="3" fontId="24" fillId="0" borderId="1" xfId="0" applyNumberFormat="1" applyFont="1" applyBorder="1"/>
    <xf numFmtId="0" fontId="6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8" fillId="0" borderId="0" xfId="0" applyFont="1" applyAlignment="1">
      <alignment wrapText="1"/>
    </xf>
    <xf numFmtId="0" fontId="28" fillId="0" borderId="0" xfId="0" applyFont="1" applyFill="1" applyBorder="1"/>
    <xf numFmtId="17" fontId="0" fillId="0" borderId="0" xfId="0" applyNumberFormat="1"/>
    <xf numFmtId="191" fontId="0" fillId="0" borderId="0" xfId="557" applyNumberFormat="1" applyFont="1"/>
    <xf numFmtId="10" fontId="0" fillId="0" borderId="0" xfId="557" applyNumberFormat="1" applyFont="1"/>
    <xf numFmtId="10" fontId="0" fillId="0" borderId="0" xfId="0" applyNumberFormat="1"/>
    <xf numFmtId="0" fontId="147" fillId="0" borderId="0" xfId="0" applyFont="1"/>
    <xf numFmtId="191" fontId="0" fillId="0" borderId="1" xfId="557" applyNumberFormat="1" applyFont="1" applyBorder="1"/>
    <xf numFmtId="0" fontId="0" fillId="73" borderId="0" xfId="0" applyFill="1"/>
    <xf numFmtId="0" fontId="0" fillId="73" borderId="1" xfId="0" applyFill="1" applyBorder="1"/>
    <xf numFmtId="0" fontId="126" fillId="73" borderId="0" xfId="0" applyFont="1" applyFill="1"/>
    <xf numFmtId="0" fontId="126" fillId="73" borderId="0" xfId="0" quotePrefix="1" applyFont="1" applyFill="1"/>
    <xf numFmtId="0" fontId="0" fillId="0" borderId="0" xfId="0" applyFill="1"/>
    <xf numFmtId="0" fontId="28" fillId="73" borderId="0" xfId="0" applyFont="1" applyFill="1"/>
    <xf numFmtId="0" fontId="0" fillId="73" borderId="0" xfId="0" applyFill="1" applyAlignment="1">
      <alignment horizontal="center"/>
    </xf>
    <xf numFmtId="0" fontId="0" fillId="0" borderId="0" xfId="0" applyFill="1" applyAlignment="1">
      <alignment horizontal="center"/>
    </xf>
    <xf numFmtId="0" fontId="150" fillId="0" borderId="0" xfId="0" applyFont="1"/>
    <xf numFmtId="169" fontId="24" fillId="0" borderId="1" xfId="379" applyNumberFormat="1" applyFont="1" applyBorder="1" applyAlignment="1" applyProtection="1">
      <protection locked="0"/>
    </xf>
    <xf numFmtId="190" fontId="24" fillId="72" borderId="1" xfId="0" applyNumberFormat="1" applyFont="1" applyFill="1" applyBorder="1" applyAlignment="1"/>
    <xf numFmtId="43" fontId="24" fillId="72" borderId="1" xfId="379" applyFont="1" applyFill="1" applyBorder="1" applyAlignment="1" applyProtection="1">
      <protection locked="0"/>
    </xf>
    <xf numFmtId="43" fontId="24" fillId="0" borderId="1" xfId="379" applyFont="1" applyBorder="1" applyAlignment="1" applyProtection="1">
      <protection locked="0"/>
    </xf>
    <xf numFmtId="0" fontId="35" fillId="0" borderId="67" xfId="0" applyFont="1" applyBorder="1" applyAlignment="1">
      <alignment horizontal="center" wrapText="1"/>
    </xf>
    <xf numFmtId="3" fontId="35" fillId="0" borderId="26" xfId="379" applyNumberFormat="1" applyFont="1" applyBorder="1" applyAlignment="1">
      <alignment horizontal="center" wrapText="1"/>
    </xf>
    <xf numFmtId="3" fontId="35" fillId="0" borderId="26" xfId="379" applyNumberFormat="1" applyFont="1" applyBorder="1" applyAlignment="1">
      <alignment horizontal="center"/>
    </xf>
    <xf numFmtId="0" fontId="35" fillId="0" borderId="42" xfId="0" applyFont="1" applyBorder="1" applyAlignment="1">
      <alignment horizontal="center" wrapText="1"/>
    </xf>
    <xf numFmtId="170" fontId="35" fillId="0" borderId="23" xfId="0" applyNumberFormat="1" applyFont="1" applyBorder="1" applyAlignment="1">
      <alignment horizontal="center"/>
    </xf>
    <xf numFmtId="0" fontId="35" fillId="0" borderId="42" xfId="0" applyFont="1" applyBorder="1" applyAlignment="1">
      <alignment horizontal="center"/>
    </xf>
    <xf numFmtId="170" fontId="35" fillId="0" borderId="23" xfId="379" applyNumberFormat="1" applyFont="1" applyBorder="1" applyAlignment="1">
      <alignment horizontal="center"/>
    </xf>
    <xf numFmtId="3" fontId="35" fillId="0" borderId="26" xfId="0" applyNumberFormat="1" applyFont="1" applyBorder="1" applyAlignment="1">
      <alignment horizontal="center"/>
    </xf>
    <xf numFmtId="3" fontId="35" fillId="0" borderId="42" xfId="379" applyNumberFormat="1" applyFont="1" applyBorder="1" applyAlignment="1">
      <alignment horizontal="center"/>
    </xf>
    <xf numFmtId="0" fontId="35" fillId="68" borderId="23" xfId="0" applyFont="1" applyFill="1" applyBorder="1" applyAlignment="1">
      <alignment horizontal="center" wrapText="1"/>
    </xf>
    <xf numFmtId="0" fontId="36" fillId="0" borderId="4" xfId="0" applyFont="1" applyBorder="1" applyAlignment="1">
      <alignment horizontal="center" wrapText="1"/>
    </xf>
    <xf numFmtId="3" fontId="35" fillId="68" borderId="23" xfId="379" applyNumberFormat="1" applyFont="1" applyFill="1" applyBorder="1" applyAlignment="1">
      <alignment horizontal="center"/>
    </xf>
    <xf numFmtId="3" fontId="35" fillId="68" borderId="1" xfId="379" applyNumberFormat="1" applyFont="1" applyFill="1" applyBorder="1" applyAlignment="1">
      <alignment horizontal="center"/>
    </xf>
    <xf numFmtId="3" fontId="32" fillId="0" borderId="31" xfId="0" applyNumberFormat="1" applyFont="1" applyBorder="1" applyAlignment="1">
      <alignment horizontal="left"/>
    </xf>
    <xf numFmtId="43" fontId="41" fillId="0" borderId="0" xfId="524" applyNumberFormat="1" applyFont="1"/>
    <xf numFmtId="0" fontId="4" fillId="0" borderId="0" xfId="966" applyFont="1"/>
    <xf numFmtId="169" fontId="41" fillId="68" borderId="1" xfId="379" applyNumberFormat="1" applyFont="1" applyFill="1" applyBorder="1"/>
    <xf numFmtId="169" fontId="24" fillId="68" borderId="1" xfId="379" applyNumberFormat="1" applyFont="1" applyFill="1" applyBorder="1" applyAlignment="1">
      <alignment vertical="top"/>
    </xf>
    <xf numFmtId="169" fontId="13" fillId="68" borderId="1" xfId="379" applyNumberFormat="1" applyFont="1" applyFill="1" applyBorder="1"/>
    <xf numFmtId="169" fontId="42" fillId="66" borderId="1" xfId="379" applyNumberFormat="1" applyFont="1" applyFill="1" applyBorder="1"/>
    <xf numFmtId="0" fontId="96" fillId="68" borderId="0" xfId="966" applyFont="1" applyFill="1" applyBorder="1"/>
    <xf numFmtId="169" fontId="41" fillId="68" borderId="0" xfId="379" applyNumberFormat="1" applyFont="1" applyFill="1" applyBorder="1"/>
    <xf numFmtId="0" fontId="96" fillId="33" borderId="1" xfId="966" applyFont="1" applyFill="1" applyBorder="1"/>
    <xf numFmtId="0" fontId="9" fillId="0" borderId="50" xfId="966" applyFont="1" applyBorder="1"/>
    <xf numFmtId="169" fontId="42" fillId="66" borderId="1" xfId="0" applyNumberFormat="1" applyFont="1" applyFill="1" applyBorder="1"/>
    <xf numFmtId="0" fontId="4" fillId="0" borderId="50" xfId="966" applyFont="1" applyBorder="1"/>
    <xf numFmtId="0" fontId="35" fillId="0" borderId="13" xfId="0" applyFont="1" applyBorder="1"/>
    <xf numFmtId="169" fontId="24" fillId="0" borderId="0" xfId="379" applyNumberFormat="1" applyFont="1" applyFill="1" applyBorder="1" applyAlignment="1">
      <alignment horizontal="center"/>
    </xf>
    <xf numFmtId="169" fontId="125" fillId="33" borderId="0" xfId="769" applyNumberFormat="1" applyFont="1" applyFill="1" applyBorder="1"/>
    <xf numFmtId="43" fontId="226" fillId="0" borderId="0" xfId="524" applyNumberFormat="1" applyFont="1"/>
    <xf numFmtId="169" fontId="125" fillId="0" borderId="111" xfId="769" applyNumberFormat="1" applyFont="1" applyBorder="1"/>
    <xf numFmtId="169" fontId="125" fillId="33" borderId="116" xfId="769" applyNumberFormat="1" applyFont="1" applyFill="1" applyBorder="1"/>
    <xf numFmtId="169" fontId="125" fillId="0" borderId="0" xfId="769" applyNumberFormat="1" applyFont="1" applyBorder="1"/>
    <xf numFmtId="169" fontId="125" fillId="62" borderId="112" xfId="769" applyNumberFormat="1" applyFont="1" applyFill="1" applyBorder="1"/>
    <xf numFmtId="49" fontId="24" fillId="0" borderId="12" xfId="0" applyNumberFormat="1" applyFont="1" applyBorder="1" applyAlignment="1">
      <alignment horizontal="center"/>
    </xf>
    <xf numFmtId="0" fontId="24" fillId="0" borderId="12" xfId="0" applyFont="1" applyBorder="1" applyAlignment="1">
      <alignment horizontal="center"/>
    </xf>
    <xf numFmtId="0" fontId="24" fillId="0" borderId="19" xfId="0" applyFont="1" applyBorder="1"/>
    <xf numFmtId="169" fontId="31" fillId="0" borderId="1" xfId="379" applyNumberFormat="1" applyFont="1" applyFill="1" applyBorder="1" applyAlignment="1">
      <alignment horizontal="center"/>
    </xf>
    <xf numFmtId="0" fontId="31" fillId="0" borderId="1" xfId="0" applyFont="1" applyBorder="1"/>
    <xf numFmtId="49" fontId="24" fillId="0" borderId="0" xfId="0" applyNumberFormat="1" applyFont="1" applyFill="1" applyBorder="1"/>
    <xf numFmtId="169" fontId="58" fillId="0" borderId="0" xfId="379" applyNumberFormat="1" applyFont="1" applyFill="1" applyBorder="1" applyAlignment="1">
      <alignment horizontal="center"/>
    </xf>
    <xf numFmtId="169" fontId="125" fillId="0" borderId="0" xfId="769" applyNumberFormat="1" applyFont="1" applyFill="1" applyBorder="1"/>
    <xf numFmtId="169" fontId="125" fillId="62" borderId="115" xfId="769" applyNumberFormat="1" applyFont="1" applyFill="1" applyBorder="1"/>
    <xf numFmtId="169" fontId="125" fillId="62" borderId="116" xfId="769" applyNumberFormat="1" applyFont="1" applyFill="1" applyBorder="1"/>
    <xf numFmtId="0" fontId="226" fillId="0" borderId="0" xfId="524" applyFont="1"/>
    <xf numFmtId="43" fontId="226" fillId="0" borderId="0" xfId="379" applyFont="1"/>
    <xf numFmtId="43" fontId="41" fillId="0" borderId="0" xfId="379" applyFont="1"/>
    <xf numFmtId="43" fontId="3" fillId="33" borderId="32" xfId="797" applyFont="1" applyFill="1" applyBorder="1" applyProtection="1">
      <protection locked="0"/>
    </xf>
    <xf numFmtId="43" fontId="3" fillId="33" borderId="41" xfId="797" applyFont="1" applyFill="1" applyBorder="1" applyProtection="1">
      <protection locked="0"/>
    </xf>
    <xf numFmtId="0" fontId="35" fillId="0" borderId="11" xfId="0" applyFont="1" applyBorder="1"/>
    <xf numFmtId="0" fontId="31" fillId="0" borderId="2" xfId="0" applyFont="1" applyBorder="1"/>
    <xf numFmtId="169" fontId="35" fillId="0" borderId="8" xfId="0" applyNumberFormat="1" applyFont="1" applyBorder="1"/>
    <xf numFmtId="169" fontId="125" fillId="62" borderId="0" xfId="770" applyNumberFormat="1" applyFont="1" applyFill="1" applyBorder="1"/>
    <xf numFmtId="169" fontId="125" fillId="62" borderId="0" xfId="769" applyNumberFormat="1" applyFont="1" applyFill="1" applyBorder="1"/>
    <xf numFmtId="169" fontId="125" fillId="33" borderId="113" xfId="769" applyNumberFormat="1" applyFont="1" applyFill="1" applyBorder="1"/>
    <xf numFmtId="2" fontId="31" fillId="0" borderId="21" xfId="0" applyNumberFormat="1" applyFont="1" applyBorder="1" applyAlignment="1">
      <alignment horizontal="center" vertical="center" wrapText="1"/>
    </xf>
    <xf numFmtId="0" fontId="24" fillId="0" borderId="1" xfId="0" applyNumberFormat="1" applyFont="1" applyBorder="1" applyAlignment="1" applyProtection="1">
      <alignment horizontal="center"/>
      <protection locked="0"/>
    </xf>
    <xf numFmtId="10" fontId="24" fillId="0" borderId="1" xfId="557" applyNumberFormat="1" applyFont="1" applyBorder="1" applyAlignment="1">
      <alignment horizontal="center"/>
    </xf>
    <xf numFmtId="169" fontId="24" fillId="0" borderId="1" xfId="0" applyNumberFormat="1" applyFont="1" applyBorder="1" applyAlignment="1">
      <alignment horizontal="center"/>
    </xf>
    <xf numFmtId="3" fontId="24" fillId="0" borderId="1" xfId="0" applyNumberFormat="1" applyFont="1" applyBorder="1" applyAlignment="1">
      <alignment horizontal="center"/>
    </xf>
    <xf numFmtId="169" fontId="24" fillId="0" borderId="1" xfId="379" applyNumberFormat="1" applyFont="1" applyFill="1" applyBorder="1" applyProtection="1">
      <protection locked="0"/>
    </xf>
    <xf numFmtId="3" fontId="58" fillId="0" borderId="1" xfId="0" applyNumberFormat="1" applyFont="1" applyBorder="1" applyAlignment="1">
      <alignment horizontal="center" vertical="center" wrapText="1"/>
    </xf>
    <xf numFmtId="49" fontId="60" fillId="0" borderId="1" xfId="0" applyNumberFormat="1" applyFont="1" applyBorder="1" applyAlignment="1">
      <alignment horizontal="center" vertical="center" wrapText="1"/>
    </xf>
    <xf numFmtId="49" fontId="58" fillId="0" borderId="1" xfId="0" applyNumberFormat="1" applyFont="1" applyBorder="1" applyAlignment="1">
      <alignment horizontal="center" vertical="center" wrapText="1"/>
    </xf>
    <xf numFmtId="171" fontId="60" fillId="0" borderId="1" xfId="0" applyNumberFormat="1" applyFont="1" applyBorder="1" applyAlignment="1">
      <alignment horizontal="center" wrapText="1"/>
    </xf>
    <xf numFmtId="0" fontId="60" fillId="0" borderId="1" xfId="0" applyFont="1" applyBorder="1" applyAlignment="1">
      <alignment horizontal="center" wrapText="1"/>
    </xf>
    <xf numFmtId="0" fontId="62" fillId="0" borderId="1" xfId="0" applyFont="1" applyBorder="1" applyAlignment="1">
      <alignment horizontal="center" vertical="center" wrapText="1"/>
    </xf>
    <xf numFmtId="0" fontId="96" fillId="69" borderId="31" xfId="966" applyFont="1" applyFill="1" applyBorder="1"/>
    <xf numFmtId="0" fontId="14" fillId="69" borderId="5" xfId="966" applyFill="1" applyBorder="1"/>
    <xf numFmtId="0" fontId="14" fillId="69" borderId="6" xfId="966" applyFill="1" applyBorder="1"/>
    <xf numFmtId="172" fontId="58" fillId="33" borderId="8" xfId="379" applyNumberFormat="1" applyFont="1" applyFill="1" applyBorder="1" applyAlignment="1">
      <alignment horizontal="center"/>
    </xf>
    <xf numFmtId="2" fontId="24" fillId="33" borderId="7" xfId="379" applyNumberFormat="1" applyFont="1" applyFill="1" applyBorder="1" applyAlignment="1" applyProtection="1">
      <alignment horizontal="center" wrapText="1"/>
      <protection locked="0"/>
    </xf>
    <xf numFmtId="0" fontId="24" fillId="0" borderId="2" xfId="0" applyFont="1" applyBorder="1" applyAlignment="1">
      <alignment wrapText="1"/>
    </xf>
    <xf numFmtId="2" fontId="24" fillId="33" borderId="2" xfId="379" applyNumberFormat="1" applyFont="1" applyFill="1" applyBorder="1" applyAlignment="1" applyProtection="1">
      <alignment horizontal="center" wrapText="1"/>
      <protection locked="0"/>
    </xf>
    <xf numFmtId="49" fontId="24" fillId="0" borderId="43" xfId="0" applyNumberFormat="1" applyFont="1" applyBorder="1" applyAlignment="1">
      <alignment wrapText="1"/>
    </xf>
    <xf numFmtId="0" fontId="24" fillId="0" borderId="43" xfId="0" applyFont="1" applyBorder="1" applyAlignment="1">
      <alignment wrapText="1"/>
    </xf>
    <xf numFmtId="0" fontId="24" fillId="0" borderId="9" xfId="0" applyFont="1" applyBorder="1" applyAlignment="1">
      <alignment wrapText="1"/>
    </xf>
    <xf numFmtId="0" fontId="31" fillId="0" borderId="32" xfId="0" applyFont="1" applyBorder="1" applyAlignment="1">
      <alignment wrapText="1"/>
    </xf>
    <xf numFmtId="0" fontId="31" fillId="0" borderId="43" xfId="0" applyFont="1" applyBorder="1" applyAlignment="1">
      <alignment wrapText="1"/>
    </xf>
    <xf numFmtId="201" fontId="24" fillId="0" borderId="0" xfId="379" applyNumberFormat="1" applyFont="1"/>
    <xf numFmtId="0" fontId="24" fillId="0" borderId="1" xfId="0" applyFont="1" applyBorder="1" applyAlignment="1" applyProtection="1">
      <alignment horizontal="center"/>
      <protection locked="0"/>
    </xf>
    <xf numFmtId="0" fontId="227" fillId="0" borderId="1" xfId="0" applyFont="1" applyBorder="1"/>
    <xf numFmtId="0" fontId="28" fillId="73" borderId="0" xfId="0" applyFont="1" applyFill="1" applyAlignment="1">
      <alignment horizontal="center"/>
    </xf>
    <xf numFmtId="190" fontId="24" fillId="68" borderId="0" xfId="379" applyNumberFormat="1" applyFont="1" applyFill="1" applyBorder="1" applyAlignment="1" applyProtection="1">
      <alignment horizontal="center"/>
      <protection locked="0"/>
    </xf>
    <xf numFmtId="2" fontId="24" fillId="68" borderId="0" xfId="379" applyNumberFormat="1" applyFont="1" applyFill="1" applyBorder="1" applyAlignment="1" applyProtection="1">
      <alignment horizontal="center"/>
      <protection locked="0"/>
    </xf>
    <xf numFmtId="0" fontId="2" fillId="0" borderId="0" xfId="966" applyFont="1" applyAlignment="1">
      <alignment horizontal="left"/>
    </xf>
    <xf numFmtId="43" fontId="41" fillId="68" borderId="1" xfId="967" applyFont="1" applyFill="1" applyBorder="1"/>
    <xf numFmtId="43" fontId="13" fillId="68" borderId="1" xfId="379" applyFont="1" applyFill="1" applyBorder="1"/>
    <xf numFmtId="43" fontId="139" fillId="69" borderId="1" xfId="379" applyFont="1" applyFill="1" applyBorder="1"/>
    <xf numFmtId="0" fontId="14" fillId="137" borderId="0" xfId="966" applyFill="1"/>
    <xf numFmtId="0" fontId="0" fillId="137" borderId="0" xfId="0" applyFill="1"/>
    <xf numFmtId="10" fontId="24" fillId="71" borderId="9" xfId="558" applyNumberFormat="1" applyFont="1" applyFill="1" applyBorder="1" applyAlignment="1">
      <alignment horizontal="center"/>
    </xf>
    <xf numFmtId="3" fontId="24" fillId="0" borderId="0" xfId="521" applyNumberFormat="1" applyFont="1"/>
    <xf numFmtId="166" fontId="24" fillId="0" borderId="0" xfId="521" applyNumberFormat="1" applyFont="1"/>
    <xf numFmtId="168" fontId="24" fillId="0" borderId="0" xfId="521" applyNumberFormat="1" applyFont="1" applyFill="1" applyBorder="1" applyAlignment="1">
      <alignment horizontal="center"/>
    </xf>
    <xf numFmtId="169" fontId="24" fillId="0" borderId="0" xfId="521" applyNumberFormat="1" applyFont="1"/>
    <xf numFmtId="169" fontId="14" fillId="0" borderId="1" xfId="966" applyNumberFormat="1" applyBorder="1"/>
    <xf numFmtId="43" fontId="14" fillId="0" borderId="1" xfId="379" applyFont="1" applyBorder="1"/>
    <xf numFmtId="0" fontId="36" fillId="0" borderId="31" xfId="0" applyFont="1" applyBorder="1" applyAlignment="1">
      <alignment horizontal="center"/>
    </xf>
    <xf numFmtId="43" fontId="24" fillId="138" borderId="23" xfId="379" applyFont="1" applyFill="1" applyBorder="1"/>
    <xf numFmtId="43" fontId="24" fillId="138" borderId="1" xfId="0" applyNumberFormat="1" applyFont="1" applyFill="1" applyBorder="1"/>
    <xf numFmtId="43" fontId="24" fillId="36" borderId="1" xfId="0" applyNumberFormat="1" applyFont="1" applyFill="1" applyBorder="1"/>
    <xf numFmtId="43" fontId="24" fillId="72" borderId="1" xfId="0" applyNumberFormat="1" applyFont="1" applyFill="1" applyBorder="1"/>
    <xf numFmtId="0" fontId="35" fillId="0" borderId="1" xfId="0" quotePrefix="1" applyFont="1" applyBorder="1" applyAlignment="1">
      <alignment horizontal="center"/>
    </xf>
    <xf numFmtId="43" fontId="35" fillId="0" borderId="1" xfId="379" applyFont="1" applyBorder="1" applyAlignment="1">
      <alignment horizontal="center"/>
    </xf>
    <xf numFmtId="0" fontId="35" fillId="0" borderId="23" xfId="0" quotePrefix="1" applyFont="1" applyBorder="1" applyAlignment="1">
      <alignment horizontal="center"/>
    </xf>
    <xf numFmtId="43" fontId="36" fillId="0" borderId="4" xfId="379" applyFont="1" applyBorder="1" applyAlignment="1">
      <alignment horizontal="center"/>
    </xf>
    <xf numFmtId="43" fontId="36" fillId="0" borderId="4" xfId="379" applyFont="1" applyBorder="1"/>
    <xf numFmtId="43" fontId="35" fillId="0" borderId="1" xfId="0" applyNumberFormat="1" applyFont="1" applyBorder="1"/>
    <xf numFmtId="169" fontId="41" fillId="71" borderId="1" xfId="379" applyNumberFormat="1" applyFont="1" applyFill="1" applyBorder="1"/>
    <xf numFmtId="43" fontId="41" fillId="71" borderId="1" xfId="967" applyFont="1" applyFill="1" applyBorder="1"/>
    <xf numFmtId="169" fontId="41" fillId="0" borderId="1" xfId="379" applyNumberFormat="1" applyFont="1" applyFill="1" applyBorder="1"/>
    <xf numFmtId="0" fontId="1" fillId="0" borderId="0" xfId="966" applyFont="1" applyFill="1" applyBorder="1"/>
    <xf numFmtId="169" fontId="41" fillId="0" borderId="0" xfId="379" applyNumberFormat="1" applyFont="1" applyFill="1" applyBorder="1"/>
    <xf numFmtId="43" fontId="41" fillId="0" borderId="0" xfId="967" applyFont="1" applyFill="1" applyBorder="1"/>
    <xf numFmtId="0" fontId="126" fillId="0" borderId="0" xfId="966" applyFont="1" applyFill="1" applyBorder="1"/>
    <xf numFmtId="0" fontId="13" fillId="0" borderId="50" xfId="966" applyFont="1" applyFill="1" applyBorder="1"/>
    <xf numFmtId="0" fontId="14" fillId="0" borderId="21" xfId="966" applyFill="1" applyBorder="1"/>
    <xf numFmtId="169" fontId="41" fillId="67" borderId="1" xfId="379" applyNumberFormat="1" applyFont="1" applyFill="1" applyBorder="1"/>
    <xf numFmtId="0" fontId="126" fillId="67" borderId="50" xfId="966" applyFont="1" applyFill="1" applyBorder="1"/>
    <xf numFmtId="0" fontId="14" fillId="67" borderId="21" xfId="966" applyFill="1" applyBorder="1"/>
    <xf numFmtId="0" fontId="1" fillId="68" borderId="51" xfId="966" applyFont="1" applyFill="1" applyBorder="1"/>
    <xf numFmtId="0" fontId="1" fillId="68" borderId="21" xfId="966" applyFont="1" applyFill="1" applyBorder="1"/>
    <xf numFmtId="0" fontId="1" fillId="68" borderId="50" xfId="966" applyFont="1" applyFill="1" applyBorder="1"/>
    <xf numFmtId="17" fontId="0" fillId="0" borderId="44" xfId="0" applyNumberFormat="1" applyBorder="1" applyAlignment="1">
      <alignment horizontal="center"/>
    </xf>
    <xf numFmtId="0" fontId="0" fillId="0" borderId="23" xfId="0" applyBorder="1"/>
    <xf numFmtId="43" fontId="228" fillId="139" borderId="1" xfId="379" applyFont="1" applyFill="1" applyBorder="1" applyAlignment="1">
      <alignment vertical="top"/>
    </xf>
    <xf numFmtId="43" fontId="124" fillId="0" borderId="1" xfId="379" applyFont="1" applyBorder="1"/>
    <xf numFmtId="43" fontId="0" fillId="73" borderId="1" xfId="0" applyNumberFormat="1" applyFill="1" applyBorder="1"/>
    <xf numFmtId="175" fontId="24" fillId="0" borderId="1" xfId="379" applyNumberFormat="1" applyFont="1" applyBorder="1" applyAlignment="1">
      <alignment horizontal="center"/>
    </xf>
    <xf numFmtId="175" fontId="24" fillId="0" borderId="1" xfId="379" applyNumberFormat="1" applyFont="1" applyBorder="1"/>
    <xf numFmtId="175" fontId="24" fillId="33" borderId="1" xfId="379" applyNumberFormat="1" applyFont="1" applyFill="1" applyBorder="1" applyAlignment="1">
      <alignment horizontal="center"/>
    </xf>
    <xf numFmtId="175" fontId="24" fillId="33" borderId="1" xfId="379" applyNumberFormat="1" applyFont="1" applyFill="1" applyBorder="1"/>
    <xf numFmtId="169" fontId="24" fillId="33" borderId="23" xfId="379" applyNumberFormat="1" applyFont="1" applyFill="1" applyBorder="1" applyAlignment="1" applyProtection="1">
      <protection locked="0"/>
    </xf>
    <xf numFmtId="169" fontId="24" fillId="33" borderId="1" xfId="379" applyNumberFormat="1" applyFont="1" applyFill="1" applyBorder="1" applyAlignment="1"/>
    <xf numFmtId="10" fontId="31" fillId="0" borderId="1" xfId="0" applyNumberFormat="1" applyFont="1" applyBorder="1" applyAlignment="1" applyProtection="1">
      <alignment horizontal="center"/>
      <protection locked="0"/>
    </xf>
    <xf numFmtId="171" fontId="24" fillId="0" borderId="0" xfId="383" applyNumberFormat="1" applyFont="1" applyFill="1" applyBorder="1" applyAlignment="1">
      <alignment horizontal="center"/>
    </xf>
    <xf numFmtId="171" fontId="24" fillId="33" borderId="0" xfId="383" applyNumberFormat="1" applyFont="1" applyFill="1" applyBorder="1" applyAlignment="1">
      <alignment horizontal="left"/>
    </xf>
    <xf numFmtId="171" fontId="73" fillId="33" borderId="0" xfId="589" applyNumberFormat="1" applyFill="1" applyBorder="1" applyAlignment="1">
      <alignment horizontal="left"/>
    </xf>
    <xf numFmtId="0" fontId="39" fillId="0" borderId="0" xfId="0" applyFont="1" applyAlignment="1">
      <alignment horizontal="center" vertical="top"/>
    </xf>
    <xf numFmtId="0" fontId="40" fillId="0" borderId="0" xfId="0" applyFont="1" applyAlignment="1">
      <alignment horizontal="left" vertical="top"/>
    </xf>
    <xf numFmtId="0" fontId="78" fillId="0" borderId="0" xfId="0" applyFont="1" applyBorder="1" applyAlignment="1">
      <alignment horizontal="center" vertical="center" wrapText="1"/>
    </xf>
    <xf numFmtId="0" fontId="78" fillId="0" borderId="0" xfId="0" applyFont="1" applyAlignment="1">
      <alignment horizontal="center" vertical="center" wrapText="1"/>
    </xf>
    <xf numFmtId="0" fontId="31" fillId="0" borderId="15" xfId="0" applyFont="1" applyFill="1" applyBorder="1" applyAlignment="1">
      <alignment horizontal="center"/>
    </xf>
    <xf numFmtId="0" fontId="31" fillId="0" borderId="51" xfId="0" applyFont="1" applyFill="1" applyBorder="1" applyAlignment="1">
      <alignment horizontal="center"/>
    </xf>
    <xf numFmtId="0" fontId="31" fillId="0" borderId="53" xfId="0" applyFont="1" applyFill="1" applyBorder="1" applyAlignment="1">
      <alignment horizontal="center"/>
    </xf>
    <xf numFmtId="0" fontId="31" fillId="0" borderId="19" xfId="0" applyFont="1" applyFill="1" applyBorder="1" applyAlignment="1">
      <alignment horizontal="center"/>
    </xf>
    <xf numFmtId="0" fontId="31" fillId="0" borderId="13" xfId="0" applyFont="1" applyFill="1" applyBorder="1" applyAlignment="1">
      <alignment horizontal="center"/>
    </xf>
    <xf numFmtId="0" fontId="31" fillId="0" borderId="12" xfId="0" applyFont="1" applyFill="1" applyBorder="1" applyAlignment="1">
      <alignment horizontal="center"/>
    </xf>
    <xf numFmtId="2" fontId="31" fillId="0" borderId="20" xfId="0" applyNumberFormat="1" applyFont="1" applyFill="1" applyBorder="1" applyAlignment="1">
      <alignment horizontal="center"/>
    </xf>
    <xf numFmtId="2" fontId="31" fillId="0" borderId="13" xfId="0" applyNumberFormat="1" applyFont="1" applyFill="1" applyBorder="1" applyAlignment="1">
      <alignment horizontal="center"/>
    </xf>
    <xf numFmtId="49" fontId="31" fillId="0" borderId="14" xfId="0" applyNumberFormat="1" applyFont="1" applyFill="1" applyBorder="1" applyAlignment="1">
      <alignment horizontal="center" wrapText="1"/>
    </xf>
    <xf numFmtId="0" fontId="31" fillId="0" borderId="24" xfId="0" applyFont="1" applyFill="1" applyBorder="1" applyAlignment="1">
      <alignment horizontal="center" wrapText="1"/>
    </xf>
    <xf numFmtId="0" fontId="31" fillId="0" borderId="54" xfId="0" applyFont="1" applyFill="1" applyBorder="1" applyAlignment="1">
      <alignment horizontal="center" wrapText="1"/>
    </xf>
    <xf numFmtId="49" fontId="31" fillId="0" borderId="20" xfId="0" applyNumberFormat="1" applyFont="1" applyFill="1" applyBorder="1" applyAlignment="1">
      <alignment horizontal="center"/>
    </xf>
    <xf numFmtId="0" fontId="31" fillId="0" borderId="13" xfId="0" applyNumberFormat="1" applyFont="1" applyFill="1" applyBorder="1" applyAlignment="1">
      <alignment horizontal="center"/>
    </xf>
    <xf numFmtId="49" fontId="24" fillId="0" borderId="47" xfId="0" applyNumberFormat="1" applyFont="1" applyBorder="1" applyAlignment="1">
      <alignment horizontal="center"/>
    </xf>
    <xf numFmtId="0" fontId="24" fillId="0" borderId="49" xfId="0" applyFont="1" applyBorder="1" applyAlignment="1">
      <alignment horizontal="center"/>
    </xf>
    <xf numFmtId="169" fontId="24" fillId="0" borderId="14" xfId="379" applyNumberFormat="1" applyFont="1" applyBorder="1" applyAlignment="1">
      <alignment horizontal="center"/>
    </xf>
    <xf numFmtId="169" fontId="24" fillId="0" borderId="54" xfId="379" applyNumberFormat="1" applyFont="1" applyBorder="1" applyAlignment="1">
      <alignment horizontal="center"/>
    </xf>
    <xf numFmtId="0" fontId="31" fillId="0" borderId="31" xfId="0" applyFont="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24" fillId="0" borderId="49" xfId="0" applyNumberFormat="1" applyFont="1" applyBorder="1" applyAlignment="1">
      <alignment horizontal="center"/>
    </xf>
    <xf numFmtId="49" fontId="24" fillId="0" borderId="47" xfId="0" applyNumberFormat="1" applyFont="1" applyBorder="1" applyAlignment="1">
      <alignment horizontal="center" vertical="center" wrapText="1"/>
    </xf>
    <xf numFmtId="0" fontId="24" fillId="0" borderId="49"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1" xfId="0" applyFont="1" applyBorder="1" applyAlignment="1" applyProtection="1">
      <alignment horizontal="center"/>
      <protection locked="0"/>
    </xf>
    <xf numFmtId="0" fontId="77" fillId="33" borderId="70" xfId="0" applyFont="1" applyFill="1" applyBorder="1" applyAlignment="1" applyProtection="1">
      <alignment horizontal="center" vertical="center"/>
      <protection locked="0"/>
    </xf>
    <xf numFmtId="0" fontId="77" fillId="33" borderId="5" xfId="0" applyFont="1" applyFill="1" applyBorder="1" applyAlignment="1" applyProtection="1">
      <alignment horizontal="center" vertical="center"/>
      <protection locked="0"/>
    </xf>
    <xf numFmtId="0" fontId="77" fillId="33" borderId="6" xfId="0" applyFont="1" applyFill="1" applyBorder="1" applyAlignment="1" applyProtection="1">
      <alignment horizontal="center" vertical="center"/>
      <protection locked="0"/>
    </xf>
    <xf numFmtId="0" fontId="77" fillId="33" borderId="31" xfId="0" applyFont="1" applyFill="1" applyBorder="1" applyAlignment="1" applyProtection="1">
      <alignment horizontal="center" vertical="center" wrapText="1"/>
      <protection locked="0"/>
    </xf>
    <xf numFmtId="0" fontId="77" fillId="33" borderId="5" xfId="0" applyFont="1" applyFill="1" applyBorder="1" applyAlignment="1" applyProtection="1">
      <alignment horizontal="center" vertical="center" wrapText="1"/>
      <protection locked="0"/>
    </xf>
    <xf numFmtId="0" fontId="77" fillId="33" borderId="67" xfId="0" applyFont="1" applyFill="1" applyBorder="1" applyAlignment="1" applyProtection="1">
      <alignment horizontal="center" vertical="center" wrapText="1"/>
      <protection locked="0"/>
    </xf>
    <xf numFmtId="0" fontId="81" fillId="0" borderId="1" xfId="861" applyFont="1" applyBorder="1" applyAlignment="1">
      <alignment horizontal="center"/>
    </xf>
    <xf numFmtId="171" fontId="24" fillId="33" borderId="31" xfId="383" applyNumberFormat="1" applyFont="1" applyFill="1" applyBorder="1" applyAlignment="1">
      <alignment horizontal="center"/>
    </xf>
    <xf numFmtId="171" fontId="24" fillId="33" borderId="5" xfId="383" applyNumberFormat="1" applyFont="1" applyFill="1" applyBorder="1" applyAlignment="1">
      <alignment horizontal="center"/>
    </xf>
    <xf numFmtId="171" fontId="24" fillId="33" borderId="6" xfId="383" applyNumberFormat="1" applyFont="1" applyFill="1" applyBorder="1" applyAlignment="1">
      <alignment horizontal="center"/>
    </xf>
    <xf numFmtId="0" fontId="24" fillId="35" borderId="48" xfId="0" applyFont="1" applyFill="1" applyBorder="1" applyAlignment="1">
      <alignment horizontal="left" vertical="center" wrapText="1"/>
    </xf>
    <xf numFmtId="0" fontId="59" fillId="35" borderId="0" xfId="0" applyFont="1" applyFill="1" applyBorder="1" applyAlignment="1">
      <alignment horizontal="center" vertical="center"/>
    </xf>
    <xf numFmtId="0" fontId="24" fillId="0" borderId="39" xfId="0" applyFont="1" applyBorder="1" applyAlignment="1">
      <alignment horizontal="center"/>
    </xf>
    <xf numFmtId="0" fontId="24" fillId="0" borderId="26" xfId="0" applyFont="1" applyBorder="1" applyAlignment="1">
      <alignment horizontal="center"/>
    </xf>
    <xf numFmtId="0" fontId="24" fillId="0" borderId="42" xfId="0" applyFont="1" applyBorder="1" applyAlignment="1">
      <alignment horizontal="center"/>
    </xf>
    <xf numFmtId="0" fontId="60" fillId="0" borderId="12" xfId="0" applyFont="1" applyBorder="1" applyAlignment="1">
      <alignment horizontal="center" vertical="center" wrapText="1"/>
    </xf>
    <xf numFmtId="0" fontId="70" fillId="0" borderId="87" xfId="0" applyFont="1" applyBorder="1" applyAlignment="1">
      <alignment horizontal="center" vertical="center" wrapText="1"/>
    </xf>
    <xf numFmtId="0" fontId="70" fillId="0" borderId="20" xfId="0" applyFont="1" applyBorder="1" applyAlignment="1">
      <alignment horizontal="center" vertical="center" wrapText="1"/>
    </xf>
    <xf numFmtId="3" fontId="58" fillId="0" borderId="1" xfId="0" applyNumberFormat="1" applyFont="1" applyBorder="1" applyAlignment="1">
      <alignment horizontal="center" vertical="center" wrapText="1"/>
    </xf>
    <xf numFmtId="3" fontId="58" fillId="0" borderId="50" xfId="0" applyNumberFormat="1" applyFont="1" applyBorder="1" applyAlignment="1">
      <alignment horizontal="center" vertical="center" wrapText="1"/>
    </xf>
    <xf numFmtId="3" fontId="58" fillId="0" borderId="21" xfId="0" applyNumberFormat="1" applyFont="1" applyBorder="1" applyAlignment="1">
      <alignment horizontal="center" vertical="center" wrapText="1"/>
    </xf>
    <xf numFmtId="3" fontId="58" fillId="0" borderId="10" xfId="0" applyNumberFormat="1" applyFont="1" applyBorder="1" applyAlignment="1">
      <alignment horizontal="center" vertical="center" wrapText="1"/>
    </xf>
    <xf numFmtId="3" fontId="58" fillId="0" borderId="88" xfId="0" applyNumberFormat="1" applyFont="1" applyBorder="1" applyAlignment="1">
      <alignment horizontal="center" vertical="center" wrapText="1"/>
    </xf>
    <xf numFmtId="3" fontId="58" fillId="0" borderId="89" xfId="0" applyNumberFormat="1" applyFont="1" applyBorder="1" applyAlignment="1">
      <alignment horizontal="center" vertical="center" wrapText="1"/>
    </xf>
    <xf numFmtId="0" fontId="60" fillId="0" borderId="23" xfId="0" applyFont="1" applyBorder="1" applyAlignment="1">
      <alignment horizontal="center" vertical="center" wrapText="1"/>
    </xf>
    <xf numFmtId="0" fontId="70" fillId="0" borderId="55" xfId="0" applyFont="1" applyBorder="1" applyAlignment="1">
      <alignment horizontal="center" vertical="center" wrapText="1"/>
    </xf>
    <xf numFmtId="0" fontId="70" fillId="0" borderId="56" xfId="0" applyFont="1" applyBorder="1" applyAlignment="1">
      <alignment horizontal="center" vertical="center" wrapText="1"/>
    </xf>
    <xf numFmtId="0" fontId="72" fillId="0" borderId="19" xfId="0" applyFont="1" applyBorder="1" applyAlignment="1">
      <alignment horizontal="center"/>
    </xf>
    <xf numFmtId="0" fontId="72" fillId="0" borderId="13" xfId="0" applyFont="1" applyBorder="1" applyAlignment="1">
      <alignment horizontal="center"/>
    </xf>
    <xf numFmtId="0" fontId="70" fillId="0" borderId="55" xfId="0" applyFont="1" applyBorder="1" applyAlignment="1">
      <alignment horizontal="center" vertical="center"/>
    </xf>
    <xf numFmtId="0" fontId="70" fillId="0" borderId="56" xfId="0" applyFont="1" applyBorder="1" applyAlignment="1">
      <alignment horizontal="center" vertical="center"/>
    </xf>
    <xf numFmtId="0" fontId="24" fillId="35" borderId="48" xfId="0" applyFont="1" applyFill="1" applyBorder="1" applyAlignment="1">
      <alignment horizontal="center" vertical="center" wrapText="1"/>
    </xf>
    <xf numFmtId="171" fontId="24" fillId="0" borderId="31" xfId="383" applyNumberFormat="1" applyFont="1" applyFill="1" applyBorder="1" applyAlignment="1">
      <alignment horizontal="center"/>
    </xf>
    <xf numFmtId="171" fontId="24" fillId="0" borderId="5" xfId="383" applyNumberFormat="1" applyFont="1" applyFill="1" applyBorder="1" applyAlignment="1">
      <alignment horizontal="center"/>
    </xf>
    <xf numFmtId="171" fontId="24" fillId="0" borderId="6" xfId="383" applyNumberFormat="1" applyFont="1" applyFill="1" applyBorder="1" applyAlignment="1">
      <alignment horizontal="center"/>
    </xf>
    <xf numFmtId="2" fontId="101" fillId="33" borderId="3" xfId="379" applyNumberFormat="1" applyFont="1" applyFill="1" applyBorder="1" applyAlignment="1" applyProtection="1">
      <alignment horizontal="center" vertical="center"/>
      <protection locked="0"/>
    </xf>
    <xf numFmtId="2" fontId="101" fillId="33" borderId="91" xfId="379" applyNumberFormat="1" applyFont="1" applyFill="1" applyBorder="1" applyAlignment="1" applyProtection="1">
      <alignment horizontal="center" vertical="center"/>
      <protection locked="0"/>
    </xf>
    <xf numFmtId="0" fontId="72" fillId="0" borderId="24" xfId="0" applyFont="1" applyBorder="1" applyAlignment="1">
      <alignment horizontal="center"/>
    </xf>
    <xf numFmtId="0" fontId="36" fillId="0" borderId="31"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36" fillId="0" borderId="31" xfId="0" applyFont="1" applyBorder="1" applyAlignment="1">
      <alignment horizontal="center" wrapText="1"/>
    </xf>
    <xf numFmtId="0" fontId="36" fillId="0" borderId="6" xfId="0" applyFont="1" applyBorder="1" applyAlignment="1">
      <alignment horizontal="center" wrapText="1"/>
    </xf>
    <xf numFmtId="0" fontId="24" fillId="0" borderId="0" xfId="0" applyFont="1" applyAlignment="1">
      <alignment horizontal="left" wrapText="1"/>
    </xf>
    <xf numFmtId="0" fontId="82" fillId="0" borderId="50" xfId="0" applyFont="1" applyBorder="1" applyAlignment="1">
      <alignment horizontal="center"/>
    </xf>
    <xf numFmtId="0" fontId="82" fillId="0" borderId="51" xfId="0" applyFont="1" applyBorder="1" applyAlignment="1">
      <alignment horizontal="center"/>
    </xf>
    <xf numFmtId="0" fontId="82" fillId="0" borderId="21" xfId="0" applyFont="1" applyBorder="1" applyAlignment="1">
      <alignment horizontal="center"/>
    </xf>
    <xf numFmtId="0" fontId="18" fillId="0" borderId="0" xfId="768" applyFont="1" applyBorder="1" applyAlignment="1">
      <alignment horizontal="left" vertical="top" wrapText="1"/>
    </xf>
    <xf numFmtId="0" fontId="126" fillId="0" borderId="0" xfId="768" applyFont="1" applyAlignment="1">
      <alignment horizontal="center" vertical="top"/>
    </xf>
    <xf numFmtId="0" fontId="96" fillId="63" borderId="47" xfId="768" applyFont="1" applyFill="1" applyBorder="1" applyAlignment="1">
      <alignment horizontal="center" vertical="top"/>
    </xf>
    <xf numFmtId="0" fontId="96" fillId="63" borderId="48" xfId="768" applyFont="1" applyFill="1" applyBorder="1" applyAlignment="1">
      <alignment horizontal="center" vertical="top"/>
    </xf>
    <xf numFmtId="0" fontId="96" fillId="63" borderId="49" xfId="768" applyFont="1" applyFill="1" applyBorder="1" applyAlignment="1">
      <alignment horizontal="center" vertical="top"/>
    </xf>
    <xf numFmtId="170" fontId="125" fillId="33" borderId="45" xfId="769" applyNumberFormat="1" applyFont="1" applyFill="1" applyBorder="1" applyAlignment="1">
      <alignment horizontal="center"/>
    </xf>
    <xf numFmtId="170" fontId="125" fillId="33" borderId="0" xfId="769" applyNumberFormat="1" applyFont="1" applyFill="1" applyBorder="1" applyAlignment="1">
      <alignment horizontal="center"/>
    </xf>
    <xf numFmtId="170" fontId="125" fillId="33" borderId="41" xfId="769" applyNumberFormat="1" applyFont="1" applyFill="1" applyBorder="1" applyAlignment="1">
      <alignment horizontal="center"/>
    </xf>
    <xf numFmtId="0" fontId="96" fillId="35" borderId="47" xfId="768" applyFont="1" applyFill="1" applyBorder="1" applyAlignment="1">
      <alignment horizontal="center"/>
    </xf>
    <xf numFmtId="0" fontId="96" fillId="35" borderId="48" xfId="768" applyFont="1" applyFill="1" applyBorder="1" applyAlignment="1">
      <alignment horizontal="center"/>
    </xf>
    <xf numFmtId="0" fontId="96" fillId="35" borderId="49" xfId="768" applyFont="1" applyFill="1" applyBorder="1" applyAlignment="1">
      <alignment horizontal="center"/>
    </xf>
    <xf numFmtId="0" fontId="96" fillId="35" borderId="15" xfId="768" applyFont="1" applyFill="1" applyBorder="1" applyAlignment="1">
      <alignment horizontal="center" vertical="center"/>
    </xf>
    <xf numFmtId="0" fontId="96" fillId="35" borderId="51" xfId="768" applyFont="1" applyFill="1" applyBorder="1" applyAlignment="1">
      <alignment horizontal="center" vertical="center"/>
    </xf>
    <xf numFmtId="0" fontId="96" fillId="35" borderId="53" xfId="768" applyFont="1" applyFill="1" applyBorder="1" applyAlignment="1">
      <alignment horizontal="center" vertical="center"/>
    </xf>
    <xf numFmtId="0" fontId="6" fillId="0" borderId="47" xfId="768" applyFont="1" applyBorder="1" applyAlignment="1">
      <alignment horizontal="center" wrapText="1"/>
    </xf>
    <xf numFmtId="0" fontId="6" fillId="0" borderId="49" xfId="768" applyFont="1" applyBorder="1" applyAlignment="1">
      <alignment horizontal="center" wrapText="1"/>
    </xf>
    <xf numFmtId="0" fontId="6" fillId="0" borderId="45" xfId="768" applyFont="1" applyBorder="1" applyAlignment="1">
      <alignment horizontal="center" wrapText="1"/>
    </xf>
    <xf numFmtId="0" fontId="6" fillId="0" borderId="41" xfId="768" applyFont="1" applyBorder="1" applyAlignment="1">
      <alignment horizontal="center" wrapText="1"/>
    </xf>
    <xf numFmtId="0" fontId="39" fillId="0" borderId="0" xfId="697" applyFont="1" applyAlignment="1">
      <alignment horizontal="center"/>
    </xf>
    <xf numFmtId="0" fontId="17" fillId="0" borderId="0" xfId="768" applyFont="1" applyAlignment="1">
      <alignment horizontal="left" vertical="top" wrapText="1"/>
    </xf>
    <xf numFmtId="0" fontId="18" fillId="0" borderId="0" xfId="768" applyFont="1" applyAlignment="1">
      <alignment horizontal="left" vertical="top" wrapText="1"/>
    </xf>
    <xf numFmtId="0" fontId="127" fillId="0" borderId="0" xfId="768" applyFont="1" applyBorder="1" applyAlignment="1">
      <alignment horizontal="center" vertical="top" wrapText="1"/>
    </xf>
    <xf numFmtId="0" fontId="96" fillId="35" borderId="45" xfId="768" applyFont="1" applyFill="1" applyBorder="1" applyAlignment="1">
      <alignment horizontal="center" vertical="top"/>
    </xf>
    <xf numFmtId="0" fontId="96" fillId="35" borderId="0" xfId="768" applyFont="1" applyFill="1" applyBorder="1" applyAlignment="1">
      <alignment horizontal="center" vertical="top"/>
    </xf>
    <xf numFmtId="0" fontId="96" fillId="35" borderId="41" xfId="768" applyFont="1" applyFill="1" applyBorder="1" applyAlignment="1">
      <alignment horizontal="center" vertical="top"/>
    </xf>
    <xf numFmtId="0" fontId="127" fillId="0" borderId="0" xfId="768" applyFont="1" applyBorder="1" applyAlignment="1">
      <alignment horizontal="center"/>
    </xf>
    <xf numFmtId="0" fontId="96" fillId="0" borderId="0" xfId="768" applyFont="1" applyBorder="1" applyAlignment="1">
      <alignment horizontal="center" vertical="top" wrapText="1"/>
    </xf>
    <xf numFmtId="0" fontId="96" fillId="35" borderId="45" xfId="768" applyFont="1" applyFill="1" applyBorder="1" applyAlignment="1">
      <alignment horizontal="left" vertical="center"/>
    </xf>
    <xf numFmtId="0" fontId="96" fillId="35" borderId="0" xfId="768" applyFont="1" applyFill="1" applyBorder="1" applyAlignment="1">
      <alignment horizontal="left" vertical="center"/>
    </xf>
    <xf numFmtId="0" fontId="18" fillId="35" borderId="38" xfId="768" applyFont="1" applyFill="1" applyBorder="1" applyAlignment="1">
      <alignment vertical="top" wrapText="1"/>
    </xf>
    <xf numFmtId="0" fontId="18" fillId="35" borderId="71" xfId="768" applyFont="1" applyFill="1" applyBorder="1" applyAlignment="1">
      <alignment vertical="top" wrapText="1"/>
    </xf>
    <xf numFmtId="0" fontId="96" fillId="0" borderId="46" xfId="768" applyFont="1" applyBorder="1" applyAlignment="1">
      <alignment vertical="top" wrapText="1"/>
    </xf>
    <xf numFmtId="0" fontId="96" fillId="0" borderId="25" xfId="768" applyFont="1" applyBorder="1" applyAlignment="1">
      <alignment vertical="top" wrapText="1"/>
    </xf>
    <xf numFmtId="170" fontId="125" fillId="33" borderId="45" xfId="769" applyNumberFormat="1" applyFont="1" applyFill="1" applyBorder="1" applyAlignment="1">
      <alignment horizontal="center" vertical="top"/>
    </xf>
    <xf numFmtId="170" fontId="125" fillId="33" borderId="0" xfId="769" applyNumberFormat="1" applyFont="1" applyFill="1" applyBorder="1" applyAlignment="1">
      <alignment horizontal="center" vertical="top"/>
    </xf>
    <xf numFmtId="170" fontId="125" fillId="33" borderId="41" xfId="769" applyNumberFormat="1" applyFont="1" applyFill="1" applyBorder="1" applyAlignment="1">
      <alignment horizontal="center" vertical="top"/>
    </xf>
    <xf numFmtId="2" fontId="133" fillId="0" borderId="31" xfId="0" applyNumberFormat="1" applyFont="1" applyBorder="1" applyAlignment="1">
      <alignment horizontal="center"/>
    </xf>
    <xf numFmtId="0" fontId="133" fillId="0" borderId="5" xfId="0" applyFont="1" applyBorder="1" applyAlignment="1">
      <alignment horizontal="center"/>
    </xf>
    <xf numFmtId="0" fontId="133" fillId="0" borderId="6" xfId="0" applyFont="1" applyBorder="1" applyAlignment="1">
      <alignment horizontal="center"/>
    </xf>
    <xf numFmtId="2" fontId="24" fillId="0" borderId="87" xfId="0" applyNumberFormat="1" applyFont="1" applyFill="1" applyBorder="1" applyAlignment="1">
      <alignment horizontal="center" wrapText="1"/>
    </xf>
    <xf numFmtId="2" fontId="24" fillId="0" borderId="20" xfId="0" applyNumberFormat="1" applyFont="1" applyFill="1" applyBorder="1" applyAlignment="1">
      <alignment horizontal="center" wrapText="1"/>
    </xf>
    <xf numFmtId="2" fontId="24" fillId="0" borderId="24" xfId="0" applyNumberFormat="1" applyFont="1" applyFill="1" applyBorder="1" applyAlignment="1">
      <alignment horizontal="center" wrapText="1"/>
    </xf>
    <xf numFmtId="2" fontId="24" fillId="0" borderId="54" xfId="0" applyNumberFormat="1" applyFont="1" applyFill="1" applyBorder="1" applyAlignment="1">
      <alignment horizontal="center" wrapText="1"/>
    </xf>
    <xf numFmtId="2" fontId="24" fillId="0" borderId="12" xfId="0" applyNumberFormat="1" applyFont="1" applyFill="1" applyBorder="1" applyAlignment="1">
      <alignment horizontal="center" wrapText="1"/>
    </xf>
    <xf numFmtId="0" fontId="24" fillId="0" borderId="12" xfId="0" applyFont="1" applyFill="1" applyBorder="1" applyAlignment="1">
      <alignment horizontal="center" wrapText="1"/>
    </xf>
    <xf numFmtId="0" fontId="24" fillId="0" borderId="13" xfId="0" applyFont="1" applyFill="1" applyBorder="1" applyAlignment="1">
      <alignment horizontal="center" wrapText="1"/>
    </xf>
    <xf numFmtId="2" fontId="31" fillId="0" borderId="31" xfId="0" applyNumberFormat="1" applyFont="1" applyBorder="1" applyAlignment="1">
      <alignment horizontal="center"/>
    </xf>
    <xf numFmtId="2" fontId="31" fillId="0" borderId="50" xfId="0" applyNumberFormat="1" applyFont="1" applyBorder="1" applyAlignment="1">
      <alignment horizontal="center" vertical="center" wrapText="1"/>
    </xf>
    <xf numFmtId="2" fontId="31" fillId="0" borderId="21" xfId="0" applyNumberFormat="1" applyFont="1" applyBorder="1" applyAlignment="1">
      <alignment horizontal="center" vertical="center" wrapText="1"/>
    </xf>
    <xf numFmtId="0" fontId="69" fillId="0" borderId="44" xfId="0" applyFont="1" applyBorder="1" applyAlignment="1">
      <alignment horizontal="center" vertical="center" wrapText="1"/>
    </xf>
    <xf numFmtId="0" fontId="69" fillId="0" borderId="23"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50" xfId="0" applyFont="1" applyBorder="1" applyAlignment="1">
      <alignment horizontal="center"/>
    </xf>
    <xf numFmtId="0" fontId="31" fillId="0" borderId="51" xfId="0" applyFont="1" applyBorder="1" applyAlignment="1">
      <alignment horizontal="center"/>
    </xf>
    <xf numFmtId="0" fontId="31" fillId="0" borderId="21" xfId="0" applyFont="1" applyBorder="1" applyAlignment="1">
      <alignment horizontal="center"/>
    </xf>
    <xf numFmtId="2" fontId="31" fillId="0" borderId="1" xfId="0" applyNumberFormat="1" applyFont="1" applyBorder="1" applyAlignment="1">
      <alignment horizontal="center" vertical="center" wrapText="1"/>
    </xf>
    <xf numFmtId="0" fontId="31" fillId="0" borderId="50" xfId="0" applyFont="1" applyBorder="1" applyAlignment="1">
      <alignment horizontal="center" wrapText="1"/>
    </xf>
    <xf numFmtId="0" fontId="31" fillId="0" borderId="51" xfId="0" applyFont="1" applyBorder="1" applyAlignment="1">
      <alignment horizontal="center" wrapText="1"/>
    </xf>
    <xf numFmtId="0" fontId="31" fillId="0" borderId="21" xfId="0" applyFont="1" applyBorder="1" applyAlignment="1">
      <alignment horizontal="center" wrapText="1"/>
    </xf>
    <xf numFmtId="0" fontId="24" fillId="0" borderId="44" xfId="0" applyFont="1" applyBorder="1" applyAlignment="1">
      <alignment horizontal="center"/>
    </xf>
    <xf numFmtId="0" fontId="24" fillId="0" borderId="55" xfId="0" applyFont="1" applyBorder="1" applyAlignment="1">
      <alignment horizontal="center"/>
    </xf>
    <xf numFmtId="0" fontId="0" fillId="0" borderId="1" xfId="0" applyBorder="1" applyAlignment="1">
      <alignment horizontal="center"/>
    </xf>
    <xf numFmtId="171" fontId="24" fillId="68" borderId="31" xfId="383" applyNumberFormat="1" applyFont="1" applyFill="1" applyBorder="1" applyAlignment="1">
      <alignment horizontal="center"/>
    </xf>
    <xf numFmtId="171" fontId="24" fillId="68" borderId="5" xfId="383" applyNumberFormat="1" applyFont="1" applyFill="1" applyBorder="1" applyAlignment="1">
      <alignment horizontal="center"/>
    </xf>
    <xf numFmtId="171" fontId="24" fillId="68" borderId="6" xfId="383" applyNumberFormat="1" applyFont="1" applyFill="1" applyBorder="1" applyAlignment="1">
      <alignment horizontal="center"/>
    </xf>
    <xf numFmtId="2" fontId="24" fillId="68" borderId="43" xfId="379" applyNumberFormat="1" applyFont="1" applyFill="1" applyBorder="1" applyAlignment="1" applyProtection="1">
      <alignment horizontal="center" wrapText="1"/>
      <protection locked="0"/>
    </xf>
    <xf numFmtId="2" fontId="24" fillId="68" borderId="7" xfId="379" applyNumberFormat="1" applyFont="1" applyFill="1" applyBorder="1" applyAlignment="1" applyProtection="1">
      <alignment horizontal="center" wrapText="1"/>
      <protection locked="0"/>
    </xf>
    <xf numFmtId="171" fontId="24" fillId="68" borderId="1" xfId="383" applyNumberFormat="1" applyFont="1" applyFill="1" applyBorder="1" applyAlignment="1">
      <alignment horizontal="center"/>
    </xf>
    <xf numFmtId="0" fontId="24" fillId="0" borderId="23" xfId="0" applyFont="1" applyBorder="1" applyAlignment="1">
      <alignment horizontal="center"/>
    </xf>
  </cellXfs>
  <cellStyles count="11989">
    <cellStyle name="$" xfId="746"/>
    <cellStyle name="$ 2" xfId="1286"/>
    <cellStyle name="$ 2 2" xfId="2712"/>
    <cellStyle name="$ 3" xfId="1815"/>
    <cellStyle name="$ 4" xfId="1287"/>
    <cellStyle name="$.00" xfId="747"/>
    <cellStyle name="$.00 2" xfId="1284"/>
    <cellStyle name="$.00 2 2" xfId="2713"/>
    <cellStyle name="$.00 3" xfId="1816"/>
    <cellStyle name="$.00 4" xfId="1285"/>
    <cellStyle name="$_9. Rev2Cost_GDPIPI" xfId="748"/>
    <cellStyle name="$_9. Rev2Cost_GDPIPI 2" xfId="1282"/>
    <cellStyle name="$_9. Rev2Cost_GDPIPI 2 2" xfId="2714"/>
    <cellStyle name="$_9. Rev2Cost_GDPIPI 3" xfId="1817"/>
    <cellStyle name="$_9. Rev2Cost_GDPIPI 4" xfId="1283"/>
    <cellStyle name="$_lists" xfId="749"/>
    <cellStyle name="$_lists 2" xfId="1280"/>
    <cellStyle name="$_lists 2 2" xfId="2715"/>
    <cellStyle name="$_lists 3" xfId="1818"/>
    <cellStyle name="$_lists 4" xfId="1281"/>
    <cellStyle name="$_lists_4. Current Monthly Fixed Charge" xfId="750"/>
    <cellStyle name="$_lists_4. Current Monthly Fixed Charge 2" xfId="1278"/>
    <cellStyle name="$_lists_4. Current Monthly Fixed Charge 2 2" xfId="2716"/>
    <cellStyle name="$_lists_4. Current Monthly Fixed Charge 3" xfId="1819"/>
    <cellStyle name="$_lists_4. Current Monthly Fixed Charge 4" xfId="1279"/>
    <cellStyle name="$_Sheet4" xfId="751"/>
    <cellStyle name="$_Sheet4 2" xfId="1276"/>
    <cellStyle name="$_Sheet4 2 2" xfId="2717"/>
    <cellStyle name="$_Sheet4 3" xfId="1820"/>
    <cellStyle name="$_Sheet4 4" xfId="1277"/>
    <cellStyle name="$M" xfId="752"/>
    <cellStyle name="$M 2" xfId="1274"/>
    <cellStyle name="$M 2 2" xfId="2505"/>
    <cellStyle name="$M 2 3" xfId="2718"/>
    <cellStyle name="$M 3" xfId="1821"/>
    <cellStyle name="$M 3 2" xfId="2473"/>
    <cellStyle name="$M 4" xfId="1275"/>
    <cellStyle name="$M.00" xfId="753"/>
    <cellStyle name="$M.00 2" xfId="1272"/>
    <cellStyle name="$M.00 2 2" xfId="2719"/>
    <cellStyle name="$M.00 3" xfId="1822"/>
    <cellStyle name="$M.00 4" xfId="1273"/>
    <cellStyle name="$M_9. Rev2Cost_GDPIPI" xfId="754"/>
    <cellStyle name="20% - Accent1" xfId="941" builtinId="30" customBuiltin="1"/>
    <cellStyle name="20% - Accent1 10" xfId="1"/>
    <cellStyle name="20% - Accent1 11" xfId="2"/>
    <cellStyle name="20% - Accent1 12" xfId="3"/>
    <cellStyle name="20% - Accent1 13" xfId="4"/>
    <cellStyle name="20% - Accent1 14" xfId="5"/>
    <cellStyle name="20% - Accent1 15" xfId="6"/>
    <cellStyle name="20% - Accent1 16" xfId="670"/>
    <cellStyle name="20% - Accent1 17" xfId="989"/>
    <cellStyle name="20% - Accent1 17 2" xfId="11860"/>
    <cellStyle name="20% - Accent1 18" xfId="1014"/>
    <cellStyle name="20% - Accent1 18 2" xfId="11885"/>
    <cellStyle name="20% - Accent1 19" xfId="1064"/>
    <cellStyle name="20% - Accent1 19 2" xfId="11935"/>
    <cellStyle name="20% - Accent1 2" xfId="7"/>
    <cellStyle name="20% - Accent1 2 10" xfId="1936"/>
    <cellStyle name="20% - Accent1 2 10 2" xfId="2939"/>
    <cellStyle name="20% - Accent1 2 10 2 2" xfId="5208"/>
    <cellStyle name="20% - Accent1 2 10 2 2 2" xfId="9672"/>
    <cellStyle name="20% - Accent1 2 10 2 3" xfId="7444"/>
    <cellStyle name="20% - Accent1 2 10 3" xfId="3522"/>
    <cellStyle name="20% - Accent1 2 10 3 2" xfId="4652"/>
    <cellStyle name="20% - Accent1 2 10 3 2 2" xfId="9116"/>
    <cellStyle name="20% - Accent1 2 10 3 3" xfId="8001"/>
    <cellStyle name="20% - Accent1 2 10 4" xfId="4095"/>
    <cellStyle name="20% - Accent1 2 10 4 2" xfId="8559"/>
    <cellStyle name="20% - Accent1 2 10 5" xfId="5765"/>
    <cellStyle name="20% - Accent1 2 10 5 2" xfId="10229"/>
    <cellStyle name="20% - Accent1 2 10 6" xfId="6331"/>
    <cellStyle name="20% - Accent1 2 10 6 2" xfId="10786"/>
    <cellStyle name="20% - Accent1 2 10 7" xfId="6888"/>
    <cellStyle name="20% - Accent1 2 11" xfId="2576"/>
    <cellStyle name="20% - Accent1 2 12" xfId="11304"/>
    <cellStyle name="20% - Accent1 2 13" xfId="11333"/>
    <cellStyle name="20% - Accent1 2 14" xfId="1271"/>
    <cellStyle name="20% - Accent1 2 15" xfId="1129"/>
    <cellStyle name="20% - Accent1 2 2" xfId="717"/>
    <cellStyle name="20% - Accent1 2 2 2" xfId="1744"/>
    <cellStyle name="20% - Accent1 2 2 3" xfId="1270"/>
    <cellStyle name="20% - Accent1 2 2 4" xfId="11674"/>
    <cellStyle name="20% - Accent1 2 2 5" xfId="1159"/>
    <cellStyle name="20% - Accent1 2 3" xfId="1099"/>
    <cellStyle name="20% - Accent1 2 3 2" xfId="1937"/>
    <cellStyle name="20% - Accent1 2 3 2 10" xfId="6889"/>
    <cellStyle name="20% - Accent1 2 3 2 2" xfId="1938"/>
    <cellStyle name="20% - Accent1 2 3 2 2 2" xfId="1939"/>
    <cellStyle name="20% - Accent1 2 3 2 2 2 2" xfId="2942"/>
    <cellStyle name="20% - Accent1 2 3 2 2 2 2 2" xfId="5211"/>
    <cellStyle name="20% - Accent1 2 3 2 2 2 2 2 2" xfId="9675"/>
    <cellStyle name="20% - Accent1 2 3 2 2 2 2 3" xfId="7447"/>
    <cellStyle name="20% - Accent1 2 3 2 2 2 3" xfId="3525"/>
    <cellStyle name="20% - Accent1 2 3 2 2 2 3 2" xfId="4655"/>
    <cellStyle name="20% - Accent1 2 3 2 2 2 3 2 2" xfId="9119"/>
    <cellStyle name="20% - Accent1 2 3 2 2 2 3 3" xfId="8004"/>
    <cellStyle name="20% - Accent1 2 3 2 2 2 4" xfId="4098"/>
    <cellStyle name="20% - Accent1 2 3 2 2 2 4 2" xfId="8562"/>
    <cellStyle name="20% - Accent1 2 3 2 2 2 5" xfId="5768"/>
    <cellStyle name="20% - Accent1 2 3 2 2 2 5 2" xfId="10232"/>
    <cellStyle name="20% - Accent1 2 3 2 2 2 6" xfId="6334"/>
    <cellStyle name="20% - Accent1 2 3 2 2 2 6 2" xfId="10789"/>
    <cellStyle name="20% - Accent1 2 3 2 2 2 7" xfId="6891"/>
    <cellStyle name="20% - Accent1 2 3 2 2 3" xfId="1940"/>
    <cellStyle name="20% - Accent1 2 3 2 2 3 2" xfId="2943"/>
    <cellStyle name="20% - Accent1 2 3 2 2 3 2 2" xfId="5212"/>
    <cellStyle name="20% - Accent1 2 3 2 2 3 2 2 2" xfId="9676"/>
    <cellStyle name="20% - Accent1 2 3 2 2 3 2 3" xfId="7448"/>
    <cellStyle name="20% - Accent1 2 3 2 2 3 3" xfId="3526"/>
    <cellStyle name="20% - Accent1 2 3 2 2 3 3 2" xfId="4656"/>
    <cellStyle name="20% - Accent1 2 3 2 2 3 3 2 2" xfId="9120"/>
    <cellStyle name="20% - Accent1 2 3 2 2 3 3 3" xfId="8005"/>
    <cellStyle name="20% - Accent1 2 3 2 2 3 4" xfId="4099"/>
    <cellStyle name="20% - Accent1 2 3 2 2 3 4 2" xfId="8563"/>
    <cellStyle name="20% - Accent1 2 3 2 2 3 5" xfId="5769"/>
    <cellStyle name="20% - Accent1 2 3 2 2 3 5 2" xfId="10233"/>
    <cellStyle name="20% - Accent1 2 3 2 2 3 6" xfId="6335"/>
    <cellStyle name="20% - Accent1 2 3 2 2 3 6 2" xfId="10790"/>
    <cellStyle name="20% - Accent1 2 3 2 2 3 7" xfId="6892"/>
    <cellStyle name="20% - Accent1 2 3 2 2 4" xfId="2941"/>
    <cellStyle name="20% - Accent1 2 3 2 2 4 2" xfId="5210"/>
    <cellStyle name="20% - Accent1 2 3 2 2 4 2 2" xfId="9674"/>
    <cellStyle name="20% - Accent1 2 3 2 2 4 3" xfId="7446"/>
    <cellStyle name="20% - Accent1 2 3 2 2 5" xfId="3524"/>
    <cellStyle name="20% - Accent1 2 3 2 2 5 2" xfId="4654"/>
    <cellStyle name="20% - Accent1 2 3 2 2 5 2 2" xfId="9118"/>
    <cellStyle name="20% - Accent1 2 3 2 2 5 3" xfId="8003"/>
    <cellStyle name="20% - Accent1 2 3 2 2 6" xfId="4097"/>
    <cellStyle name="20% - Accent1 2 3 2 2 6 2" xfId="8561"/>
    <cellStyle name="20% - Accent1 2 3 2 2 7" xfId="5767"/>
    <cellStyle name="20% - Accent1 2 3 2 2 7 2" xfId="10231"/>
    <cellStyle name="20% - Accent1 2 3 2 2 8" xfId="6333"/>
    <cellStyle name="20% - Accent1 2 3 2 2 8 2" xfId="10788"/>
    <cellStyle name="20% - Accent1 2 3 2 2 9" xfId="6890"/>
    <cellStyle name="20% - Accent1 2 3 2 3" xfId="1941"/>
    <cellStyle name="20% - Accent1 2 3 2 3 2" xfId="2944"/>
    <cellStyle name="20% - Accent1 2 3 2 3 2 2" xfId="5213"/>
    <cellStyle name="20% - Accent1 2 3 2 3 2 2 2" xfId="9677"/>
    <cellStyle name="20% - Accent1 2 3 2 3 2 3" xfId="7449"/>
    <cellStyle name="20% - Accent1 2 3 2 3 3" xfId="3527"/>
    <cellStyle name="20% - Accent1 2 3 2 3 3 2" xfId="4657"/>
    <cellStyle name="20% - Accent1 2 3 2 3 3 2 2" xfId="9121"/>
    <cellStyle name="20% - Accent1 2 3 2 3 3 3" xfId="8006"/>
    <cellStyle name="20% - Accent1 2 3 2 3 4" xfId="4100"/>
    <cellStyle name="20% - Accent1 2 3 2 3 4 2" xfId="8564"/>
    <cellStyle name="20% - Accent1 2 3 2 3 5" xfId="5770"/>
    <cellStyle name="20% - Accent1 2 3 2 3 5 2" xfId="10234"/>
    <cellStyle name="20% - Accent1 2 3 2 3 6" xfId="6336"/>
    <cellStyle name="20% - Accent1 2 3 2 3 6 2" xfId="10791"/>
    <cellStyle name="20% - Accent1 2 3 2 3 7" xfId="6893"/>
    <cellStyle name="20% - Accent1 2 3 2 4" xfId="1942"/>
    <cellStyle name="20% - Accent1 2 3 2 4 2" xfId="2945"/>
    <cellStyle name="20% - Accent1 2 3 2 4 2 2" xfId="5214"/>
    <cellStyle name="20% - Accent1 2 3 2 4 2 2 2" xfId="9678"/>
    <cellStyle name="20% - Accent1 2 3 2 4 2 3" xfId="7450"/>
    <cellStyle name="20% - Accent1 2 3 2 4 3" xfId="3528"/>
    <cellStyle name="20% - Accent1 2 3 2 4 3 2" xfId="4658"/>
    <cellStyle name="20% - Accent1 2 3 2 4 3 2 2" xfId="9122"/>
    <cellStyle name="20% - Accent1 2 3 2 4 3 3" xfId="8007"/>
    <cellStyle name="20% - Accent1 2 3 2 4 4" xfId="4101"/>
    <cellStyle name="20% - Accent1 2 3 2 4 4 2" xfId="8565"/>
    <cellStyle name="20% - Accent1 2 3 2 4 5" xfId="5771"/>
    <cellStyle name="20% - Accent1 2 3 2 4 5 2" xfId="10235"/>
    <cellStyle name="20% - Accent1 2 3 2 4 6" xfId="6337"/>
    <cellStyle name="20% - Accent1 2 3 2 4 6 2" xfId="10792"/>
    <cellStyle name="20% - Accent1 2 3 2 4 7" xfId="6894"/>
    <cellStyle name="20% - Accent1 2 3 2 5" xfId="2940"/>
    <cellStyle name="20% - Accent1 2 3 2 5 2" xfId="5209"/>
    <cellStyle name="20% - Accent1 2 3 2 5 2 2" xfId="9673"/>
    <cellStyle name="20% - Accent1 2 3 2 5 3" xfId="7445"/>
    <cellStyle name="20% - Accent1 2 3 2 6" xfId="3523"/>
    <cellStyle name="20% - Accent1 2 3 2 6 2" xfId="4653"/>
    <cellStyle name="20% - Accent1 2 3 2 6 2 2" xfId="9117"/>
    <cellStyle name="20% - Accent1 2 3 2 6 3" xfId="8002"/>
    <cellStyle name="20% - Accent1 2 3 2 7" xfId="4096"/>
    <cellStyle name="20% - Accent1 2 3 2 7 2" xfId="8560"/>
    <cellStyle name="20% - Accent1 2 3 2 8" xfId="5766"/>
    <cellStyle name="20% - Accent1 2 3 2 8 2" xfId="10230"/>
    <cellStyle name="20% - Accent1 2 3 2 9" xfId="6332"/>
    <cellStyle name="20% - Accent1 2 3 2 9 2" xfId="10787"/>
    <cellStyle name="20% - Accent1 2 3 3" xfId="1943"/>
    <cellStyle name="20% - Accent1 2 3 3 2" xfId="1944"/>
    <cellStyle name="20% - Accent1 2 3 3 2 2" xfId="2947"/>
    <cellStyle name="20% - Accent1 2 3 3 2 2 2" xfId="5216"/>
    <cellStyle name="20% - Accent1 2 3 3 2 2 2 2" xfId="9680"/>
    <cellStyle name="20% - Accent1 2 3 3 2 2 3" xfId="7452"/>
    <cellStyle name="20% - Accent1 2 3 3 2 3" xfId="3530"/>
    <cellStyle name="20% - Accent1 2 3 3 2 3 2" xfId="4660"/>
    <cellStyle name="20% - Accent1 2 3 3 2 3 2 2" xfId="9124"/>
    <cellStyle name="20% - Accent1 2 3 3 2 3 3" xfId="8009"/>
    <cellStyle name="20% - Accent1 2 3 3 2 4" xfId="4103"/>
    <cellStyle name="20% - Accent1 2 3 3 2 4 2" xfId="8567"/>
    <cellStyle name="20% - Accent1 2 3 3 2 5" xfId="5773"/>
    <cellStyle name="20% - Accent1 2 3 3 2 5 2" xfId="10237"/>
    <cellStyle name="20% - Accent1 2 3 3 2 6" xfId="6339"/>
    <cellStyle name="20% - Accent1 2 3 3 2 6 2" xfId="10794"/>
    <cellStyle name="20% - Accent1 2 3 3 2 7" xfId="6896"/>
    <cellStyle name="20% - Accent1 2 3 3 3" xfId="1945"/>
    <cellStyle name="20% - Accent1 2 3 3 3 2" xfId="2948"/>
    <cellStyle name="20% - Accent1 2 3 3 3 2 2" xfId="5217"/>
    <cellStyle name="20% - Accent1 2 3 3 3 2 2 2" xfId="9681"/>
    <cellStyle name="20% - Accent1 2 3 3 3 2 3" xfId="7453"/>
    <cellStyle name="20% - Accent1 2 3 3 3 3" xfId="3531"/>
    <cellStyle name="20% - Accent1 2 3 3 3 3 2" xfId="4661"/>
    <cellStyle name="20% - Accent1 2 3 3 3 3 2 2" xfId="9125"/>
    <cellStyle name="20% - Accent1 2 3 3 3 3 3" xfId="8010"/>
    <cellStyle name="20% - Accent1 2 3 3 3 4" xfId="4104"/>
    <cellStyle name="20% - Accent1 2 3 3 3 4 2" xfId="8568"/>
    <cellStyle name="20% - Accent1 2 3 3 3 5" xfId="5774"/>
    <cellStyle name="20% - Accent1 2 3 3 3 5 2" xfId="10238"/>
    <cellStyle name="20% - Accent1 2 3 3 3 6" xfId="6340"/>
    <cellStyle name="20% - Accent1 2 3 3 3 6 2" xfId="10795"/>
    <cellStyle name="20% - Accent1 2 3 3 3 7" xfId="6897"/>
    <cellStyle name="20% - Accent1 2 3 3 4" xfId="2946"/>
    <cellStyle name="20% - Accent1 2 3 3 4 2" xfId="5215"/>
    <cellStyle name="20% - Accent1 2 3 3 4 2 2" xfId="9679"/>
    <cellStyle name="20% - Accent1 2 3 3 4 3" xfId="7451"/>
    <cellStyle name="20% - Accent1 2 3 3 5" xfId="3529"/>
    <cellStyle name="20% - Accent1 2 3 3 5 2" xfId="4659"/>
    <cellStyle name="20% - Accent1 2 3 3 5 2 2" xfId="9123"/>
    <cellStyle name="20% - Accent1 2 3 3 5 3" xfId="8008"/>
    <cellStyle name="20% - Accent1 2 3 3 6" xfId="4102"/>
    <cellStyle name="20% - Accent1 2 3 3 6 2" xfId="8566"/>
    <cellStyle name="20% - Accent1 2 3 3 7" xfId="5772"/>
    <cellStyle name="20% - Accent1 2 3 3 7 2" xfId="10236"/>
    <cellStyle name="20% - Accent1 2 3 3 8" xfId="6338"/>
    <cellStyle name="20% - Accent1 2 3 3 8 2" xfId="10793"/>
    <cellStyle name="20% - Accent1 2 3 3 9" xfId="6895"/>
    <cellStyle name="20% - Accent1 2 3 4" xfId="1946"/>
    <cellStyle name="20% - Accent1 2 3 4 2" xfId="2949"/>
    <cellStyle name="20% - Accent1 2 3 4 2 2" xfId="5218"/>
    <cellStyle name="20% - Accent1 2 3 4 2 2 2" xfId="9682"/>
    <cellStyle name="20% - Accent1 2 3 4 2 3" xfId="7454"/>
    <cellStyle name="20% - Accent1 2 3 4 3" xfId="3532"/>
    <cellStyle name="20% - Accent1 2 3 4 3 2" xfId="4662"/>
    <cellStyle name="20% - Accent1 2 3 4 3 2 2" xfId="9126"/>
    <cellStyle name="20% - Accent1 2 3 4 3 3" xfId="8011"/>
    <cellStyle name="20% - Accent1 2 3 4 4" xfId="4105"/>
    <cellStyle name="20% - Accent1 2 3 4 4 2" xfId="8569"/>
    <cellStyle name="20% - Accent1 2 3 4 5" xfId="5775"/>
    <cellStyle name="20% - Accent1 2 3 4 5 2" xfId="10239"/>
    <cellStyle name="20% - Accent1 2 3 4 6" xfId="6341"/>
    <cellStyle name="20% - Accent1 2 3 4 6 2" xfId="10796"/>
    <cellStyle name="20% - Accent1 2 3 4 7" xfId="6898"/>
    <cellStyle name="20% - Accent1 2 3 5" xfId="1947"/>
    <cellStyle name="20% - Accent1 2 3 5 2" xfId="2950"/>
    <cellStyle name="20% - Accent1 2 3 5 2 2" xfId="5219"/>
    <cellStyle name="20% - Accent1 2 3 5 2 2 2" xfId="9683"/>
    <cellStyle name="20% - Accent1 2 3 5 2 3" xfId="7455"/>
    <cellStyle name="20% - Accent1 2 3 5 3" xfId="3533"/>
    <cellStyle name="20% - Accent1 2 3 5 3 2" xfId="4663"/>
    <cellStyle name="20% - Accent1 2 3 5 3 2 2" xfId="9127"/>
    <cellStyle name="20% - Accent1 2 3 5 3 3" xfId="8012"/>
    <cellStyle name="20% - Accent1 2 3 5 4" xfId="4106"/>
    <cellStyle name="20% - Accent1 2 3 5 4 2" xfId="8570"/>
    <cellStyle name="20% - Accent1 2 3 5 5" xfId="5776"/>
    <cellStyle name="20% - Accent1 2 3 5 5 2" xfId="10240"/>
    <cellStyle name="20% - Accent1 2 3 5 6" xfId="6342"/>
    <cellStyle name="20% - Accent1 2 3 5 6 2" xfId="10797"/>
    <cellStyle name="20% - Accent1 2 3 5 7" xfId="6899"/>
    <cellStyle name="20% - Accent1 2 3 6" xfId="11964"/>
    <cellStyle name="20% - Accent1 2 3 7" xfId="1269"/>
    <cellStyle name="20% - Accent1 2 4" xfId="1268"/>
    <cellStyle name="20% - Accent1 2 4 2" xfId="1948"/>
    <cellStyle name="20% - Accent1 2 4 2 2" xfId="1949"/>
    <cellStyle name="20% - Accent1 2 4 2 2 2" xfId="2952"/>
    <cellStyle name="20% - Accent1 2 4 2 2 2 2" xfId="5221"/>
    <cellStyle name="20% - Accent1 2 4 2 2 2 2 2" xfId="9685"/>
    <cellStyle name="20% - Accent1 2 4 2 2 2 3" xfId="7457"/>
    <cellStyle name="20% - Accent1 2 4 2 2 3" xfId="3535"/>
    <cellStyle name="20% - Accent1 2 4 2 2 3 2" xfId="4665"/>
    <cellStyle name="20% - Accent1 2 4 2 2 3 2 2" xfId="9129"/>
    <cellStyle name="20% - Accent1 2 4 2 2 3 3" xfId="8014"/>
    <cellStyle name="20% - Accent1 2 4 2 2 4" xfId="4108"/>
    <cellStyle name="20% - Accent1 2 4 2 2 4 2" xfId="8572"/>
    <cellStyle name="20% - Accent1 2 4 2 2 5" xfId="5778"/>
    <cellStyle name="20% - Accent1 2 4 2 2 5 2" xfId="10242"/>
    <cellStyle name="20% - Accent1 2 4 2 2 6" xfId="6344"/>
    <cellStyle name="20% - Accent1 2 4 2 2 6 2" xfId="10799"/>
    <cellStyle name="20% - Accent1 2 4 2 2 7" xfId="6901"/>
    <cellStyle name="20% - Accent1 2 4 2 3" xfId="1950"/>
    <cellStyle name="20% - Accent1 2 4 2 3 2" xfId="2953"/>
    <cellStyle name="20% - Accent1 2 4 2 3 2 2" xfId="5222"/>
    <cellStyle name="20% - Accent1 2 4 2 3 2 2 2" xfId="9686"/>
    <cellStyle name="20% - Accent1 2 4 2 3 2 3" xfId="7458"/>
    <cellStyle name="20% - Accent1 2 4 2 3 3" xfId="3536"/>
    <cellStyle name="20% - Accent1 2 4 2 3 3 2" xfId="4666"/>
    <cellStyle name="20% - Accent1 2 4 2 3 3 2 2" xfId="9130"/>
    <cellStyle name="20% - Accent1 2 4 2 3 3 3" xfId="8015"/>
    <cellStyle name="20% - Accent1 2 4 2 3 4" xfId="4109"/>
    <cellStyle name="20% - Accent1 2 4 2 3 4 2" xfId="8573"/>
    <cellStyle name="20% - Accent1 2 4 2 3 5" xfId="5779"/>
    <cellStyle name="20% - Accent1 2 4 2 3 5 2" xfId="10243"/>
    <cellStyle name="20% - Accent1 2 4 2 3 6" xfId="6345"/>
    <cellStyle name="20% - Accent1 2 4 2 3 6 2" xfId="10800"/>
    <cellStyle name="20% - Accent1 2 4 2 3 7" xfId="6902"/>
    <cellStyle name="20% - Accent1 2 4 2 4" xfId="2951"/>
    <cellStyle name="20% - Accent1 2 4 2 4 2" xfId="5220"/>
    <cellStyle name="20% - Accent1 2 4 2 4 2 2" xfId="9684"/>
    <cellStyle name="20% - Accent1 2 4 2 4 3" xfId="7456"/>
    <cellStyle name="20% - Accent1 2 4 2 5" xfId="3534"/>
    <cellStyle name="20% - Accent1 2 4 2 5 2" xfId="4664"/>
    <cellStyle name="20% - Accent1 2 4 2 5 2 2" xfId="9128"/>
    <cellStyle name="20% - Accent1 2 4 2 5 3" xfId="8013"/>
    <cellStyle name="20% - Accent1 2 4 2 6" xfId="4107"/>
    <cellStyle name="20% - Accent1 2 4 2 6 2" xfId="8571"/>
    <cellStyle name="20% - Accent1 2 4 2 7" xfId="5777"/>
    <cellStyle name="20% - Accent1 2 4 2 7 2" xfId="10241"/>
    <cellStyle name="20% - Accent1 2 4 2 8" xfId="6343"/>
    <cellStyle name="20% - Accent1 2 4 2 8 2" xfId="10798"/>
    <cellStyle name="20% - Accent1 2 4 2 9" xfId="6900"/>
    <cellStyle name="20% - Accent1 2 4 3" xfId="1951"/>
    <cellStyle name="20% - Accent1 2 4 3 2" xfId="1952"/>
    <cellStyle name="20% - Accent1 2 4 3 2 2" xfId="2955"/>
    <cellStyle name="20% - Accent1 2 4 3 2 2 2" xfId="5224"/>
    <cellStyle name="20% - Accent1 2 4 3 2 2 2 2" xfId="9688"/>
    <cellStyle name="20% - Accent1 2 4 3 2 2 3" xfId="7460"/>
    <cellStyle name="20% - Accent1 2 4 3 2 3" xfId="3538"/>
    <cellStyle name="20% - Accent1 2 4 3 2 3 2" xfId="4668"/>
    <cellStyle name="20% - Accent1 2 4 3 2 3 2 2" xfId="9132"/>
    <cellStyle name="20% - Accent1 2 4 3 2 3 3" xfId="8017"/>
    <cellStyle name="20% - Accent1 2 4 3 2 4" xfId="4111"/>
    <cellStyle name="20% - Accent1 2 4 3 2 4 2" xfId="8575"/>
    <cellStyle name="20% - Accent1 2 4 3 2 5" xfId="5781"/>
    <cellStyle name="20% - Accent1 2 4 3 2 5 2" xfId="10245"/>
    <cellStyle name="20% - Accent1 2 4 3 2 6" xfId="6347"/>
    <cellStyle name="20% - Accent1 2 4 3 2 6 2" xfId="10802"/>
    <cellStyle name="20% - Accent1 2 4 3 2 7" xfId="6904"/>
    <cellStyle name="20% - Accent1 2 4 3 3" xfId="1953"/>
    <cellStyle name="20% - Accent1 2 4 3 3 2" xfId="2956"/>
    <cellStyle name="20% - Accent1 2 4 3 3 2 2" xfId="5225"/>
    <cellStyle name="20% - Accent1 2 4 3 3 2 2 2" xfId="9689"/>
    <cellStyle name="20% - Accent1 2 4 3 3 2 3" xfId="7461"/>
    <cellStyle name="20% - Accent1 2 4 3 3 3" xfId="3539"/>
    <cellStyle name="20% - Accent1 2 4 3 3 3 2" xfId="4669"/>
    <cellStyle name="20% - Accent1 2 4 3 3 3 2 2" xfId="9133"/>
    <cellStyle name="20% - Accent1 2 4 3 3 3 3" xfId="8018"/>
    <cellStyle name="20% - Accent1 2 4 3 3 4" xfId="4112"/>
    <cellStyle name="20% - Accent1 2 4 3 3 4 2" xfId="8576"/>
    <cellStyle name="20% - Accent1 2 4 3 3 5" xfId="5782"/>
    <cellStyle name="20% - Accent1 2 4 3 3 5 2" xfId="10246"/>
    <cellStyle name="20% - Accent1 2 4 3 3 6" xfId="6348"/>
    <cellStyle name="20% - Accent1 2 4 3 3 6 2" xfId="10803"/>
    <cellStyle name="20% - Accent1 2 4 3 3 7" xfId="6905"/>
    <cellStyle name="20% - Accent1 2 4 3 4" xfId="2954"/>
    <cellStyle name="20% - Accent1 2 4 3 4 2" xfId="5223"/>
    <cellStyle name="20% - Accent1 2 4 3 4 2 2" xfId="9687"/>
    <cellStyle name="20% - Accent1 2 4 3 4 3" xfId="7459"/>
    <cellStyle name="20% - Accent1 2 4 3 5" xfId="3537"/>
    <cellStyle name="20% - Accent1 2 4 3 5 2" xfId="4667"/>
    <cellStyle name="20% - Accent1 2 4 3 5 2 2" xfId="9131"/>
    <cellStyle name="20% - Accent1 2 4 3 5 3" xfId="8016"/>
    <cellStyle name="20% - Accent1 2 4 3 6" xfId="4110"/>
    <cellStyle name="20% - Accent1 2 4 3 6 2" xfId="8574"/>
    <cellStyle name="20% - Accent1 2 4 3 7" xfId="5780"/>
    <cellStyle name="20% - Accent1 2 4 3 7 2" xfId="10244"/>
    <cellStyle name="20% - Accent1 2 4 3 8" xfId="6346"/>
    <cellStyle name="20% - Accent1 2 4 3 8 2" xfId="10801"/>
    <cellStyle name="20% - Accent1 2 4 3 9" xfId="6903"/>
    <cellStyle name="20% - Accent1 2 4 4" xfId="1954"/>
    <cellStyle name="20% - Accent1 2 4 4 2" xfId="2957"/>
    <cellStyle name="20% - Accent1 2 4 4 2 2" xfId="5226"/>
    <cellStyle name="20% - Accent1 2 4 4 2 2 2" xfId="9690"/>
    <cellStyle name="20% - Accent1 2 4 4 2 3" xfId="7462"/>
    <cellStyle name="20% - Accent1 2 4 4 3" xfId="3540"/>
    <cellStyle name="20% - Accent1 2 4 4 3 2" xfId="4670"/>
    <cellStyle name="20% - Accent1 2 4 4 3 2 2" xfId="9134"/>
    <cellStyle name="20% - Accent1 2 4 4 3 3" xfId="8019"/>
    <cellStyle name="20% - Accent1 2 4 4 4" xfId="4113"/>
    <cellStyle name="20% - Accent1 2 4 4 4 2" xfId="8577"/>
    <cellStyle name="20% - Accent1 2 4 4 5" xfId="5783"/>
    <cellStyle name="20% - Accent1 2 4 4 5 2" xfId="10247"/>
    <cellStyle name="20% - Accent1 2 4 4 6" xfId="6349"/>
    <cellStyle name="20% - Accent1 2 4 4 6 2" xfId="10804"/>
    <cellStyle name="20% - Accent1 2 4 4 7" xfId="6906"/>
    <cellStyle name="20% - Accent1 2 4 5" xfId="1955"/>
    <cellStyle name="20% - Accent1 2 4 5 2" xfId="2958"/>
    <cellStyle name="20% - Accent1 2 4 5 2 2" xfId="5227"/>
    <cellStyle name="20% - Accent1 2 4 5 2 2 2" xfId="9691"/>
    <cellStyle name="20% - Accent1 2 4 5 2 3" xfId="7463"/>
    <cellStyle name="20% - Accent1 2 4 5 3" xfId="3541"/>
    <cellStyle name="20% - Accent1 2 4 5 3 2" xfId="4671"/>
    <cellStyle name="20% - Accent1 2 4 5 3 2 2" xfId="9135"/>
    <cellStyle name="20% - Accent1 2 4 5 3 3" xfId="8020"/>
    <cellStyle name="20% - Accent1 2 4 5 4" xfId="4114"/>
    <cellStyle name="20% - Accent1 2 4 5 4 2" xfId="8578"/>
    <cellStyle name="20% - Accent1 2 4 5 5" xfId="5784"/>
    <cellStyle name="20% - Accent1 2 4 5 5 2" xfId="10248"/>
    <cellStyle name="20% - Accent1 2 4 5 6" xfId="6350"/>
    <cellStyle name="20% - Accent1 2 4 5 6 2" xfId="10805"/>
    <cellStyle name="20% - Accent1 2 4 5 7" xfId="6907"/>
    <cellStyle name="20% - Accent1 2 5" xfId="1267"/>
    <cellStyle name="20% - Accent1 2 5 2" xfId="1956"/>
    <cellStyle name="20% - Accent1 2 5 2 2" xfId="1957"/>
    <cellStyle name="20% - Accent1 2 5 2 2 2" xfId="2960"/>
    <cellStyle name="20% - Accent1 2 5 2 2 2 2" xfId="5229"/>
    <cellStyle name="20% - Accent1 2 5 2 2 2 2 2" xfId="9693"/>
    <cellStyle name="20% - Accent1 2 5 2 2 2 3" xfId="7465"/>
    <cellStyle name="20% - Accent1 2 5 2 2 3" xfId="3543"/>
    <cellStyle name="20% - Accent1 2 5 2 2 3 2" xfId="4673"/>
    <cellStyle name="20% - Accent1 2 5 2 2 3 2 2" xfId="9137"/>
    <cellStyle name="20% - Accent1 2 5 2 2 3 3" xfId="8022"/>
    <cellStyle name="20% - Accent1 2 5 2 2 4" xfId="4116"/>
    <cellStyle name="20% - Accent1 2 5 2 2 4 2" xfId="8580"/>
    <cellStyle name="20% - Accent1 2 5 2 2 5" xfId="5786"/>
    <cellStyle name="20% - Accent1 2 5 2 2 5 2" xfId="10250"/>
    <cellStyle name="20% - Accent1 2 5 2 2 6" xfId="6352"/>
    <cellStyle name="20% - Accent1 2 5 2 2 6 2" xfId="10807"/>
    <cellStyle name="20% - Accent1 2 5 2 2 7" xfId="6909"/>
    <cellStyle name="20% - Accent1 2 5 2 3" xfId="1958"/>
    <cellStyle name="20% - Accent1 2 5 2 3 2" xfId="2961"/>
    <cellStyle name="20% - Accent1 2 5 2 3 2 2" xfId="5230"/>
    <cellStyle name="20% - Accent1 2 5 2 3 2 2 2" xfId="9694"/>
    <cellStyle name="20% - Accent1 2 5 2 3 2 3" xfId="7466"/>
    <cellStyle name="20% - Accent1 2 5 2 3 3" xfId="3544"/>
    <cellStyle name="20% - Accent1 2 5 2 3 3 2" xfId="4674"/>
    <cellStyle name="20% - Accent1 2 5 2 3 3 2 2" xfId="9138"/>
    <cellStyle name="20% - Accent1 2 5 2 3 3 3" xfId="8023"/>
    <cellStyle name="20% - Accent1 2 5 2 3 4" xfId="4117"/>
    <cellStyle name="20% - Accent1 2 5 2 3 4 2" xfId="8581"/>
    <cellStyle name="20% - Accent1 2 5 2 3 5" xfId="5787"/>
    <cellStyle name="20% - Accent1 2 5 2 3 5 2" xfId="10251"/>
    <cellStyle name="20% - Accent1 2 5 2 3 6" xfId="6353"/>
    <cellStyle name="20% - Accent1 2 5 2 3 6 2" xfId="10808"/>
    <cellStyle name="20% - Accent1 2 5 2 3 7" xfId="6910"/>
    <cellStyle name="20% - Accent1 2 5 2 4" xfId="2959"/>
    <cellStyle name="20% - Accent1 2 5 2 4 2" xfId="5228"/>
    <cellStyle name="20% - Accent1 2 5 2 4 2 2" xfId="9692"/>
    <cellStyle name="20% - Accent1 2 5 2 4 3" xfId="7464"/>
    <cellStyle name="20% - Accent1 2 5 2 5" xfId="3542"/>
    <cellStyle name="20% - Accent1 2 5 2 5 2" xfId="4672"/>
    <cellStyle name="20% - Accent1 2 5 2 5 2 2" xfId="9136"/>
    <cellStyle name="20% - Accent1 2 5 2 5 3" xfId="8021"/>
    <cellStyle name="20% - Accent1 2 5 2 6" xfId="4115"/>
    <cellStyle name="20% - Accent1 2 5 2 6 2" xfId="8579"/>
    <cellStyle name="20% - Accent1 2 5 2 7" xfId="5785"/>
    <cellStyle name="20% - Accent1 2 5 2 7 2" xfId="10249"/>
    <cellStyle name="20% - Accent1 2 5 2 8" xfId="6351"/>
    <cellStyle name="20% - Accent1 2 5 2 8 2" xfId="10806"/>
    <cellStyle name="20% - Accent1 2 5 2 9" xfId="6908"/>
    <cellStyle name="20% - Accent1 2 5 3" xfId="1959"/>
    <cellStyle name="20% - Accent1 2 5 3 2" xfId="2962"/>
    <cellStyle name="20% - Accent1 2 5 3 2 2" xfId="5231"/>
    <cellStyle name="20% - Accent1 2 5 3 2 2 2" xfId="9695"/>
    <cellStyle name="20% - Accent1 2 5 3 2 3" xfId="7467"/>
    <cellStyle name="20% - Accent1 2 5 3 3" xfId="3545"/>
    <cellStyle name="20% - Accent1 2 5 3 3 2" xfId="4675"/>
    <cellStyle name="20% - Accent1 2 5 3 3 2 2" xfId="9139"/>
    <cellStyle name="20% - Accent1 2 5 3 3 3" xfId="8024"/>
    <cellStyle name="20% - Accent1 2 5 3 4" xfId="4118"/>
    <cellStyle name="20% - Accent1 2 5 3 4 2" xfId="8582"/>
    <cellStyle name="20% - Accent1 2 5 3 5" xfId="5788"/>
    <cellStyle name="20% - Accent1 2 5 3 5 2" xfId="10252"/>
    <cellStyle name="20% - Accent1 2 5 3 6" xfId="6354"/>
    <cellStyle name="20% - Accent1 2 5 3 6 2" xfId="10809"/>
    <cellStyle name="20% - Accent1 2 5 3 7" xfId="6911"/>
    <cellStyle name="20% - Accent1 2 5 4" xfId="1960"/>
    <cellStyle name="20% - Accent1 2 5 4 2" xfId="2963"/>
    <cellStyle name="20% - Accent1 2 5 4 2 2" xfId="5232"/>
    <cellStyle name="20% - Accent1 2 5 4 2 2 2" xfId="9696"/>
    <cellStyle name="20% - Accent1 2 5 4 2 3" xfId="7468"/>
    <cellStyle name="20% - Accent1 2 5 4 3" xfId="3546"/>
    <cellStyle name="20% - Accent1 2 5 4 3 2" xfId="4676"/>
    <cellStyle name="20% - Accent1 2 5 4 3 2 2" xfId="9140"/>
    <cellStyle name="20% - Accent1 2 5 4 3 3" xfId="8025"/>
    <cellStyle name="20% - Accent1 2 5 4 4" xfId="4119"/>
    <cellStyle name="20% - Accent1 2 5 4 4 2" xfId="8583"/>
    <cellStyle name="20% - Accent1 2 5 4 5" xfId="5789"/>
    <cellStyle name="20% - Accent1 2 5 4 5 2" xfId="10253"/>
    <cellStyle name="20% - Accent1 2 5 4 6" xfId="6355"/>
    <cellStyle name="20% - Accent1 2 5 4 6 2" xfId="10810"/>
    <cellStyle name="20% - Accent1 2 5 4 7" xfId="6912"/>
    <cellStyle name="20% - Accent1 2 6" xfId="1266"/>
    <cellStyle name="20% - Accent1 2 6 2" xfId="1961"/>
    <cellStyle name="20% - Accent1 2 6 2 2" xfId="2964"/>
    <cellStyle name="20% - Accent1 2 6 2 2 2" xfId="5233"/>
    <cellStyle name="20% - Accent1 2 6 2 2 2 2" xfId="9697"/>
    <cellStyle name="20% - Accent1 2 6 2 2 3" xfId="7469"/>
    <cellStyle name="20% - Accent1 2 6 2 3" xfId="3547"/>
    <cellStyle name="20% - Accent1 2 6 2 3 2" xfId="4677"/>
    <cellStyle name="20% - Accent1 2 6 2 3 2 2" xfId="9141"/>
    <cellStyle name="20% - Accent1 2 6 2 3 3" xfId="8026"/>
    <cellStyle name="20% - Accent1 2 6 2 4" xfId="4120"/>
    <cellStyle name="20% - Accent1 2 6 2 4 2" xfId="8584"/>
    <cellStyle name="20% - Accent1 2 6 2 5" xfId="5790"/>
    <cellStyle name="20% - Accent1 2 6 2 5 2" xfId="10254"/>
    <cellStyle name="20% - Accent1 2 6 2 6" xfId="6356"/>
    <cellStyle name="20% - Accent1 2 6 2 6 2" xfId="10811"/>
    <cellStyle name="20% - Accent1 2 6 2 7" xfId="6913"/>
    <cellStyle name="20% - Accent1 2 6 3" xfId="1962"/>
    <cellStyle name="20% - Accent1 2 6 3 2" xfId="2965"/>
    <cellStyle name="20% - Accent1 2 6 3 2 2" xfId="5234"/>
    <cellStyle name="20% - Accent1 2 6 3 2 2 2" xfId="9698"/>
    <cellStyle name="20% - Accent1 2 6 3 2 3" xfId="7470"/>
    <cellStyle name="20% - Accent1 2 6 3 3" xfId="3548"/>
    <cellStyle name="20% - Accent1 2 6 3 3 2" xfId="4678"/>
    <cellStyle name="20% - Accent1 2 6 3 3 2 2" xfId="9142"/>
    <cellStyle name="20% - Accent1 2 6 3 3 3" xfId="8027"/>
    <cellStyle name="20% - Accent1 2 6 3 4" xfId="4121"/>
    <cellStyle name="20% - Accent1 2 6 3 4 2" xfId="8585"/>
    <cellStyle name="20% - Accent1 2 6 3 5" xfId="5791"/>
    <cellStyle name="20% - Accent1 2 6 3 5 2" xfId="10255"/>
    <cellStyle name="20% - Accent1 2 6 3 6" xfId="6357"/>
    <cellStyle name="20% - Accent1 2 6 3 6 2" xfId="10812"/>
    <cellStyle name="20% - Accent1 2 6 3 7" xfId="6914"/>
    <cellStyle name="20% - Accent1 2 7" xfId="1721"/>
    <cellStyle name="20% - Accent1 2 7 2" xfId="2893"/>
    <cellStyle name="20% - Accent1 2 7 2 2" xfId="5162"/>
    <cellStyle name="20% - Accent1 2 7 2 2 2" xfId="9626"/>
    <cellStyle name="20% - Accent1 2 7 2 3" xfId="7398"/>
    <cellStyle name="20% - Accent1 2 7 3" xfId="3476"/>
    <cellStyle name="20% - Accent1 2 7 3 2" xfId="4606"/>
    <cellStyle name="20% - Accent1 2 7 3 2 2" xfId="9070"/>
    <cellStyle name="20% - Accent1 2 7 3 3" xfId="7955"/>
    <cellStyle name="20% - Accent1 2 7 4" xfId="4049"/>
    <cellStyle name="20% - Accent1 2 7 4 2" xfId="8513"/>
    <cellStyle name="20% - Accent1 2 7 5" xfId="5719"/>
    <cellStyle name="20% - Accent1 2 7 5 2" xfId="10183"/>
    <cellStyle name="20% - Accent1 2 7 6" xfId="6285"/>
    <cellStyle name="20% - Accent1 2 7 6 2" xfId="10740"/>
    <cellStyle name="20% - Accent1 2 7 7" xfId="6842"/>
    <cellStyle name="20% - Accent1 2 8" xfId="1824"/>
    <cellStyle name="20% - Accent1 2 8 2" xfId="2907"/>
    <cellStyle name="20% - Accent1 2 8 2 2" xfId="5176"/>
    <cellStyle name="20% - Accent1 2 8 2 2 2" xfId="9640"/>
    <cellStyle name="20% - Accent1 2 8 2 3" xfId="7412"/>
    <cellStyle name="20% - Accent1 2 8 3" xfId="3490"/>
    <cellStyle name="20% - Accent1 2 8 3 2" xfId="4620"/>
    <cellStyle name="20% - Accent1 2 8 3 2 2" xfId="9084"/>
    <cellStyle name="20% - Accent1 2 8 3 3" xfId="7969"/>
    <cellStyle name="20% - Accent1 2 8 4" xfId="4063"/>
    <cellStyle name="20% - Accent1 2 8 4 2" xfId="8527"/>
    <cellStyle name="20% - Accent1 2 8 5" xfId="5733"/>
    <cellStyle name="20% - Accent1 2 8 5 2" xfId="10197"/>
    <cellStyle name="20% - Accent1 2 8 6" xfId="6299"/>
    <cellStyle name="20% - Accent1 2 8 6 2" xfId="10754"/>
    <cellStyle name="20% - Accent1 2 8 7" xfId="6856"/>
    <cellStyle name="20% - Accent1 2 9" xfId="1963"/>
    <cellStyle name="20% - Accent1 20" xfId="1079"/>
    <cellStyle name="20% - Accent1 20 2" xfId="11950"/>
    <cellStyle name="20% - Accent1 21" xfId="11833"/>
    <cellStyle name="20% - Accent1 3" xfId="8"/>
    <cellStyle name="20% - Accent1 3 2" xfId="1964"/>
    <cellStyle name="20% - Accent1 3 3" xfId="2604"/>
    <cellStyle name="20% - Accent1 3 4" xfId="11371"/>
    <cellStyle name="20% - Accent1 3 5" xfId="1265"/>
    <cellStyle name="20% - Accent1 4" xfId="9"/>
    <cellStyle name="20% - Accent1 4 2" xfId="2770"/>
    <cellStyle name="20% - Accent1 4 3" xfId="11372"/>
    <cellStyle name="20% - Accent1 4 4" xfId="1264"/>
    <cellStyle name="20% - Accent1 5" xfId="10"/>
    <cellStyle name="20% - Accent1 5 2" xfId="11373"/>
    <cellStyle name="20% - Accent1 5 3" xfId="1662"/>
    <cellStyle name="20% - Accent1 6" xfId="11"/>
    <cellStyle name="20% - Accent1 6 2" xfId="11374"/>
    <cellStyle name="20% - Accent1 6 3" xfId="1823"/>
    <cellStyle name="20% - Accent1 7" xfId="12"/>
    <cellStyle name="20% - Accent1 8" xfId="13"/>
    <cellStyle name="20% - Accent1 9" xfId="14"/>
    <cellStyle name="20% - Accent2" xfId="945" builtinId="34" customBuiltin="1"/>
    <cellStyle name="20% - Accent2 10" xfId="15"/>
    <cellStyle name="20% - Accent2 11" xfId="16"/>
    <cellStyle name="20% - Accent2 12" xfId="17"/>
    <cellStyle name="20% - Accent2 13" xfId="18"/>
    <cellStyle name="20% - Accent2 14" xfId="19"/>
    <cellStyle name="20% - Accent2 15" xfId="20"/>
    <cellStyle name="20% - Accent2 16" xfId="671"/>
    <cellStyle name="20% - Accent2 17" xfId="991"/>
    <cellStyle name="20% - Accent2 17 2" xfId="11862"/>
    <cellStyle name="20% - Accent2 18" xfId="1018"/>
    <cellStyle name="20% - Accent2 18 2" xfId="11889"/>
    <cellStyle name="20% - Accent2 19" xfId="1066"/>
    <cellStyle name="20% - Accent2 19 2" xfId="11937"/>
    <cellStyle name="20% - Accent2 2" xfId="21"/>
    <cellStyle name="20% - Accent2 2 10" xfId="1965"/>
    <cellStyle name="20% - Accent2 2 10 2" xfId="2966"/>
    <cellStyle name="20% - Accent2 2 10 2 2" xfId="5235"/>
    <cellStyle name="20% - Accent2 2 10 2 2 2" xfId="9699"/>
    <cellStyle name="20% - Accent2 2 10 2 3" xfId="7471"/>
    <cellStyle name="20% - Accent2 2 10 3" xfId="3549"/>
    <cellStyle name="20% - Accent2 2 10 3 2" xfId="4679"/>
    <cellStyle name="20% - Accent2 2 10 3 2 2" xfId="9143"/>
    <cellStyle name="20% - Accent2 2 10 3 3" xfId="8028"/>
    <cellStyle name="20% - Accent2 2 10 4" xfId="4122"/>
    <cellStyle name="20% - Accent2 2 10 4 2" xfId="8586"/>
    <cellStyle name="20% - Accent2 2 10 5" xfId="5792"/>
    <cellStyle name="20% - Accent2 2 10 5 2" xfId="10256"/>
    <cellStyle name="20% - Accent2 2 10 6" xfId="6358"/>
    <cellStyle name="20% - Accent2 2 10 6 2" xfId="10813"/>
    <cellStyle name="20% - Accent2 2 10 7" xfId="6915"/>
    <cellStyle name="20% - Accent2 2 11" xfId="11306"/>
    <cellStyle name="20% - Accent2 2 12" xfId="11335"/>
    <cellStyle name="20% - Accent2 2 13" xfId="1263"/>
    <cellStyle name="20% - Accent2 2 14" xfId="1131"/>
    <cellStyle name="20% - Accent2 2 2" xfId="721"/>
    <cellStyle name="20% - Accent2 2 2 2" xfId="1745"/>
    <cellStyle name="20% - Accent2 2 2 3" xfId="1262"/>
    <cellStyle name="20% - Accent2 2 2 4" xfId="11678"/>
    <cellStyle name="20% - Accent2 2 2 5" xfId="1161"/>
    <cellStyle name="20% - Accent2 2 3" xfId="1101"/>
    <cellStyle name="20% - Accent2 2 3 2" xfId="1966"/>
    <cellStyle name="20% - Accent2 2 3 2 10" xfId="6916"/>
    <cellStyle name="20% - Accent2 2 3 2 2" xfId="1967"/>
    <cellStyle name="20% - Accent2 2 3 2 2 2" xfId="1968"/>
    <cellStyle name="20% - Accent2 2 3 2 2 2 2" xfId="2969"/>
    <cellStyle name="20% - Accent2 2 3 2 2 2 2 2" xfId="5238"/>
    <cellStyle name="20% - Accent2 2 3 2 2 2 2 2 2" xfId="9702"/>
    <cellStyle name="20% - Accent2 2 3 2 2 2 2 3" xfId="7474"/>
    <cellStyle name="20% - Accent2 2 3 2 2 2 3" xfId="3552"/>
    <cellStyle name="20% - Accent2 2 3 2 2 2 3 2" xfId="4682"/>
    <cellStyle name="20% - Accent2 2 3 2 2 2 3 2 2" xfId="9146"/>
    <cellStyle name="20% - Accent2 2 3 2 2 2 3 3" xfId="8031"/>
    <cellStyle name="20% - Accent2 2 3 2 2 2 4" xfId="4125"/>
    <cellStyle name="20% - Accent2 2 3 2 2 2 4 2" xfId="8589"/>
    <cellStyle name="20% - Accent2 2 3 2 2 2 5" xfId="5795"/>
    <cellStyle name="20% - Accent2 2 3 2 2 2 5 2" xfId="10259"/>
    <cellStyle name="20% - Accent2 2 3 2 2 2 6" xfId="6361"/>
    <cellStyle name="20% - Accent2 2 3 2 2 2 6 2" xfId="10816"/>
    <cellStyle name="20% - Accent2 2 3 2 2 2 7" xfId="6918"/>
    <cellStyle name="20% - Accent2 2 3 2 2 3" xfId="1969"/>
    <cellStyle name="20% - Accent2 2 3 2 2 3 2" xfId="2970"/>
    <cellStyle name="20% - Accent2 2 3 2 2 3 2 2" xfId="5239"/>
    <cellStyle name="20% - Accent2 2 3 2 2 3 2 2 2" xfId="9703"/>
    <cellStyle name="20% - Accent2 2 3 2 2 3 2 3" xfId="7475"/>
    <cellStyle name="20% - Accent2 2 3 2 2 3 3" xfId="3553"/>
    <cellStyle name="20% - Accent2 2 3 2 2 3 3 2" xfId="4683"/>
    <cellStyle name="20% - Accent2 2 3 2 2 3 3 2 2" xfId="9147"/>
    <cellStyle name="20% - Accent2 2 3 2 2 3 3 3" xfId="8032"/>
    <cellStyle name="20% - Accent2 2 3 2 2 3 4" xfId="4126"/>
    <cellStyle name="20% - Accent2 2 3 2 2 3 4 2" xfId="8590"/>
    <cellStyle name="20% - Accent2 2 3 2 2 3 5" xfId="5796"/>
    <cellStyle name="20% - Accent2 2 3 2 2 3 5 2" xfId="10260"/>
    <cellStyle name="20% - Accent2 2 3 2 2 3 6" xfId="6362"/>
    <cellStyle name="20% - Accent2 2 3 2 2 3 6 2" xfId="10817"/>
    <cellStyle name="20% - Accent2 2 3 2 2 3 7" xfId="6919"/>
    <cellStyle name="20% - Accent2 2 3 2 2 4" xfId="2968"/>
    <cellStyle name="20% - Accent2 2 3 2 2 4 2" xfId="5237"/>
    <cellStyle name="20% - Accent2 2 3 2 2 4 2 2" xfId="9701"/>
    <cellStyle name="20% - Accent2 2 3 2 2 4 3" xfId="7473"/>
    <cellStyle name="20% - Accent2 2 3 2 2 5" xfId="3551"/>
    <cellStyle name="20% - Accent2 2 3 2 2 5 2" xfId="4681"/>
    <cellStyle name="20% - Accent2 2 3 2 2 5 2 2" xfId="9145"/>
    <cellStyle name="20% - Accent2 2 3 2 2 5 3" xfId="8030"/>
    <cellStyle name="20% - Accent2 2 3 2 2 6" xfId="4124"/>
    <cellStyle name="20% - Accent2 2 3 2 2 6 2" xfId="8588"/>
    <cellStyle name="20% - Accent2 2 3 2 2 7" xfId="5794"/>
    <cellStyle name="20% - Accent2 2 3 2 2 7 2" xfId="10258"/>
    <cellStyle name="20% - Accent2 2 3 2 2 8" xfId="6360"/>
    <cellStyle name="20% - Accent2 2 3 2 2 8 2" xfId="10815"/>
    <cellStyle name="20% - Accent2 2 3 2 2 9" xfId="6917"/>
    <cellStyle name="20% - Accent2 2 3 2 3" xfId="1970"/>
    <cellStyle name="20% - Accent2 2 3 2 3 2" xfId="2971"/>
    <cellStyle name="20% - Accent2 2 3 2 3 2 2" xfId="5240"/>
    <cellStyle name="20% - Accent2 2 3 2 3 2 2 2" xfId="9704"/>
    <cellStyle name="20% - Accent2 2 3 2 3 2 3" xfId="7476"/>
    <cellStyle name="20% - Accent2 2 3 2 3 3" xfId="3554"/>
    <cellStyle name="20% - Accent2 2 3 2 3 3 2" xfId="4684"/>
    <cellStyle name="20% - Accent2 2 3 2 3 3 2 2" xfId="9148"/>
    <cellStyle name="20% - Accent2 2 3 2 3 3 3" xfId="8033"/>
    <cellStyle name="20% - Accent2 2 3 2 3 4" xfId="4127"/>
    <cellStyle name="20% - Accent2 2 3 2 3 4 2" xfId="8591"/>
    <cellStyle name="20% - Accent2 2 3 2 3 5" xfId="5797"/>
    <cellStyle name="20% - Accent2 2 3 2 3 5 2" xfId="10261"/>
    <cellStyle name="20% - Accent2 2 3 2 3 6" xfId="6363"/>
    <cellStyle name="20% - Accent2 2 3 2 3 6 2" xfId="10818"/>
    <cellStyle name="20% - Accent2 2 3 2 3 7" xfId="6920"/>
    <cellStyle name="20% - Accent2 2 3 2 4" xfId="1971"/>
    <cellStyle name="20% - Accent2 2 3 2 4 2" xfId="2972"/>
    <cellStyle name="20% - Accent2 2 3 2 4 2 2" xfId="5241"/>
    <cellStyle name="20% - Accent2 2 3 2 4 2 2 2" xfId="9705"/>
    <cellStyle name="20% - Accent2 2 3 2 4 2 3" xfId="7477"/>
    <cellStyle name="20% - Accent2 2 3 2 4 3" xfId="3555"/>
    <cellStyle name="20% - Accent2 2 3 2 4 3 2" xfId="4685"/>
    <cellStyle name="20% - Accent2 2 3 2 4 3 2 2" xfId="9149"/>
    <cellStyle name="20% - Accent2 2 3 2 4 3 3" xfId="8034"/>
    <cellStyle name="20% - Accent2 2 3 2 4 4" xfId="4128"/>
    <cellStyle name="20% - Accent2 2 3 2 4 4 2" xfId="8592"/>
    <cellStyle name="20% - Accent2 2 3 2 4 5" xfId="5798"/>
    <cellStyle name="20% - Accent2 2 3 2 4 5 2" xfId="10262"/>
    <cellStyle name="20% - Accent2 2 3 2 4 6" xfId="6364"/>
    <cellStyle name="20% - Accent2 2 3 2 4 6 2" xfId="10819"/>
    <cellStyle name="20% - Accent2 2 3 2 4 7" xfId="6921"/>
    <cellStyle name="20% - Accent2 2 3 2 5" xfId="2967"/>
    <cellStyle name="20% - Accent2 2 3 2 5 2" xfId="5236"/>
    <cellStyle name="20% - Accent2 2 3 2 5 2 2" xfId="9700"/>
    <cellStyle name="20% - Accent2 2 3 2 5 3" xfId="7472"/>
    <cellStyle name="20% - Accent2 2 3 2 6" xfId="3550"/>
    <cellStyle name="20% - Accent2 2 3 2 6 2" xfId="4680"/>
    <cellStyle name="20% - Accent2 2 3 2 6 2 2" xfId="9144"/>
    <cellStyle name="20% - Accent2 2 3 2 6 3" xfId="8029"/>
    <cellStyle name="20% - Accent2 2 3 2 7" xfId="4123"/>
    <cellStyle name="20% - Accent2 2 3 2 7 2" xfId="8587"/>
    <cellStyle name="20% - Accent2 2 3 2 8" xfId="5793"/>
    <cellStyle name="20% - Accent2 2 3 2 8 2" xfId="10257"/>
    <cellStyle name="20% - Accent2 2 3 2 9" xfId="6359"/>
    <cellStyle name="20% - Accent2 2 3 2 9 2" xfId="10814"/>
    <cellStyle name="20% - Accent2 2 3 3" xfId="1972"/>
    <cellStyle name="20% - Accent2 2 3 3 2" xfId="1973"/>
    <cellStyle name="20% - Accent2 2 3 3 2 2" xfId="2974"/>
    <cellStyle name="20% - Accent2 2 3 3 2 2 2" xfId="5243"/>
    <cellStyle name="20% - Accent2 2 3 3 2 2 2 2" xfId="9707"/>
    <cellStyle name="20% - Accent2 2 3 3 2 2 3" xfId="7479"/>
    <cellStyle name="20% - Accent2 2 3 3 2 3" xfId="3557"/>
    <cellStyle name="20% - Accent2 2 3 3 2 3 2" xfId="4687"/>
    <cellStyle name="20% - Accent2 2 3 3 2 3 2 2" xfId="9151"/>
    <cellStyle name="20% - Accent2 2 3 3 2 3 3" xfId="8036"/>
    <cellStyle name="20% - Accent2 2 3 3 2 4" xfId="4130"/>
    <cellStyle name="20% - Accent2 2 3 3 2 4 2" xfId="8594"/>
    <cellStyle name="20% - Accent2 2 3 3 2 5" xfId="5800"/>
    <cellStyle name="20% - Accent2 2 3 3 2 5 2" xfId="10264"/>
    <cellStyle name="20% - Accent2 2 3 3 2 6" xfId="6366"/>
    <cellStyle name="20% - Accent2 2 3 3 2 6 2" xfId="10821"/>
    <cellStyle name="20% - Accent2 2 3 3 2 7" xfId="6923"/>
    <cellStyle name="20% - Accent2 2 3 3 3" xfId="1974"/>
    <cellStyle name="20% - Accent2 2 3 3 3 2" xfId="2975"/>
    <cellStyle name="20% - Accent2 2 3 3 3 2 2" xfId="5244"/>
    <cellStyle name="20% - Accent2 2 3 3 3 2 2 2" xfId="9708"/>
    <cellStyle name="20% - Accent2 2 3 3 3 2 3" xfId="7480"/>
    <cellStyle name="20% - Accent2 2 3 3 3 3" xfId="3558"/>
    <cellStyle name="20% - Accent2 2 3 3 3 3 2" xfId="4688"/>
    <cellStyle name="20% - Accent2 2 3 3 3 3 2 2" xfId="9152"/>
    <cellStyle name="20% - Accent2 2 3 3 3 3 3" xfId="8037"/>
    <cellStyle name="20% - Accent2 2 3 3 3 4" xfId="4131"/>
    <cellStyle name="20% - Accent2 2 3 3 3 4 2" xfId="8595"/>
    <cellStyle name="20% - Accent2 2 3 3 3 5" xfId="5801"/>
    <cellStyle name="20% - Accent2 2 3 3 3 5 2" xfId="10265"/>
    <cellStyle name="20% - Accent2 2 3 3 3 6" xfId="6367"/>
    <cellStyle name="20% - Accent2 2 3 3 3 6 2" xfId="10822"/>
    <cellStyle name="20% - Accent2 2 3 3 3 7" xfId="6924"/>
    <cellStyle name="20% - Accent2 2 3 3 4" xfId="2973"/>
    <cellStyle name="20% - Accent2 2 3 3 4 2" xfId="5242"/>
    <cellStyle name="20% - Accent2 2 3 3 4 2 2" xfId="9706"/>
    <cellStyle name="20% - Accent2 2 3 3 4 3" xfId="7478"/>
    <cellStyle name="20% - Accent2 2 3 3 5" xfId="3556"/>
    <cellStyle name="20% - Accent2 2 3 3 5 2" xfId="4686"/>
    <cellStyle name="20% - Accent2 2 3 3 5 2 2" xfId="9150"/>
    <cellStyle name="20% - Accent2 2 3 3 5 3" xfId="8035"/>
    <cellStyle name="20% - Accent2 2 3 3 6" xfId="4129"/>
    <cellStyle name="20% - Accent2 2 3 3 6 2" xfId="8593"/>
    <cellStyle name="20% - Accent2 2 3 3 7" xfId="5799"/>
    <cellStyle name="20% - Accent2 2 3 3 7 2" xfId="10263"/>
    <cellStyle name="20% - Accent2 2 3 3 8" xfId="6365"/>
    <cellStyle name="20% - Accent2 2 3 3 8 2" xfId="10820"/>
    <cellStyle name="20% - Accent2 2 3 3 9" xfId="6922"/>
    <cellStyle name="20% - Accent2 2 3 4" xfId="1975"/>
    <cellStyle name="20% - Accent2 2 3 4 2" xfId="2976"/>
    <cellStyle name="20% - Accent2 2 3 4 2 2" xfId="5245"/>
    <cellStyle name="20% - Accent2 2 3 4 2 2 2" xfId="9709"/>
    <cellStyle name="20% - Accent2 2 3 4 2 3" xfId="7481"/>
    <cellStyle name="20% - Accent2 2 3 4 3" xfId="3559"/>
    <cellStyle name="20% - Accent2 2 3 4 3 2" xfId="4689"/>
    <cellStyle name="20% - Accent2 2 3 4 3 2 2" xfId="9153"/>
    <cellStyle name="20% - Accent2 2 3 4 3 3" xfId="8038"/>
    <cellStyle name="20% - Accent2 2 3 4 4" xfId="4132"/>
    <cellStyle name="20% - Accent2 2 3 4 4 2" xfId="8596"/>
    <cellStyle name="20% - Accent2 2 3 4 5" xfId="5802"/>
    <cellStyle name="20% - Accent2 2 3 4 5 2" xfId="10266"/>
    <cellStyle name="20% - Accent2 2 3 4 6" xfId="6368"/>
    <cellStyle name="20% - Accent2 2 3 4 6 2" xfId="10823"/>
    <cellStyle name="20% - Accent2 2 3 4 7" xfId="6925"/>
    <cellStyle name="20% - Accent2 2 3 5" xfId="1976"/>
    <cellStyle name="20% - Accent2 2 3 5 2" xfId="2977"/>
    <cellStyle name="20% - Accent2 2 3 5 2 2" xfId="5246"/>
    <cellStyle name="20% - Accent2 2 3 5 2 2 2" xfId="9710"/>
    <cellStyle name="20% - Accent2 2 3 5 2 3" xfId="7482"/>
    <cellStyle name="20% - Accent2 2 3 5 3" xfId="3560"/>
    <cellStyle name="20% - Accent2 2 3 5 3 2" xfId="4690"/>
    <cellStyle name="20% - Accent2 2 3 5 3 2 2" xfId="9154"/>
    <cellStyle name="20% - Accent2 2 3 5 3 3" xfId="8039"/>
    <cellStyle name="20% - Accent2 2 3 5 4" xfId="4133"/>
    <cellStyle name="20% - Accent2 2 3 5 4 2" xfId="8597"/>
    <cellStyle name="20% - Accent2 2 3 5 5" xfId="5803"/>
    <cellStyle name="20% - Accent2 2 3 5 5 2" xfId="10267"/>
    <cellStyle name="20% - Accent2 2 3 5 6" xfId="6369"/>
    <cellStyle name="20% - Accent2 2 3 5 6 2" xfId="10824"/>
    <cellStyle name="20% - Accent2 2 3 5 7" xfId="6926"/>
    <cellStyle name="20% - Accent2 2 3 6" xfId="11966"/>
    <cellStyle name="20% - Accent2 2 3 7" xfId="1261"/>
    <cellStyle name="20% - Accent2 2 4" xfId="1260"/>
    <cellStyle name="20% - Accent2 2 4 2" xfId="1977"/>
    <cellStyle name="20% - Accent2 2 4 2 2" xfId="1978"/>
    <cellStyle name="20% - Accent2 2 4 2 2 2" xfId="2979"/>
    <cellStyle name="20% - Accent2 2 4 2 2 2 2" xfId="5248"/>
    <cellStyle name="20% - Accent2 2 4 2 2 2 2 2" xfId="9712"/>
    <cellStyle name="20% - Accent2 2 4 2 2 2 3" xfId="7484"/>
    <cellStyle name="20% - Accent2 2 4 2 2 3" xfId="3562"/>
    <cellStyle name="20% - Accent2 2 4 2 2 3 2" xfId="4692"/>
    <cellStyle name="20% - Accent2 2 4 2 2 3 2 2" xfId="9156"/>
    <cellStyle name="20% - Accent2 2 4 2 2 3 3" xfId="8041"/>
    <cellStyle name="20% - Accent2 2 4 2 2 4" xfId="4135"/>
    <cellStyle name="20% - Accent2 2 4 2 2 4 2" xfId="8599"/>
    <cellStyle name="20% - Accent2 2 4 2 2 5" xfId="5805"/>
    <cellStyle name="20% - Accent2 2 4 2 2 5 2" xfId="10269"/>
    <cellStyle name="20% - Accent2 2 4 2 2 6" xfId="6371"/>
    <cellStyle name="20% - Accent2 2 4 2 2 6 2" xfId="10826"/>
    <cellStyle name="20% - Accent2 2 4 2 2 7" xfId="6928"/>
    <cellStyle name="20% - Accent2 2 4 2 3" xfId="1979"/>
    <cellStyle name="20% - Accent2 2 4 2 3 2" xfId="2980"/>
    <cellStyle name="20% - Accent2 2 4 2 3 2 2" xfId="5249"/>
    <cellStyle name="20% - Accent2 2 4 2 3 2 2 2" xfId="9713"/>
    <cellStyle name="20% - Accent2 2 4 2 3 2 3" xfId="7485"/>
    <cellStyle name="20% - Accent2 2 4 2 3 3" xfId="3563"/>
    <cellStyle name="20% - Accent2 2 4 2 3 3 2" xfId="4693"/>
    <cellStyle name="20% - Accent2 2 4 2 3 3 2 2" xfId="9157"/>
    <cellStyle name="20% - Accent2 2 4 2 3 3 3" xfId="8042"/>
    <cellStyle name="20% - Accent2 2 4 2 3 4" xfId="4136"/>
    <cellStyle name="20% - Accent2 2 4 2 3 4 2" xfId="8600"/>
    <cellStyle name="20% - Accent2 2 4 2 3 5" xfId="5806"/>
    <cellStyle name="20% - Accent2 2 4 2 3 5 2" xfId="10270"/>
    <cellStyle name="20% - Accent2 2 4 2 3 6" xfId="6372"/>
    <cellStyle name="20% - Accent2 2 4 2 3 6 2" xfId="10827"/>
    <cellStyle name="20% - Accent2 2 4 2 3 7" xfId="6929"/>
    <cellStyle name="20% - Accent2 2 4 2 4" xfId="2978"/>
    <cellStyle name="20% - Accent2 2 4 2 4 2" xfId="5247"/>
    <cellStyle name="20% - Accent2 2 4 2 4 2 2" xfId="9711"/>
    <cellStyle name="20% - Accent2 2 4 2 4 3" xfId="7483"/>
    <cellStyle name="20% - Accent2 2 4 2 5" xfId="3561"/>
    <cellStyle name="20% - Accent2 2 4 2 5 2" xfId="4691"/>
    <cellStyle name="20% - Accent2 2 4 2 5 2 2" xfId="9155"/>
    <cellStyle name="20% - Accent2 2 4 2 5 3" xfId="8040"/>
    <cellStyle name="20% - Accent2 2 4 2 6" xfId="4134"/>
    <cellStyle name="20% - Accent2 2 4 2 6 2" xfId="8598"/>
    <cellStyle name="20% - Accent2 2 4 2 7" xfId="5804"/>
    <cellStyle name="20% - Accent2 2 4 2 7 2" xfId="10268"/>
    <cellStyle name="20% - Accent2 2 4 2 8" xfId="6370"/>
    <cellStyle name="20% - Accent2 2 4 2 8 2" xfId="10825"/>
    <cellStyle name="20% - Accent2 2 4 2 9" xfId="6927"/>
    <cellStyle name="20% - Accent2 2 4 3" xfId="1980"/>
    <cellStyle name="20% - Accent2 2 4 3 2" xfId="1981"/>
    <cellStyle name="20% - Accent2 2 4 3 2 2" xfId="2982"/>
    <cellStyle name="20% - Accent2 2 4 3 2 2 2" xfId="5251"/>
    <cellStyle name="20% - Accent2 2 4 3 2 2 2 2" xfId="9715"/>
    <cellStyle name="20% - Accent2 2 4 3 2 2 3" xfId="7487"/>
    <cellStyle name="20% - Accent2 2 4 3 2 3" xfId="3565"/>
    <cellStyle name="20% - Accent2 2 4 3 2 3 2" xfId="4695"/>
    <cellStyle name="20% - Accent2 2 4 3 2 3 2 2" xfId="9159"/>
    <cellStyle name="20% - Accent2 2 4 3 2 3 3" xfId="8044"/>
    <cellStyle name="20% - Accent2 2 4 3 2 4" xfId="4138"/>
    <cellStyle name="20% - Accent2 2 4 3 2 4 2" xfId="8602"/>
    <cellStyle name="20% - Accent2 2 4 3 2 5" xfId="5808"/>
    <cellStyle name="20% - Accent2 2 4 3 2 5 2" xfId="10272"/>
    <cellStyle name="20% - Accent2 2 4 3 2 6" xfId="6374"/>
    <cellStyle name="20% - Accent2 2 4 3 2 6 2" xfId="10829"/>
    <cellStyle name="20% - Accent2 2 4 3 2 7" xfId="6931"/>
    <cellStyle name="20% - Accent2 2 4 3 3" xfId="1982"/>
    <cellStyle name="20% - Accent2 2 4 3 3 2" xfId="2983"/>
    <cellStyle name="20% - Accent2 2 4 3 3 2 2" xfId="5252"/>
    <cellStyle name="20% - Accent2 2 4 3 3 2 2 2" xfId="9716"/>
    <cellStyle name="20% - Accent2 2 4 3 3 2 3" xfId="7488"/>
    <cellStyle name="20% - Accent2 2 4 3 3 3" xfId="3566"/>
    <cellStyle name="20% - Accent2 2 4 3 3 3 2" xfId="4696"/>
    <cellStyle name="20% - Accent2 2 4 3 3 3 2 2" xfId="9160"/>
    <cellStyle name="20% - Accent2 2 4 3 3 3 3" xfId="8045"/>
    <cellStyle name="20% - Accent2 2 4 3 3 4" xfId="4139"/>
    <cellStyle name="20% - Accent2 2 4 3 3 4 2" xfId="8603"/>
    <cellStyle name="20% - Accent2 2 4 3 3 5" xfId="5809"/>
    <cellStyle name="20% - Accent2 2 4 3 3 5 2" xfId="10273"/>
    <cellStyle name="20% - Accent2 2 4 3 3 6" xfId="6375"/>
    <cellStyle name="20% - Accent2 2 4 3 3 6 2" xfId="10830"/>
    <cellStyle name="20% - Accent2 2 4 3 3 7" xfId="6932"/>
    <cellStyle name="20% - Accent2 2 4 3 4" xfId="2981"/>
    <cellStyle name="20% - Accent2 2 4 3 4 2" xfId="5250"/>
    <cellStyle name="20% - Accent2 2 4 3 4 2 2" xfId="9714"/>
    <cellStyle name="20% - Accent2 2 4 3 4 3" xfId="7486"/>
    <cellStyle name="20% - Accent2 2 4 3 5" xfId="3564"/>
    <cellStyle name="20% - Accent2 2 4 3 5 2" xfId="4694"/>
    <cellStyle name="20% - Accent2 2 4 3 5 2 2" xfId="9158"/>
    <cellStyle name="20% - Accent2 2 4 3 5 3" xfId="8043"/>
    <cellStyle name="20% - Accent2 2 4 3 6" xfId="4137"/>
    <cellStyle name="20% - Accent2 2 4 3 6 2" xfId="8601"/>
    <cellStyle name="20% - Accent2 2 4 3 7" xfId="5807"/>
    <cellStyle name="20% - Accent2 2 4 3 7 2" xfId="10271"/>
    <cellStyle name="20% - Accent2 2 4 3 8" xfId="6373"/>
    <cellStyle name="20% - Accent2 2 4 3 8 2" xfId="10828"/>
    <cellStyle name="20% - Accent2 2 4 3 9" xfId="6930"/>
    <cellStyle name="20% - Accent2 2 4 4" xfId="1983"/>
    <cellStyle name="20% - Accent2 2 4 4 2" xfId="2984"/>
    <cellStyle name="20% - Accent2 2 4 4 2 2" xfId="5253"/>
    <cellStyle name="20% - Accent2 2 4 4 2 2 2" xfId="9717"/>
    <cellStyle name="20% - Accent2 2 4 4 2 3" xfId="7489"/>
    <cellStyle name="20% - Accent2 2 4 4 3" xfId="3567"/>
    <cellStyle name="20% - Accent2 2 4 4 3 2" xfId="4697"/>
    <cellStyle name="20% - Accent2 2 4 4 3 2 2" xfId="9161"/>
    <cellStyle name="20% - Accent2 2 4 4 3 3" xfId="8046"/>
    <cellStyle name="20% - Accent2 2 4 4 4" xfId="4140"/>
    <cellStyle name="20% - Accent2 2 4 4 4 2" xfId="8604"/>
    <cellStyle name="20% - Accent2 2 4 4 5" xfId="5810"/>
    <cellStyle name="20% - Accent2 2 4 4 5 2" xfId="10274"/>
    <cellStyle name="20% - Accent2 2 4 4 6" xfId="6376"/>
    <cellStyle name="20% - Accent2 2 4 4 6 2" xfId="10831"/>
    <cellStyle name="20% - Accent2 2 4 4 7" xfId="6933"/>
    <cellStyle name="20% - Accent2 2 4 5" xfId="1984"/>
    <cellStyle name="20% - Accent2 2 4 5 2" xfId="2985"/>
    <cellStyle name="20% - Accent2 2 4 5 2 2" xfId="5254"/>
    <cellStyle name="20% - Accent2 2 4 5 2 2 2" xfId="9718"/>
    <cellStyle name="20% - Accent2 2 4 5 2 3" xfId="7490"/>
    <cellStyle name="20% - Accent2 2 4 5 3" xfId="3568"/>
    <cellStyle name="20% - Accent2 2 4 5 3 2" xfId="4698"/>
    <cellStyle name="20% - Accent2 2 4 5 3 2 2" xfId="9162"/>
    <cellStyle name="20% - Accent2 2 4 5 3 3" xfId="8047"/>
    <cellStyle name="20% - Accent2 2 4 5 4" xfId="4141"/>
    <cellStyle name="20% - Accent2 2 4 5 4 2" xfId="8605"/>
    <cellStyle name="20% - Accent2 2 4 5 5" xfId="5811"/>
    <cellStyle name="20% - Accent2 2 4 5 5 2" xfId="10275"/>
    <cellStyle name="20% - Accent2 2 4 5 6" xfId="6377"/>
    <cellStyle name="20% - Accent2 2 4 5 6 2" xfId="10832"/>
    <cellStyle name="20% - Accent2 2 4 5 7" xfId="6934"/>
    <cellStyle name="20% - Accent2 2 5" xfId="1259"/>
    <cellStyle name="20% - Accent2 2 5 2" xfId="1985"/>
    <cellStyle name="20% - Accent2 2 5 2 2" xfId="1986"/>
    <cellStyle name="20% - Accent2 2 5 2 2 2" xfId="2987"/>
    <cellStyle name="20% - Accent2 2 5 2 2 2 2" xfId="5256"/>
    <cellStyle name="20% - Accent2 2 5 2 2 2 2 2" xfId="9720"/>
    <cellStyle name="20% - Accent2 2 5 2 2 2 3" xfId="7492"/>
    <cellStyle name="20% - Accent2 2 5 2 2 3" xfId="3570"/>
    <cellStyle name="20% - Accent2 2 5 2 2 3 2" xfId="4700"/>
    <cellStyle name="20% - Accent2 2 5 2 2 3 2 2" xfId="9164"/>
    <cellStyle name="20% - Accent2 2 5 2 2 3 3" xfId="8049"/>
    <cellStyle name="20% - Accent2 2 5 2 2 4" xfId="4143"/>
    <cellStyle name="20% - Accent2 2 5 2 2 4 2" xfId="8607"/>
    <cellStyle name="20% - Accent2 2 5 2 2 5" xfId="5813"/>
    <cellStyle name="20% - Accent2 2 5 2 2 5 2" xfId="10277"/>
    <cellStyle name="20% - Accent2 2 5 2 2 6" xfId="6379"/>
    <cellStyle name="20% - Accent2 2 5 2 2 6 2" xfId="10834"/>
    <cellStyle name="20% - Accent2 2 5 2 2 7" xfId="6936"/>
    <cellStyle name="20% - Accent2 2 5 2 3" xfId="1987"/>
    <cellStyle name="20% - Accent2 2 5 2 3 2" xfId="2988"/>
    <cellStyle name="20% - Accent2 2 5 2 3 2 2" xfId="5257"/>
    <cellStyle name="20% - Accent2 2 5 2 3 2 2 2" xfId="9721"/>
    <cellStyle name="20% - Accent2 2 5 2 3 2 3" xfId="7493"/>
    <cellStyle name="20% - Accent2 2 5 2 3 3" xfId="3571"/>
    <cellStyle name="20% - Accent2 2 5 2 3 3 2" xfId="4701"/>
    <cellStyle name="20% - Accent2 2 5 2 3 3 2 2" xfId="9165"/>
    <cellStyle name="20% - Accent2 2 5 2 3 3 3" xfId="8050"/>
    <cellStyle name="20% - Accent2 2 5 2 3 4" xfId="4144"/>
    <cellStyle name="20% - Accent2 2 5 2 3 4 2" xfId="8608"/>
    <cellStyle name="20% - Accent2 2 5 2 3 5" xfId="5814"/>
    <cellStyle name="20% - Accent2 2 5 2 3 5 2" xfId="10278"/>
    <cellStyle name="20% - Accent2 2 5 2 3 6" xfId="6380"/>
    <cellStyle name="20% - Accent2 2 5 2 3 6 2" xfId="10835"/>
    <cellStyle name="20% - Accent2 2 5 2 3 7" xfId="6937"/>
    <cellStyle name="20% - Accent2 2 5 2 4" xfId="2986"/>
    <cellStyle name="20% - Accent2 2 5 2 4 2" xfId="5255"/>
    <cellStyle name="20% - Accent2 2 5 2 4 2 2" xfId="9719"/>
    <cellStyle name="20% - Accent2 2 5 2 4 3" xfId="7491"/>
    <cellStyle name="20% - Accent2 2 5 2 5" xfId="3569"/>
    <cellStyle name="20% - Accent2 2 5 2 5 2" xfId="4699"/>
    <cellStyle name="20% - Accent2 2 5 2 5 2 2" xfId="9163"/>
    <cellStyle name="20% - Accent2 2 5 2 5 3" xfId="8048"/>
    <cellStyle name="20% - Accent2 2 5 2 6" xfId="4142"/>
    <cellStyle name="20% - Accent2 2 5 2 6 2" xfId="8606"/>
    <cellStyle name="20% - Accent2 2 5 2 7" xfId="5812"/>
    <cellStyle name="20% - Accent2 2 5 2 7 2" xfId="10276"/>
    <cellStyle name="20% - Accent2 2 5 2 8" xfId="6378"/>
    <cellStyle name="20% - Accent2 2 5 2 8 2" xfId="10833"/>
    <cellStyle name="20% - Accent2 2 5 2 9" xfId="6935"/>
    <cellStyle name="20% - Accent2 2 5 3" xfId="1988"/>
    <cellStyle name="20% - Accent2 2 5 3 2" xfId="2989"/>
    <cellStyle name="20% - Accent2 2 5 3 2 2" xfId="5258"/>
    <cellStyle name="20% - Accent2 2 5 3 2 2 2" xfId="9722"/>
    <cellStyle name="20% - Accent2 2 5 3 2 3" xfId="7494"/>
    <cellStyle name="20% - Accent2 2 5 3 3" xfId="3572"/>
    <cellStyle name="20% - Accent2 2 5 3 3 2" xfId="4702"/>
    <cellStyle name="20% - Accent2 2 5 3 3 2 2" xfId="9166"/>
    <cellStyle name="20% - Accent2 2 5 3 3 3" xfId="8051"/>
    <cellStyle name="20% - Accent2 2 5 3 4" xfId="4145"/>
    <cellStyle name="20% - Accent2 2 5 3 4 2" xfId="8609"/>
    <cellStyle name="20% - Accent2 2 5 3 5" xfId="5815"/>
    <cellStyle name="20% - Accent2 2 5 3 5 2" xfId="10279"/>
    <cellStyle name="20% - Accent2 2 5 3 6" xfId="6381"/>
    <cellStyle name="20% - Accent2 2 5 3 6 2" xfId="10836"/>
    <cellStyle name="20% - Accent2 2 5 3 7" xfId="6938"/>
    <cellStyle name="20% - Accent2 2 5 4" xfId="1989"/>
    <cellStyle name="20% - Accent2 2 5 4 2" xfId="2990"/>
    <cellStyle name="20% - Accent2 2 5 4 2 2" xfId="5259"/>
    <cellStyle name="20% - Accent2 2 5 4 2 2 2" xfId="9723"/>
    <cellStyle name="20% - Accent2 2 5 4 2 3" xfId="7495"/>
    <cellStyle name="20% - Accent2 2 5 4 3" xfId="3573"/>
    <cellStyle name="20% - Accent2 2 5 4 3 2" xfId="4703"/>
    <cellStyle name="20% - Accent2 2 5 4 3 2 2" xfId="9167"/>
    <cellStyle name="20% - Accent2 2 5 4 3 3" xfId="8052"/>
    <cellStyle name="20% - Accent2 2 5 4 4" xfId="4146"/>
    <cellStyle name="20% - Accent2 2 5 4 4 2" xfId="8610"/>
    <cellStyle name="20% - Accent2 2 5 4 5" xfId="5816"/>
    <cellStyle name="20% - Accent2 2 5 4 5 2" xfId="10280"/>
    <cellStyle name="20% - Accent2 2 5 4 6" xfId="6382"/>
    <cellStyle name="20% - Accent2 2 5 4 6 2" xfId="10837"/>
    <cellStyle name="20% - Accent2 2 5 4 7" xfId="6939"/>
    <cellStyle name="20% - Accent2 2 6" xfId="1258"/>
    <cellStyle name="20% - Accent2 2 6 2" xfId="1990"/>
    <cellStyle name="20% - Accent2 2 6 2 2" xfId="2991"/>
    <cellStyle name="20% - Accent2 2 6 2 2 2" xfId="5260"/>
    <cellStyle name="20% - Accent2 2 6 2 2 2 2" xfId="9724"/>
    <cellStyle name="20% - Accent2 2 6 2 2 3" xfId="7496"/>
    <cellStyle name="20% - Accent2 2 6 2 3" xfId="3574"/>
    <cellStyle name="20% - Accent2 2 6 2 3 2" xfId="4704"/>
    <cellStyle name="20% - Accent2 2 6 2 3 2 2" xfId="9168"/>
    <cellStyle name="20% - Accent2 2 6 2 3 3" xfId="8053"/>
    <cellStyle name="20% - Accent2 2 6 2 4" xfId="4147"/>
    <cellStyle name="20% - Accent2 2 6 2 4 2" xfId="8611"/>
    <cellStyle name="20% - Accent2 2 6 2 5" xfId="5817"/>
    <cellStyle name="20% - Accent2 2 6 2 5 2" xfId="10281"/>
    <cellStyle name="20% - Accent2 2 6 2 6" xfId="6383"/>
    <cellStyle name="20% - Accent2 2 6 2 6 2" xfId="10838"/>
    <cellStyle name="20% - Accent2 2 6 2 7" xfId="6940"/>
    <cellStyle name="20% - Accent2 2 6 3" xfId="1991"/>
    <cellStyle name="20% - Accent2 2 6 3 2" xfId="2992"/>
    <cellStyle name="20% - Accent2 2 6 3 2 2" xfId="5261"/>
    <cellStyle name="20% - Accent2 2 6 3 2 2 2" xfId="9725"/>
    <cellStyle name="20% - Accent2 2 6 3 2 3" xfId="7497"/>
    <cellStyle name="20% - Accent2 2 6 3 3" xfId="3575"/>
    <cellStyle name="20% - Accent2 2 6 3 3 2" xfId="4705"/>
    <cellStyle name="20% - Accent2 2 6 3 3 2 2" xfId="9169"/>
    <cellStyle name="20% - Accent2 2 6 3 3 3" xfId="8054"/>
    <cellStyle name="20% - Accent2 2 6 3 4" xfId="4148"/>
    <cellStyle name="20% - Accent2 2 6 3 4 2" xfId="8612"/>
    <cellStyle name="20% - Accent2 2 6 3 5" xfId="5818"/>
    <cellStyle name="20% - Accent2 2 6 3 5 2" xfId="10282"/>
    <cellStyle name="20% - Accent2 2 6 3 6" xfId="6384"/>
    <cellStyle name="20% - Accent2 2 6 3 6 2" xfId="10839"/>
    <cellStyle name="20% - Accent2 2 6 3 7" xfId="6941"/>
    <cellStyle name="20% - Accent2 2 7" xfId="1725"/>
    <cellStyle name="20% - Accent2 2 7 2" xfId="2895"/>
    <cellStyle name="20% - Accent2 2 7 2 2" xfId="5164"/>
    <cellStyle name="20% - Accent2 2 7 2 2 2" xfId="9628"/>
    <cellStyle name="20% - Accent2 2 7 2 3" xfId="7400"/>
    <cellStyle name="20% - Accent2 2 7 3" xfId="3478"/>
    <cellStyle name="20% - Accent2 2 7 3 2" xfId="4608"/>
    <cellStyle name="20% - Accent2 2 7 3 2 2" xfId="9072"/>
    <cellStyle name="20% - Accent2 2 7 3 3" xfId="7957"/>
    <cellStyle name="20% - Accent2 2 7 4" xfId="4051"/>
    <cellStyle name="20% - Accent2 2 7 4 2" xfId="8515"/>
    <cellStyle name="20% - Accent2 2 7 5" xfId="5721"/>
    <cellStyle name="20% - Accent2 2 7 5 2" xfId="10185"/>
    <cellStyle name="20% - Accent2 2 7 6" xfId="6287"/>
    <cellStyle name="20% - Accent2 2 7 6 2" xfId="10742"/>
    <cellStyle name="20% - Accent2 2 7 7" xfId="6844"/>
    <cellStyle name="20% - Accent2 2 8" xfId="1826"/>
    <cellStyle name="20% - Accent2 2 8 2" xfId="2908"/>
    <cellStyle name="20% - Accent2 2 8 2 2" xfId="5177"/>
    <cellStyle name="20% - Accent2 2 8 2 2 2" xfId="9641"/>
    <cellStyle name="20% - Accent2 2 8 2 3" xfId="7413"/>
    <cellStyle name="20% - Accent2 2 8 3" xfId="3491"/>
    <cellStyle name="20% - Accent2 2 8 3 2" xfId="4621"/>
    <cellStyle name="20% - Accent2 2 8 3 2 2" xfId="9085"/>
    <cellStyle name="20% - Accent2 2 8 3 3" xfId="7970"/>
    <cellStyle name="20% - Accent2 2 8 4" xfId="4064"/>
    <cellStyle name="20% - Accent2 2 8 4 2" xfId="8528"/>
    <cellStyle name="20% - Accent2 2 8 5" xfId="5734"/>
    <cellStyle name="20% - Accent2 2 8 5 2" xfId="10198"/>
    <cellStyle name="20% - Accent2 2 8 6" xfId="6300"/>
    <cellStyle name="20% - Accent2 2 8 6 2" xfId="10755"/>
    <cellStyle name="20% - Accent2 2 8 7" xfId="6857"/>
    <cellStyle name="20% - Accent2 2 9" xfId="1992"/>
    <cellStyle name="20% - Accent2 20" xfId="1081"/>
    <cellStyle name="20% - Accent2 20 2" xfId="11952"/>
    <cellStyle name="20% - Accent2 21" xfId="11835"/>
    <cellStyle name="20% - Accent2 3" xfId="22"/>
    <cellStyle name="20% - Accent2 3 2" xfId="1993"/>
    <cellStyle name="20% - Accent2 3 3" xfId="2605"/>
    <cellStyle name="20% - Accent2 3 4" xfId="11375"/>
    <cellStyle name="20% - Accent2 3 5" xfId="1257"/>
    <cellStyle name="20% - Accent2 4" xfId="23"/>
    <cellStyle name="20% - Accent2 4 2" xfId="2771"/>
    <cellStyle name="20% - Accent2 4 3" xfId="11376"/>
    <cellStyle name="20% - Accent2 4 4" xfId="1256"/>
    <cellStyle name="20% - Accent2 5" xfId="24"/>
    <cellStyle name="20% - Accent2 5 2" xfId="11377"/>
    <cellStyle name="20% - Accent2 5 3" xfId="1663"/>
    <cellStyle name="20% - Accent2 6" xfId="25"/>
    <cellStyle name="20% - Accent2 6 2" xfId="11378"/>
    <cellStyle name="20% - Accent2 6 3" xfId="1825"/>
    <cellStyle name="20% - Accent2 7" xfId="26"/>
    <cellStyle name="20% - Accent2 8" xfId="27"/>
    <cellStyle name="20% - Accent2 9" xfId="28"/>
    <cellStyle name="20% - Accent3" xfId="949" builtinId="38" customBuiltin="1"/>
    <cellStyle name="20% - Accent3 10" xfId="29"/>
    <cellStyle name="20% - Accent3 11" xfId="30"/>
    <cellStyle name="20% - Accent3 12" xfId="31"/>
    <cellStyle name="20% - Accent3 13" xfId="32"/>
    <cellStyle name="20% - Accent3 14" xfId="33"/>
    <cellStyle name="20% - Accent3 15" xfId="34"/>
    <cellStyle name="20% - Accent3 16" xfId="672"/>
    <cellStyle name="20% - Accent3 17" xfId="993"/>
    <cellStyle name="20% - Accent3 17 2" xfId="11864"/>
    <cellStyle name="20% - Accent3 18" xfId="1021"/>
    <cellStyle name="20% - Accent3 18 2" xfId="11892"/>
    <cellStyle name="20% - Accent3 19" xfId="1068"/>
    <cellStyle name="20% - Accent3 19 2" xfId="11939"/>
    <cellStyle name="20% - Accent3 2" xfId="35"/>
    <cellStyle name="20% - Accent3 2 10" xfId="1994"/>
    <cellStyle name="20% - Accent3 2 10 2" xfId="2993"/>
    <cellStyle name="20% - Accent3 2 10 2 2" xfId="5262"/>
    <cellStyle name="20% - Accent3 2 10 2 2 2" xfId="9726"/>
    <cellStyle name="20% - Accent3 2 10 2 3" xfId="7498"/>
    <cellStyle name="20% - Accent3 2 10 3" xfId="3576"/>
    <cellStyle name="20% - Accent3 2 10 3 2" xfId="4706"/>
    <cellStyle name="20% - Accent3 2 10 3 2 2" xfId="9170"/>
    <cellStyle name="20% - Accent3 2 10 3 3" xfId="8055"/>
    <cellStyle name="20% - Accent3 2 10 4" xfId="4149"/>
    <cellStyle name="20% - Accent3 2 10 4 2" xfId="8613"/>
    <cellStyle name="20% - Accent3 2 10 5" xfId="5819"/>
    <cellStyle name="20% - Accent3 2 10 5 2" xfId="10283"/>
    <cellStyle name="20% - Accent3 2 10 6" xfId="6385"/>
    <cellStyle name="20% - Accent3 2 10 6 2" xfId="10840"/>
    <cellStyle name="20% - Accent3 2 10 7" xfId="6942"/>
    <cellStyle name="20% - Accent3 2 11" xfId="2577"/>
    <cellStyle name="20% - Accent3 2 12" xfId="11308"/>
    <cellStyle name="20% - Accent3 2 13" xfId="11337"/>
    <cellStyle name="20% - Accent3 2 14" xfId="1255"/>
    <cellStyle name="20% - Accent3 2 15" xfId="1133"/>
    <cellStyle name="20% - Accent3 2 2" xfId="725"/>
    <cellStyle name="20% - Accent3 2 2 2" xfId="1746"/>
    <cellStyle name="20% - Accent3 2 2 3" xfId="1254"/>
    <cellStyle name="20% - Accent3 2 2 4" xfId="11682"/>
    <cellStyle name="20% - Accent3 2 2 5" xfId="1163"/>
    <cellStyle name="20% - Accent3 2 3" xfId="1103"/>
    <cellStyle name="20% - Accent3 2 3 2" xfId="1995"/>
    <cellStyle name="20% - Accent3 2 3 2 10" xfId="6943"/>
    <cellStyle name="20% - Accent3 2 3 2 2" xfId="1996"/>
    <cellStyle name="20% - Accent3 2 3 2 2 2" xfId="1997"/>
    <cellStyle name="20% - Accent3 2 3 2 2 2 2" xfId="2996"/>
    <cellStyle name="20% - Accent3 2 3 2 2 2 2 2" xfId="5265"/>
    <cellStyle name="20% - Accent3 2 3 2 2 2 2 2 2" xfId="9729"/>
    <cellStyle name="20% - Accent3 2 3 2 2 2 2 3" xfId="7501"/>
    <cellStyle name="20% - Accent3 2 3 2 2 2 3" xfId="3579"/>
    <cellStyle name="20% - Accent3 2 3 2 2 2 3 2" xfId="4709"/>
    <cellStyle name="20% - Accent3 2 3 2 2 2 3 2 2" xfId="9173"/>
    <cellStyle name="20% - Accent3 2 3 2 2 2 3 3" xfId="8058"/>
    <cellStyle name="20% - Accent3 2 3 2 2 2 4" xfId="4152"/>
    <cellStyle name="20% - Accent3 2 3 2 2 2 4 2" xfId="8616"/>
    <cellStyle name="20% - Accent3 2 3 2 2 2 5" xfId="5822"/>
    <cellStyle name="20% - Accent3 2 3 2 2 2 5 2" xfId="10286"/>
    <cellStyle name="20% - Accent3 2 3 2 2 2 6" xfId="6388"/>
    <cellStyle name="20% - Accent3 2 3 2 2 2 6 2" xfId="10843"/>
    <cellStyle name="20% - Accent3 2 3 2 2 2 7" xfId="6945"/>
    <cellStyle name="20% - Accent3 2 3 2 2 3" xfId="1998"/>
    <cellStyle name="20% - Accent3 2 3 2 2 3 2" xfId="2997"/>
    <cellStyle name="20% - Accent3 2 3 2 2 3 2 2" xfId="5266"/>
    <cellStyle name="20% - Accent3 2 3 2 2 3 2 2 2" xfId="9730"/>
    <cellStyle name="20% - Accent3 2 3 2 2 3 2 3" xfId="7502"/>
    <cellStyle name="20% - Accent3 2 3 2 2 3 3" xfId="3580"/>
    <cellStyle name="20% - Accent3 2 3 2 2 3 3 2" xfId="4710"/>
    <cellStyle name="20% - Accent3 2 3 2 2 3 3 2 2" xfId="9174"/>
    <cellStyle name="20% - Accent3 2 3 2 2 3 3 3" xfId="8059"/>
    <cellStyle name="20% - Accent3 2 3 2 2 3 4" xfId="4153"/>
    <cellStyle name="20% - Accent3 2 3 2 2 3 4 2" xfId="8617"/>
    <cellStyle name="20% - Accent3 2 3 2 2 3 5" xfId="5823"/>
    <cellStyle name="20% - Accent3 2 3 2 2 3 5 2" xfId="10287"/>
    <cellStyle name="20% - Accent3 2 3 2 2 3 6" xfId="6389"/>
    <cellStyle name="20% - Accent3 2 3 2 2 3 6 2" xfId="10844"/>
    <cellStyle name="20% - Accent3 2 3 2 2 3 7" xfId="6946"/>
    <cellStyle name="20% - Accent3 2 3 2 2 4" xfId="2995"/>
    <cellStyle name="20% - Accent3 2 3 2 2 4 2" xfId="5264"/>
    <cellStyle name="20% - Accent3 2 3 2 2 4 2 2" xfId="9728"/>
    <cellStyle name="20% - Accent3 2 3 2 2 4 3" xfId="7500"/>
    <cellStyle name="20% - Accent3 2 3 2 2 5" xfId="3578"/>
    <cellStyle name="20% - Accent3 2 3 2 2 5 2" xfId="4708"/>
    <cellStyle name="20% - Accent3 2 3 2 2 5 2 2" xfId="9172"/>
    <cellStyle name="20% - Accent3 2 3 2 2 5 3" xfId="8057"/>
    <cellStyle name="20% - Accent3 2 3 2 2 6" xfId="4151"/>
    <cellStyle name="20% - Accent3 2 3 2 2 6 2" xfId="8615"/>
    <cellStyle name="20% - Accent3 2 3 2 2 7" xfId="5821"/>
    <cellStyle name="20% - Accent3 2 3 2 2 7 2" xfId="10285"/>
    <cellStyle name="20% - Accent3 2 3 2 2 8" xfId="6387"/>
    <cellStyle name="20% - Accent3 2 3 2 2 8 2" xfId="10842"/>
    <cellStyle name="20% - Accent3 2 3 2 2 9" xfId="6944"/>
    <cellStyle name="20% - Accent3 2 3 2 3" xfId="1999"/>
    <cellStyle name="20% - Accent3 2 3 2 3 2" xfId="2998"/>
    <cellStyle name="20% - Accent3 2 3 2 3 2 2" xfId="5267"/>
    <cellStyle name="20% - Accent3 2 3 2 3 2 2 2" xfId="9731"/>
    <cellStyle name="20% - Accent3 2 3 2 3 2 3" xfId="7503"/>
    <cellStyle name="20% - Accent3 2 3 2 3 3" xfId="3581"/>
    <cellStyle name="20% - Accent3 2 3 2 3 3 2" xfId="4711"/>
    <cellStyle name="20% - Accent3 2 3 2 3 3 2 2" xfId="9175"/>
    <cellStyle name="20% - Accent3 2 3 2 3 3 3" xfId="8060"/>
    <cellStyle name="20% - Accent3 2 3 2 3 4" xfId="4154"/>
    <cellStyle name="20% - Accent3 2 3 2 3 4 2" xfId="8618"/>
    <cellStyle name="20% - Accent3 2 3 2 3 5" xfId="5824"/>
    <cellStyle name="20% - Accent3 2 3 2 3 5 2" xfId="10288"/>
    <cellStyle name="20% - Accent3 2 3 2 3 6" xfId="6390"/>
    <cellStyle name="20% - Accent3 2 3 2 3 6 2" xfId="10845"/>
    <cellStyle name="20% - Accent3 2 3 2 3 7" xfId="6947"/>
    <cellStyle name="20% - Accent3 2 3 2 4" xfId="2000"/>
    <cellStyle name="20% - Accent3 2 3 2 4 2" xfId="2999"/>
    <cellStyle name="20% - Accent3 2 3 2 4 2 2" xfId="5268"/>
    <cellStyle name="20% - Accent3 2 3 2 4 2 2 2" xfId="9732"/>
    <cellStyle name="20% - Accent3 2 3 2 4 2 3" xfId="7504"/>
    <cellStyle name="20% - Accent3 2 3 2 4 3" xfId="3582"/>
    <cellStyle name="20% - Accent3 2 3 2 4 3 2" xfId="4712"/>
    <cellStyle name="20% - Accent3 2 3 2 4 3 2 2" xfId="9176"/>
    <cellStyle name="20% - Accent3 2 3 2 4 3 3" xfId="8061"/>
    <cellStyle name="20% - Accent3 2 3 2 4 4" xfId="4155"/>
    <cellStyle name="20% - Accent3 2 3 2 4 4 2" xfId="8619"/>
    <cellStyle name="20% - Accent3 2 3 2 4 5" xfId="5825"/>
    <cellStyle name="20% - Accent3 2 3 2 4 5 2" xfId="10289"/>
    <cellStyle name="20% - Accent3 2 3 2 4 6" xfId="6391"/>
    <cellStyle name="20% - Accent3 2 3 2 4 6 2" xfId="10846"/>
    <cellStyle name="20% - Accent3 2 3 2 4 7" xfId="6948"/>
    <cellStyle name="20% - Accent3 2 3 2 5" xfId="2994"/>
    <cellStyle name="20% - Accent3 2 3 2 5 2" xfId="5263"/>
    <cellStyle name="20% - Accent3 2 3 2 5 2 2" xfId="9727"/>
    <cellStyle name="20% - Accent3 2 3 2 5 3" xfId="7499"/>
    <cellStyle name="20% - Accent3 2 3 2 6" xfId="3577"/>
    <cellStyle name="20% - Accent3 2 3 2 6 2" xfId="4707"/>
    <cellStyle name="20% - Accent3 2 3 2 6 2 2" xfId="9171"/>
    <cellStyle name="20% - Accent3 2 3 2 6 3" xfId="8056"/>
    <cellStyle name="20% - Accent3 2 3 2 7" xfId="4150"/>
    <cellStyle name="20% - Accent3 2 3 2 7 2" xfId="8614"/>
    <cellStyle name="20% - Accent3 2 3 2 8" xfId="5820"/>
    <cellStyle name="20% - Accent3 2 3 2 8 2" xfId="10284"/>
    <cellStyle name="20% - Accent3 2 3 2 9" xfId="6386"/>
    <cellStyle name="20% - Accent3 2 3 2 9 2" xfId="10841"/>
    <cellStyle name="20% - Accent3 2 3 3" xfId="2001"/>
    <cellStyle name="20% - Accent3 2 3 3 2" xfId="2002"/>
    <cellStyle name="20% - Accent3 2 3 3 2 2" xfId="3001"/>
    <cellStyle name="20% - Accent3 2 3 3 2 2 2" xfId="5270"/>
    <cellStyle name="20% - Accent3 2 3 3 2 2 2 2" xfId="9734"/>
    <cellStyle name="20% - Accent3 2 3 3 2 2 3" xfId="7506"/>
    <cellStyle name="20% - Accent3 2 3 3 2 3" xfId="3584"/>
    <cellStyle name="20% - Accent3 2 3 3 2 3 2" xfId="4714"/>
    <cellStyle name="20% - Accent3 2 3 3 2 3 2 2" xfId="9178"/>
    <cellStyle name="20% - Accent3 2 3 3 2 3 3" xfId="8063"/>
    <cellStyle name="20% - Accent3 2 3 3 2 4" xfId="4157"/>
    <cellStyle name="20% - Accent3 2 3 3 2 4 2" xfId="8621"/>
    <cellStyle name="20% - Accent3 2 3 3 2 5" xfId="5827"/>
    <cellStyle name="20% - Accent3 2 3 3 2 5 2" xfId="10291"/>
    <cellStyle name="20% - Accent3 2 3 3 2 6" xfId="6393"/>
    <cellStyle name="20% - Accent3 2 3 3 2 6 2" xfId="10848"/>
    <cellStyle name="20% - Accent3 2 3 3 2 7" xfId="6950"/>
    <cellStyle name="20% - Accent3 2 3 3 3" xfId="2003"/>
    <cellStyle name="20% - Accent3 2 3 3 3 2" xfId="3002"/>
    <cellStyle name="20% - Accent3 2 3 3 3 2 2" xfId="5271"/>
    <cellStyle name="20% - Accent3 2 3 3 3 2 2 2" xfId="9735"/>
    <cellStyle name="20% - Accent3 2 3 3 3 2 3" xfId="7507"/>
    <cellStyle name="20% - Accent3 2 3 3 3 3" xfId="3585"/>
    <cellStyle name="20% - Accent3 2 3 3 3 3 2" xfId="4715"/>
    <cellStyle name="20% - Accent3 2 3 3 3 3 2 2" xfId="9179"/>
    <cellStyle name="20% - Accent3 2 3 3 3 3 3" xfId="8064"/>
    <cellStyle name="20% - Accent3 2 3 3 3 4" xfId="4158"/>
    <cellStyle name="20% - Accent3 2 3 3 3 4 2" xfId="8622"/>
    <cellStyle name="20% - Accent3 2 3 3 3 5" xfId="5828"/>
    <cellStyle name="20% - Accent3 2 3 3 3 5 2" xfId="10292"/>
    <cellStyle name="20% - Accent3 2 3 3 3 6" xfId="6394"/>
    <cellStyle name="20% - Accent3 2 3 3 3 6 2" xfId="10849"/>
    <cellStyle name="20% - Accent3 2 3 3 3 7" xfId="6951"/>
    <cellStyle name="20% - Accent3 2 3 3 4" xfId="3000"/>
    <cellStyle name="20% - Accent3 2 3 3 4 2" xfId="5269"/>
    <cellStyle name="20% - Accent3 2 3 3 4 2 2" xfId="9733"/>
    <cellStyle name="20% - Accent3 2 3 3 4 3" xfId="7505"/>
    <cellStyle name="20% - Accent3 2 3 3 5" xfId="3583"/>
    <cellStyle name="20% - Accent3 2 3 3 5 2" xfId="4713"/>
    <cellStyle name="20% - Accent3 2 3 3 5 2 2" xfId="9177"/>
    <cellStyle name="20% - Accent3 2 3 3 5 3" xfId="8062"/>
    <cellStyle name="20% - Accent3 2 3 3 6" xfId="4156"/>
    <cellStyle name="20% - Accent3 2 3 3 6 2" xfId="8620"/>
    <cellStyle name="20% - Accent3 2 3 3 7" xfId="5826"/>
    <cellStyle name="20% - Accent3 2 3 3 7 2" xfId="10290"/>
    <cellStyle name="20% - Accent3 2 3 3 8" xfId="6392"/>
    <cellStyle name="20% - Accent3 2 3 3 8 2" xfId="10847"/>
    <cellStyle name="20% - Accent3 2 3 3 9" xfId="6949"/>
    <cellStyle name="20% - Accent3 2 3 4" xfId="2004"/>
    <cellStyle name="20% - Accent3 2 3 4 2" xfId="3003"/>
    <cellStyle name="20% - Accent3 2 3 4 2 2" xfId="5272"/>
    <cellStyle name="20% - Accent3 2 3 4 2 2 2" xfId="9736"/>
    <cellStyle name="20% - Accent3 2 3 4 2 3" xfId="7508"/>
    <cellStyle name="20% - Accent3 2 3 4 3" xfId="3586"/>
    <cellStyle name="20% - Accent3 2 3 4 3 2" xfId="4716"/>
    <cellStyle name="20% - Accent3 2 3 4 3 2 2" xfId="9180"/>
    <cellStyle name="20% - Accent3 2 3 4 3 3" xfId="8065"/>
    <cellStyle name="20% - Accent3 2 3 4 4" xfId="4159"/>
    <cellStyle name="20% - Accent3 2 3 4 4 2" xfId="8623"/>
    <cellStyle name="20% - Accent3 2 3 4 5" xfId="5829"/>
    <cellStyle name="20% - Accent3 2 3 4 5 2" xfId="10293"/>
    <cellStyle name="20% - Accent3 2 3 4 6" xfId="6395"/>
    <cellStyle name="20% - Accent3 2 3 4 6 2" xfId="10850"/>
    <cellStyle name="20% - Accent3 2 3 4 7" xfId="6952"/>
    <cellStyle name="20% - Accent3 2 3 5" xfId="2005"/>
    <cellStyle name="20% - Accent3 2 3 5 2" xfId="3004"/>
    <cellStyle name="20% - Accent3 2 3 5 2 2" xfId="5273"/>
    <cellStyle name="20% - Accent3 2 3 5 2 2 2" xfId="9737"/>
    <cellStyle name="20% - Accent3 2 3 5 2 3" xfId="7509"/>
    <cellStyle name="20% - Accent3 2 3 5 3" xfId="3587"/>
    <cellStyle name="20% - Accent3 2 3 5 3 2" xfId="4717"/>
    <cellStyle name="20% - Accent3 2 3 5 3 2 2" xfId="9181"/>
    <cellStyle name="20% - Accent3 2 3 5 3 3" xfId="8066"/>
    <cellStyle name="20% - Accent3 2 3 5 4" xfId="4160"/>
    <cellStyle name="20% - Accent3 2 3 5 4 2" xfId="8624"/>
    <cellStyle name="20% - Accent3 2 3 5 5" xfId="5830"/>
    <cellStyle name="20% - Accent3 2 3 5 5 2" xfId="10294"/>
    <cellStyle name="20% - Accent3 2 3 5 6" xfId="6396"/>
    <cellStyle name="20% - Accent3 2 3 5 6 2" xfId="10851"/>
    <cellStyle name="20% - Accent3 2 3 5 7" xfId="6953"/>
    <cellStyle name="20% - Accent3 2 3 6" xfId="11968"/>
    <cellStyle name="20% - Accent3 2 3 7" xfId="1253"/>
    <cellStyle name="20% - Accent3 2 4" xfId="1252"/>
    <cellStyle name="20% - Accent3 2 4 2" xfId="2006"/>
    <cellStyle name="20% - Accent3 2 4 2 2" xfId="2007"/>
    <cellStyle name="20% - Accent3 2 4 2 2 2" xfId="3006"/>
    <cellStyle name="20% - Accent3 2 4 2 2 2 2" xfId="5275"/>
    <cellStyle name="20% - Accent3 2 4 2 2 2 2 2" xfId="9739"/>
    <cellStyle name="20% - Accent3 2 4 2 2 2 3" xfId="7511"/>
    <cellStyle name="20% - Accent3 2 4 2 2 3" xfId="3589"/>
    <cellStyle name="20% - Accent3 2 4 2 2 3 2" xfId="4719"/>
    <cellStyle name="20% - Accent3 2 4 2 2 3 2 2" xfId="9183"/>
    <cellStyle name="20% - Accent3 2 4 2 2 3 3" xfId="8068"/>
    <cellStyle name="20% - Accent3 2 4 2 2 4" xfId="4162"/>
    <cellStyle name="20% - Accent3 2 4 2 2 4 2" xfId="8626"/>
    <cellStyle name="20% - Accent3 2 4 2 2 5" xfId="5832"/>
    <cellStyle name="20% - Accent3 2 4 2 2 5 2" xfId="10296"/>
    <cellStyle name="20% - Accent3 2 4 2 2 6" xfId="6398"/>
    <cellStyle name="20% - Accent3 2 4 2 2 6 2" xfId="10853"/>
    <cellStyle name="20% - Accent3 2 4 2 2 7" xfId="6955"/>
    <cellStyle name="20% - Accent3 2 4 2 3" xfId="2008"/>
    <cellStyle name="20% - Accent3 2 4 2 3 2" xfId="3007"/>
    <cellStyle name="20% - Accent3 2 4 2 3 2 2" xfId="5276"/>
    <cellStyle name="20% - Accent3 2 4 2 3 2 2 2" xfId="9740"/>
    <cellStyle name="20% - Accent3 2 4 2 3 2 3" xfId="7512"/>
    <cellStyle name="20% - Accent3 2 4 2 3 3" xfId="3590"/>
    <cellStyle name="20% - Accent3 2 4 2 3 3 2" xfId="4720"/>
    <cellStyle name="20% - Accent3 2 4 2 3 3 2 2" xfId="9184"/>
    <cellStyle name="20% - Accent3 2 4 2 3 3 3" xfId="8069"/>
    <cellStyle name="20% - Accent3 2 4 2 3 4" xfId="4163"/>
    <cellStyle name="20% - Accent3 2 4 2 3 4 2" xfId="8627"/>
    <cellStyle name="20% - Accent3 2 4 2 3 5" xfId="5833"/>
    <cellStyle name="20% - Accent3 2 4 2 3 5 2" xfId="10297"/>
    <cellStyle name="20% - Accent3 2 4 2 3 6" xfId="6399"/>
    <cellStyle name="20% - Accent3 2 4 2 3 6 2" xfId="10854"/>
    <cellStyle name="20% - Accent3 2 4 2 3 7" xfId="6956"/>
    <cellStyle name="20% - Accent3 2 4 2 4" xfId="3005"/>
    <cellStyle name="20% - Accent3 2 4 2 4 2" xfId="5274"/>
    <cellStyle name="20% - Accent3 2 4 2 4 2 2" xfId="9738"/>
    <cellStyle name="20% - Accent3 2 4 2 4 3" xfId="7510"/>
    <cellStyle name="20% - Accent3 2 4 2 5" xfId="3588"/>
    <cellStyle name="20% - Accent3 2 4 2 5 2" xfId="4718"/>
    <cellStyle name="20% - Accent3 2 4 2 5 2 2" xfId="9182"/>
    <cellStyle name="20% - Accent3 2 4 2 5 3" xfId="8067"/>
    <cellStyle name="20% - Accent3 2 4 2 6" xfId="4161"/>
    <cellStyle name="20% - Accent3 2 4 2 6 2" xfId="8625"/>
    <cellStyle name="20% - Accent3 2 4 2 7" xfId="5831"/>
    <cellStyle name="20% - Accent3 2 4 2 7 2" xfId="10295"/>
    <cellStyle name="20% - Accent3 2 4 2 8" xfId="6397"/>
    <cellStyle name="20% - Accent3 2 4 2 8 2" xfId="10852"/>
    <cellStyle name="20% - Accent3 2 4 2 9" xfId="6954"/>
    <cellStyle name="20% - Accent3 2 4 3" xfId="2009"/>
    <cellStyle name="20% - Accent3 2 4 3 2" xfId="2010"/>
    <cellStyle name="20% - Accent3 2 4 3 2 2" xfId="3009"/>
    <cellStyle name="20% - Accent3 2 4 3 2 2 2" xfId="5278"/>
    <cellStyle name="20% - Accent3 2 4 3 2 2 2 2" xfId="9742"/>
    <cellStyle name="20% - Accent3 2 4 3 2 2 3" xfId="7514"/>
    <cellStyle name="20% - Accent3 2 4 3 2 3" xfId="3592"/>
    <cellStyle name="20% - Accent3 2 4 3 2 3 2" xfId="4722"/>
    <cellStyle name="20% - Accent3 2 4 3 2 3 2 2" xfId="9186"/>
    <cellStyle name="20% - Accent3 2 4 3 2 3 3" xfId="8071"/>
    <cellStyle name="20% - Accent3 2 4 3 2 4" xfId="4165"/>
    <cellStyle name="20% - Accent3 2 4 3 2 4 2" xfId="8629"/>
    <cellStyle name="20% - Accent3 2 4 3 2 5" xfId="5835"/>
    <cellStyle name="20% - Accent3 2 4 3 2 5 2" xfId="10299"/>
    <cellStyle name="20% - Accent3 2 4 3 2 6" xfId="6401"/>
    <cellStyle name="20% - Accent3 2 4 3 2 6 2" xfId="10856"/>
    <cellStyle name="20% - Accent3 2 4 3 2 7" xfId="6958"/>
    <cellStyle name="20% - Accent3 2 4 3 3" xfId="2011"/>
    <cellStyle name="20% - Accent3 2 4 3 3 2" xfId="3010"/>
    <cellStyle name="20% - Accent3 2 4 3 3 2 2" xfId="5279"/>
    <cellStyle name="20% - Accent3 2 4 3 3 2 2 2" xfId="9743"/>
    <cellStyle name="20% - Accent3 2 4 3 3 2 3" xfId="7515"/>
    <cellStyle name="20% - Accent3 2 4 3 3 3" xfId="3593"/>
    <cellStyle name="20% - Accent3 2 4 3 3 3 2" xfId="4723"/>
    <cellStyle name="20% - Accent3 2 4 3 3 3 2 2" xfId="9187"/>
    <cellStyle name="20% - Accent3 2 4 3 3 3 3" xfId="8072"/>
    <cellStyle name="20% - Accent3 2 4 3 3 4" xfId="4166"/>
    <cellStyle name="20% - Accent3 2 4 3 3 4 2" xfId="8630"/>
    <cellStyle name="20% - Accent3 2 4 3 3 5" xfId="5836"/>
    <cellStyle name="20% - Accent3 2 4 3 3 5 2" xfId="10300"/>
    <cellStyle name="20% - Accent3 2 4 3 3 6" xfId="6402"/>
    <cellStyle name="20% - Accent3 2 4 3 3 6 2" xfId="10857"/>
    <cellStyle name="20% - Accent3 2 4 3 3 7" xfId="6959"/>
    <cellStyle name="20% - Accent3 2 4 3 4" xfId="3008"/>
    <cellStyle name="20% - Accent3 2 4 3 4 2" xfId="5277"/>
    <cellStyle name="20% - Accent3 2 4 3 4 2 2" xfId="9741"/>
    <cellStyle name="20% - Accent3 2 4 3 4 3" xfId="7513"/>
    <cellStyle name="20% - Accent3 2 4 3 5" xfId="3591"/>
    <cellStyle name="20% - Accent3 2 4 3 5 2" xfId="4721"/>
    <cellStyle name="20% - Accent3 2 4 3 5 2 2" xfId="9185"/>
    <cellStyle name="20% - Accent3 2 4 3 5 3" xfId="8070"/>
    <cellStyle name="20% - Accent3 2 4 3 6" xfId="4164"/>
    <cellStyle name="20% - Accent3 2 4 3 6 2" xfId="8628"/>
    <cellStyle name="20% - Accent3 2 4 3 7" xfId="5834"/>
    <cellStyle name="20% - Accent3 2 4 3 7 2" xfId="10298"/>
    <cellStyle name="20% - Accent3 2 4 3 8" xfId="6400"/>
    <cellStyle name="20% - Accent3 2 4 3 8 2" xfId="10855"/>
    <cellStyle name="20% - Accent3 2 4 3 9" xfId="6957"/>
    <cellStyle name="20% - Accent3 2 4 4" xfId="2012"/>
    <cellStyle name="20% - Accent3 2 4 4 2" xfId="3011"/>
    <cellStyle name="20% - Accent3 2 4 4 2 2" xfId="5280"/>
    <cellStyle name="20% - Accent3 2 4 4 2 2 2" xfId="9744"/>
    <cellStyle name="20% - Accent3 2 4 4 2 3" xfId="7516"/>
    <cellStyle name="20% - Accent3 2 4 4 3" xfId="3594"/>
    <cellStyle name="20% - Accent3 2 4 4 3 2" xfId="4724"/>
    <cellStyle name="20% - Accent3 2 4 4 3 2 2" xfId="9188"/>
    <cellStyle name="20% - Accent3 2 4 4 3 3" xfId="8073"/>
    <cellStyle name="20% - Accent3 2 4 4 4" xfId="4167"/>
    <cellStyle name="20% - Accent3 2 4 4 4 2" xfId="8631"/>
    <cellStyle name="20% - Accent3 2 4 4 5" xfId="5837"/>
    <cellStyle name="20% - Accent3 2 4 4 5 2" xfId="10301"/>
    <cellStyle name="20% - Accent3 2 4 4 6" xfId="6403"/>
    <cellStyle name="20% - Accent3 2 4 4 6 2" xfId="10858"/>
    <cellStyle name="20% - Accent3 2 4 4 7" xfId="6960"/>
    <cellStyle name="20% - Accent3 2 4 5" xfId="2013"/>
    <cellStyle name="20% - Accent3 2 4 5 2" xfId="3012"/>
    <cellStyle name="20% - Accent3 2 4 5 2 2" xfId="5281"/>
    <cellStyle name="20% - Accent3 2 4 5 2 2 2" xfId="9745"/>
    <cellStyle name="20% - Accent3 2 4 5 2 3" xfId="7517"/>
    <cellStyle name="20% - Accent3 2 4 5 3" xfId="3595"/>
    <cellStyle name="20% - Accent3 2 4 5 3 2" xfId="4725"/>
    <cellStyle name="20% - Accent3 2 4 5 3 2 2" xfId="9189"/>
    <cellStyle name="20% - Accent3 2 4 5 3 3" xfId="8074"/>
    <cellStyle name="20% - Accent3 2 4 5 4" xfId="4168"/>
    <cellStyle name="20% - Accent3 2 4 5 4 2" xfId="8632"/>
    <cellStyle name="20% - Accent3 2 4 5 5" xfId="5838"/>
    <cellStyle name="20% - Accent3 2 4 5 5 2" xfId="10302"/>
    <cellStyle name="20% - Accent3 2 4 5 6" xfId="6404"/>
    <cellStyle name="20% - Accent3 2 4 5 6 2" xfId="10859"/>
    <cellStyle name="20% - Accent3 2 4 5 7" xfId="6961"/>
    <cellStyle name="20% - Accent3 2 5" xfId="1251"/>
    <cellStyle name="20% - Accent3 2 5 2" xfId="2014"/>
    <cellStyle name="20% - Accent3 2 5 2 2" xfId="2015"/>
    <cellStyle name="20% - Accent3 2 5 2 2 2" xfId="3014"/>
    <cellStyle name="20% - Accent3 2 5 2 2 2 2" xfId="5283"/>
    <cellStyle name="20% - Accent3 2 5 2 2 2 2 2" xfId="9747"/>
    <cellStyle name="20% - Accent3 2 5 2 2 2 3" xfId="7519"/>
    <cellStyle name="20% - Accent3 2 5 2 2 3" xfId="3597"/>
    <cellStyle name="20% - Accent3 2 5 2 2 3 2" xfId="4727"/>
    <cellStyle name="20% - Accent3 2 5 2 2 3 2 2" xfId="9191"/>
    <cellStyle name="20% - Accent3 2 5 2 2 3 3" xfId="8076"/>
    <cellStyle name="20% - Accent3 2 5 2 2 4" xfId="4170"/>
    <cellStyle name="20% - Accent3 2 5 2 2 4 2" xfId="8634"/>
    <cellStyle name="20% - Accent3 2 5 2 2 5" xfId="5840"/>
    <cellStyle name="20% - Accent3 2 5 2 2 5 2" xfId="10304"/>
    <cellStyle name="20% - Accent3 2 5 2 2 6" xfId="6406"/>
    <cellStyle name="20% - Accent3 2 5 2 2 6 2" xfId="10861"/>
    <cellStyle name="20% - Accent3 2 5 2 2 7" xfId="6963"/>
    <cellStyle name="20% - Accent3 2 5 2 3" xfId="2016"/>
    <cellStyle name="20% - Accent3 2 5 2 3 2" xfId="3015"/>
    <cellStyle name="20% - Accent3 2 5 2 3 2 2" xfId="5284"/>
    <cellStyle name="20% - Accent3 2 5 2 3 2 2 2" xfId="9748"/>
    <cellStyle name="20% - Accent3 2 5 2 3 2 3" xfId="7520"/>
    <cellStyle name="20% - Accent3 2 5 2 3 3" xfId="3598"/>
    <cellStyle name="20% - Accent3 2 5 2 3 3 2" xfId="4728"/>
    <cellStyle name="20% - Accent3 2 5 2 3 3 2 2" xfId="9192"/>
    <cellStyle name="20% - Accent3 2 5 2 3 3 3" xfId="8077"/>
    <cellStyle name="20% - Accent3 2 5 2 3 4" xfId="4171"/>
    <cellStyle name="20% - Accent3 2 5 2 3 4 2" xfId="8635"/>
    <cellStyle name="20% - Accent3 2 5 2 3 5" xfId="5841"/>
    <cellStyle name="20% - Accent3 2 5 2 3 5 2" xfId="10305"/>
    <cellStyle name="20% - Accent3 2 5 2 3 6" xfId="6407"/>
    <cellStyle name="20% - Accent3 2 5 2 3 6 2" xfId="10862"/>
    <cellStyle name="20% - Accent3 2 5 2 3 7" xfId="6964"/>
    <cellStyle name="20% - Accent3 2 5 2 4" xfId="3013"/>
    <cellStyle name="20% - Accent3 2 5 2 4 2" xfId="5282"/>
    <cellStyle name="20% - Accent3 2 5 2 4 2 2" xfId="9746"/>
    <cellStyle name="20% - Accent3 2 5 2 4 3" xfId="7518"/>
    <cellStyle name="20% - Accent3 2 5 2 5" xfId="3596"/>
    <cellStyle name="20% - Accent3 2 5 2 5 2" xfId="4726"/>
    <cellStyle name="20% - Accent3 2 5 2 5 2 2" xfId="9190"/>
    <cellStyle name="20% - Accent3 2 5 2 5 3" xfId="8075"/>
    <cellStyle name="20% - Accent3 2 5 2 6" xfId="4169"/>
    <cellStyle name="20% - Accent3 2 5 2 6 2" xfId="8633"/>
    <cellStyle name="20% - Accent3 2 5 2 7" xfId="5839"/>
    <cellStyle name="20% - Accent3 2 5 2 7 2" xfId="10303"/>
    <cellStyle name="20% - Accent3 2 5 2 8" xfId="6405"/>
    <cellStyle name="20% - Accent3 2 5 2 8 2" xfId="10860"/>
    <cellStyle name="20% - Accent3 2 5 2 9" xfId="6962"/>
    <cellStyle name="20% - Accent3 2 5 3" xfId="2017"/>
    <cellStyle name="20% - Accent3 2 5 3 2" xfId="3016"/>
    <cellStyle name="20% - Accent3 2 5 3 2 2" xfId="5285"/>
    <cellStyle name="20% - Accent3 2 5 3 2 2 2" xfId="9749"/>
    <cellStyle name="20% - Accent3 2 5 3 2 3" xfId="7521"/>
    <cellStyle name="20% - Accent3 2 5 3 3" xfId="3599"/>
    <cellStyle name="20% - Accent3 2 5 3 3 2" xfId="4729"/>
    <cellStyle name="20% - Accent3 2 5 3 3 2 2" xfId="9193"/>
    <cellStyle name="20% - Accent3 2 5 3 3 3" xfId="8078"/>
    <cellStyle name="20% - Accent3 2 5 3 4" xfId="4172"/>
    <cellStyle name="20% - Accent3 2 5 3 4 2" xfId="8636"/>
    <cellStyle name="20% - Accent3 2 5 3 5" xfId="5842"/>
    <cellStyle name="20% - Accent3 2 5 3 5 2" xfId="10306"/>
    <cellStyle name="20% - Accent3 2 5 3 6" xfId="6408"/>
    <cellStyle name="20% - Accent3 2 5 3 6 2" xfId="10863"/>
    <cellStyle name="20% - Accent3 2 5 3 7" xfId="6965"/>
    <cellStyle name="20% - Accent3 2 5 4" xfId="2018"/>
    <cellStyle name="20% - Accent3 2 5 4 2" xfId="3017"/>
    <cellStyle name="20% - Accent3 2 5 4 2 2" xfId="5286"/>
    <cellStyle name="20% - Accent3 2 5 4 2 2 2" xfId="9750"/>
    <cellStyle name="20% - Accent3 2 5 4 2 3" xfId="7522"/>
    <cellStyle name="20% - Accent3 2 5 4 3" xfId="3600"/>
    <cellStyle name="20% - Accent3 2 5 4 3 2" xfId="4730"/>
    <cellStyle name="20% - Accent3 2 5 4 3 2 2" xfId="9194"/>
    <cellStyle name="20% - Accent3 2 5 4 3 3" xfId="8079"/>
    <cellStyle name="20% - Accent3 2 5 4 4" xfId="4173"/>
    <cellStyle name="20% - Accent3 2 5 4 4 2" xfId="8637"/>
    <cellStyle name="20% - Accent3 2 5 4 5" xfId="5843"/>
    <cellStyle name="20% - Accent3 2 5 4 5 2" xfId="10307"/>
    <cellStyle name="20% - Accent3 2 5 4 6" xfId="6409"/>
    <cellStyle name="20% - Accent3 2 5 4 6 2" xfId="10864"/>
    <cellStyle name="20% - Accent3 2 5 4 7" xfId="6966"/>
    <cellStyle name="20% - Accent3 2 6" xfId="1250"/>
    <cellStyle name="20% - Accent3 2 6 2" xfId="2019"/>
    <cellStyle name="20% - Accent3 2 6 2 2" xfId="3018"/>
    <cellStyle name="20% - Accent3 2 6 2 2 2" xfId="5287"/>
    <cellStyle name="20% - Accent3 2 6 2 2 2 2" xfId="9751"/>
    <cellStyle name="20% - Accent3 2 6 2 2 3" xfId="7523"/>
    <cellStyle name="20% - Accent3 2 6 2 3" xfId="3601"/>
    <cellStyle name="20% - Accent3 2 6 2 3 2" xfId="4731"/>
    <cellStyle name="20% - Accent3 2 6 2 3 2 2" xfId="9195"/>
    <cellStyle name="20% - Accent3 2 6 2 3 3" xfId="8080"/>
    <cellStyle name="20% - Accent3 2 6 2 4" xfId="4174"/>
    <cellStyle name="20% - Accent3 2 6 2 4 2" xfId="8638"/>
    <cellStyle name="20% - Accent3 2 6 2 5" xfId="5844"/>
    <cellStyle name="20% - Accent3 2 6 2 5 2" xfId="10308"/>
    <cellStyle name="20% - Accent3 2 6 2 6" xfId="6410"/>
    <cellStyle name="20% - Accent3 2 6 2 6 2" xfId="10865"/>
    <cellStyle name="20% - Accent3 2 6 2 7" xfId="6967"/>
    <cellStyle name="20% - Accent3 2 6 3" xfId="2020"/>
    <cellStyle name="20% - Accent3 2 6 3 2" xfId="3019"/>
    <cellStyle name="20% - Accent3 2 6 3 2 2" xfId="5288"/>
    <cellStyle name="20% - Accent3 2 6 3 2 2 2" xfId="9752"/>
    <cellStyle name="20% - Accent3 2 6 3 2 3" xfId="7524"/>
    <cellStyle name="20% - Accent3 2 6 3 3" xfId="3602"/>
    <cellStyle name="20% - Accent3 2 6 3 3 2" xfId="4732"/>
    <cellStyle name="20% - Accent3 2 6 3 3 2 2" xfId="9196"/>
    <cellStyle name="20% - Accent3 2 6 3 3 3" xfId="8081"/>
    <cellStyle name="20% - Accent3 2 6 3 4" xfId="4175"/>
    <cellStyle name="20% - Accent3 2 6 3 4 2" xfId="8639"/>
    <cellStyle name="20% - Accent3 2 6 3 5" xfId="5845"/>
    <cellStyle name="20% - Accent3 2 6 3 5 2" xfId="10309"/>
    <cellStyle name="20% - Accent3 2 6 3 6" xfId="6411"/>
    <cellStyle name="20% - Accent3 2 6 3 6 2" xfId="10866"/>
    <cellStyle name="20% - Accent3 2 6 3 7" xfId="6968"/>
    <cellStyle name="20% - Accent3 2 7" xfId="1729"/>
    <cellStyle name="20% - Accent3 2 7 2" xfId="2897"/>
    <cellStyle name="20% - Accent3 2 7 2 2" xfId="5166"/>
    <cellStyle name="20% - Accent3 2 7 2 2 2" xfId="9630"/>
    <cellStyle name="20% - Accent3 2 7 2 3" xfId="7402"/>
    <cellStyle name="20% - Accent3 2 7 3" xfId="3480"/>
    <cellStyle name="20% - Accent3 2 7 3 2" xfId="4610"/>
    <cellStyle name="20% - Accent3 2 7 3 2 2" xfId="9074"/>
    <cellStyle name="20% - Accent3 2 7 3 3" xfId="7959"/>
    <cellStyle name="20% - Accent3 2 7 4" xfId="4053"/>
    <cellStyle name="20% - Accent3 2 7 4 2" xfId="8517"/>
    <cellStyle name="20% - Accent3 2 7 5" xfId="5723"/>
    <cellStyle name="20% - Accent3 2 7 5 2" xfId="10187"/>
    <cellStyle name="20% - Accent3 2 7 6" xfId="6289"/>
    <cellStyle name="20% - Accent3 2 7 6 2" xfId="10744"/>
    <cellStyle name="20% - Accent3 2 7 7" xfId="6846"/>
    <cellStyle name="20% - Accent3 2 8" xfId="1828"/>
    <cellStyle name="20% - Accent3 2 8 2" xfId="2909"/>
    <cellStyle name="20% - Accent3 2 8 2 2" xfId="5178"/>
    <cellStyle name="20% - Accent3 2 8 2 2 2" xfId="9642"/>
    <cellStyle name="20% - Accent3 2 8 2 3" xfId="7414"/>
    <cellStyle name="20% - Accent3 2 8 3" xfId="3492"/>
    <cellStyle name="20% - Accent3 2 8 3 2" xfId="4622"/>
    <cellStyle name="20% - Accent3 2 8 3 2 2" xfId="9086"/>
    <cellStyle name="20% - Accent3 2 8 3 3" xfId="7971"/>
    <cellStyle name="20% - Accent3 2 8 4" xfId="4065"/>
    <cellStyle name="20% - Accent3 2 8 4 2" xfId="8529"/>
    <cellStyle name="20% - Accent3 2 8 5" xfId="5735"/>
    <cellStyle name="20% - Accent3 2 8 5 2" xfId="10199"/>
    <cellStyle name="20% - Accent3 2 8 6" xfId="6301"/>
    <cellStyle name="20% - Accent3 2 8 6 2" xfId="10756"/>
    <cellStyle name="20% - Accent3 2 8 7" xfId="6858"/>
    <cellStyle name="20% - Accent3 2 9" xfId="2021"/>
    <cellStyle name="20% - Accent3 20" xfId="1083"/>
    <cellStyle name="20% - Accent3 20 2" xfId="11954"/>
    <cellStyle name="20% - Accent3 21" xfId="11837"/>
    <cellStyle name="20% - Accent3 3" xfId="36"/>
    <cellStyle name="20% - Accent3 3 2" xfId="2022"/>
    <cellStyle name="20% - Accent3 3 3" xfId="2606"/>
    <cellStyle name="20% - Accent3 3 4" xfId="11379"/>
    <cellStyle name="20% - Accent3 3 5" xfId="1249"/>
    <cellStyle name="20% - Accent3 4" xfId="37"/>
    <cellStyle name="20% - Accent3 4 2" xfId="2772"/>
    <cellStyle name="20% - Accent3 4 3" xfId="11380"/>
    <cellStyle name="20% - Accent3 4 4" xfId="1158"/>
    <cellStyle name="20% - Accent3 5" xfId="38"/>
    <cellStyle name="20% - Accent3 5 2" xfId="11381"/>
    <cellStyle name="20% - Accent3 5 3" xfId="1664"/>
    <cellStyle name="20% - Accent3 6" xfId="39"/>
    <cellStyle name="20% - Accent3 6 2" xfId="11382"/>
    <cellStyle name="20% - Accent3 6 3" xfId="1827"/>
    <cellStyle name="20% - Accent3 7" xfId="40"/>
    <cellStyle name="20% - Accent3 8" xfId="41"/>
    <cellStyle name="20% - Accent3 9" xfId="42"/>
    <cellStyle name="20% - Accent4" xfId="953" builtinId="42" customBuiltin="1"/>
    <cellStyle name="20% - Accent4 10" xfId="43"/>
    <cellStyle name="20% - Accent4 11" xfId="44"/>
    <cellStyle name="20% - Accent4 12" xfId="45"/>
    <cellStyle name="20% - Accent4 13" xfId="46"/>
    <cellStyle name="20% - Accent4 14" xfId="47"/>
    <cellStyle name="20% - Accent4 15" xfId="48"/>
    <cellStyle name="20% - Accent4 16" xfId="673"/>
    <cellStyle name="20% - Accent4 17" xfId="995"/>
    <cellStyle name="20% - Accent4 17 2" xfId="11866"/>
    <cellStyle name="20% - Accent4 18" xfId="1024"/>
    <cellStyle name="20% - Accent4 18 2" xfId="11895"/>
    <cellStyle name="20% - Accent4 19" xfId="1070"/>
    <cellStyle name="20% - Accent4 19 2" xfId="11941"/>
    <cellStyle name="20% - Accent4 2" xfId="49"/>
    <cellStyle name="20% - Accent4 2 10" xfId="2023"/>
    <cellStyle name="20% - Accent4 2 10 2" xfId="3020"/>
    <cellStyle name="20% - Accent4 2 10 2 2" xfId="5289"/>
    <cellStyle name="20% - Accent4 2 10 2 2 2" xfId="9753"/>
    <cellStyle name="20% - Accent4 2 10 2 3" xfId="7525"/>
    <cellStyle name="20% - Accent4 2 10 3" xfId="3603"/>
    <cellStyle name="20% - Accent4 2 10 3 2" xfId="4733"/>
    <cellStyle name="20% - Accent4 2 10 3 2 2" xfId="9197"/>
    <cellStyle name="20% - Accent4 2 10 3 3" xfId="8082"/>
    <cellStyle name="20% - Accent4 2 10 4" xfId="4176"/>
    <cellStyle name="20% - Accent4 2 10 4 2" xfId="8640"/>
    <cellStyle name="20% - Accent4 2 10 5" xfId="5846"/>
    <cellStyle name="20% - Accent4 2 10 5 2" xfId="10310"/>
    <cellStyle name="20% - Accent4 2 10 6" xfId="6412"/>
    <cellStyle name="20% - Accent4 2 10 6 2" xfId="10867"/>
    <cellStyle name="20% - Accent4 2 10 7" xfId="6969"/>
    <cellStyle name="20% - Accent4 2 11" xfId="2578"/>
    <cellStyle name="20% - Accent4 2 12" xfId="11310"/>
    <cellStyle name="20% - Accent4 2 13" xfId="11339"/>
    <cellStyle name="20% - Accent4 2 14" xfId="1160"/>
    <cellStyle name="20% - Accent4 2 15" xfId="1135"/>
    <cellStyle name="20% - Accent4 2 2" xfId="729"/>
    <cellStyle name="20% - Accent4 2 2 2" xfId="1747"/>
    <cellStyle name="20% - Accent4 2 2 3" xfId="1162"/>
    <cellStyle name="20% - Accent4 2 2 4" xfId="11686"/>
    <cellStyle name="20% - Accent4 2 2 5" xfId="1165"/>
    <cellStyle name="20% - Accent4 2 3" xfId="1105"/>
    <cellStyle name="20% - Accent4 2 3 2" xfId="2024"/>
    <cellStyle name="20% - Accent4 2 3 2 10" xfId="6970"/>
    <cellStyle name="20% - Accent4 2 3 2 2" xfId="2025"/>
    <cellStyle name="20% - Accent4 2 3 2 2 2" xfId="2026"/>
    <cellStyle name="20% - Accent4 2 3 2 2 2 2" xfId="3023"/>
    <cellStyle name="20% - Accent4 2 3 2 2 2 2 2" xfId="5292"/>
    <cellStyle name="20% - Accent4 2 3 2 2 2 2 2 2" xfId="9756"/>
    <cellStyle name="20% - Accent4 2 3 2 2 2 2 3" xfId="7528"/>
    <cellStyle name="20% - Accent4 2 3 2 2 2 3" xfId="3606"/>
    <cellStyle name="20% - Accent4 2 3 2 2 2 3 2" xfId="4736"/>
    <cellStyle name="20% - Accent4 2 3 2 2 2 3 2 2" xfId="9200"/>
    <cellStyle name="20% - Accent4 2 3 2 2 2 3 3" xfId="8085"/>
    <cellStyle name="20% - Accent4 2 3 2 2 2 4" xfId="4179"/>
    <cellStyle name="20% - Accent4 2 3 2 2 2 4 2" xfId="8643"/>
    <cellStyle name="20% - Accent4 2 3 2 2 2 5" xfId="5849"/>
    <cellStyle name="20% - Accent4 2 3 2 2 2 5 2" xfId="10313"/>
    <cellStyle name="20% - Accent4 2 3 2 2 2 6" xfId="6415"/>
    <cellStyle name="20% - Accent4 2 3 2 2 2 6 2" xfId="10870"/>
    <cellStyle name="20% - Accent4 2 3 2 2 2 7" xfId="6972"/>
    <cellStyle name="20% - Accent4 2 3 2 2 3" xfId="2027"/>
    <cellStyle name="20% - Accent4 2 3 2 2 3 2" xfId="3024"/>
    <cellStyle name="20% - Accent4 2 3 2 2 3 2 2" xfId="5293"/>
    <cellStyle name="20% - Accent4 2 3 2 2 3 2 2 2" xfId="9757"/>
    <cellStyle name="20% - Accent4 2 3 2 2 3 2 3" xfId="7529"/>
    <cellStyle name="20% - Accent4 2 3 2 2 3 3" xfId="3607"/>
    <cellStyle name="20% - Accent4 2 3 2 2 3 3 2" xfId="4737"/>
    <cellStyle name="20% - Accent4 2 3 2 2 3 3 2 2" xfId="9201"/>
    <cellStyle name="20% - Accent4 2 3 2 2 3 3 3" xfId="8086"/>
    <cellStyle name="20% - Accent4 2 3 2 2 3 4" xfId="4180"/>
    <cellStyle name="20% - Accent4 2 3 2 2 3 4 2" xfId="8644"/>
    <cellStyle name="20% - Accent4 2 3 2 2 3 5" xfId="5850"/>
    <cellStyle name="20% - Accent4 2 3 2 2 3 5 2" xfId="10314"/>
    <cellStyle name="20% - Accent4 2 3 2 2 3 6" xfId="6416"/>
    <cellStyle name="20% - Accent4 2 3 2 2 3 6 2" xfId="10871"/>
    <cellStyle name="20% - Accent4 2 3 2 2 3 7" xfId="6973"/>
    <cellStyle name="20% - Accent4 2 3 2 2 4" xfId="3022"/>
    <cellStyle name="20% - Accent4 2 3 2 2 4 2" xfId="5291"/>
    <cellStyle name="20% - Accent4 2 3 2 2 4 2 2" xfId="9755"/>
    <cellStyle name="20% - Accent4 2 3 2 2 4 3" xfId="7527"/>
    <cellStyle name="20% - Accent4 2 3 2 2 5" xfId="3605"/>
    <cellStyle name="20% - Accent4 2 3 2 2 5 2" xfId="4735"/>
    <cellStyle name="20% - Accent4 2 3 2 2 5 2 2" xfId="9199"/>
    <cellStyle name="20% - Accent4 2 3 2 2 5 3" xfId="8084"/>
    <cellStyle name="20% - Accent4 2 3 2 2 6" xfId="4178"/>
    <cellStyle name="20% - Accent4 2 3 2 2 6 2" xfId="8642"/>
    <cellStyle name="20% - Accent4 2 3 2 2 7" xfId="5848"/>
    <cellStyle name="20% - Accent4 2 3 2 2 7 2" xfId="10312"/>
    <cellStyle name="20% - Accent4 2 3 2 2 8" xfId="6414"/>
    <cellStyle name="20% - Accent4 2 3 2 2 8 2" xfId="10869"/>
    <cellStyle name="20% - Accent4 2 3 2 2 9" xfId="6971"/>
    <cellStyle name="20% - Accent4 2 3 2 3" xfId="2028"/>
    <cellStyle name="20% - Accent4 2 3 2 3 2" xfId="3025"/>
    <cellStyle name="20% - Accent4 2 3 2 3 2 2" xfId="5294"/>
    <cellStyle name="20% - Accent4 2 3 2 3 2 2 2" xfId="9758"/>
    <cellStyle name="20% - Accent4 2 3 2 3 2 3" xfId="7530"/>
    <cellStyle name="20% - Accent4 2 3 2 3 3" xfId="3608"/>
    <cellStyle name="20% - Accent4 2 3 2 3 3 2" xfId="4738"/>
    <cellStyle name="20% - Accent4 2 3 2 3 3 2 2" xfId="9202"/>
    <cellStyle name="20% - Accent4 2 3 2 3 3 3" xfId="8087"/>
    <cellStyle name="20% - Accent4 2 3 2 3 4" xfId="4181"/>
    <cellStyle name="20% - Accent4 2 3 2 3 4 2" xfId="8645"/>
    <cellStyle name="20% - Accent4 2 3 2 3 5" xfId="5851"/>
    <cellStyle name="20% - Accent4 2 3 2 3 5 2" xfId="10315"/>
    <cellStyle name="20% - Accent4 2 3 2 3 6" xfId="6417"/>
    <cellStyle name="20% - Accent4 2 3 2 3 6 2" xfId="10872"/>
    <cellStyle name="20% - Accent4 2 3 2 3 7" xfId="6974"/>
    <cellStyle name="20% - Accent4 2 3 2 4" xfId="2029"/>
    <cellStyle name="20% - Accent4 2 3 2 4 2" xfId="3026"/>
    <cellStyle name="20% - Accent4 2 3 2 4 2 2" xfId="5295"/>
    <cellStyle name="20% - Accent4 2 3 2 4 2 2 2" xfId="9759"/>
    <cellStyle name="20% - Accent4 2 3 2 4 2 3" xfId="7531"/>
    <cellStyle name="20% - Accent4 2 3 2 4 3" xfId="3609"/>
    <cellStyle name="20% - Accent4 2 3 2 4 3 2" xfId="4739"/>
    <cellStyle name="20% - Accent4 2 3 2 4 3 2 2" xfId="9203"/>
    <cellStyle name="20% - Accent4 2 3 2 4 3 3" xfId="8088"/>
    <cellStyle name="20% - Accent4 2 3 2 4 4" xfId="4182"/>
    <cellStyle name="20% - Accent4 2 3 2 4 4 2" xfId="8646"/>
    <cellStyle name="20% - Accent4 2 3 2 4 5" xfId="5852"/>
    <cellStyle name="20% - Accent4 2 3 2 4 5 2" xfId="10316"/>
    <cellStyle name="20% - Accent4 2 3 2 4 6" xfId="6418"/>
    <cellStyle name="20% - Accent4 2 3 2 4 6 2" xfId="10873"/>
    <cellStyle name="20% - Accent4 2 3 2 4 7" xfId="6975"/>
    <cellStyle name="20% - Accent4 2 3 2 5" xfId="3021"/>
    <cellStyle name="20% - Accent4 2 3 2 5 2" xfId="5290"/>
    <cellStyle name="20% - Accent4 2 3 2 5 2 2" xfId="9754"/>
    <cellStyle name="20% - Accent4 2 3 2 5 3" xfId="7526"/>
    <cellStyle name="20% - Accent4 2 3 2 6" xfId="3604"/>
    <cellStyle name="20% - Accent4 2 3 2 6 2" xfId="4734"/>
    <cellStyle name="20% - Accent4 2 3 2 6 2 2" xfId="9198"/>
    <cellStyle name="20% - Accent4 2 3 2 6 3" xfId="8083"/>
    <cellStyle name="20% - Accent4 2 3 2 7" xfId="4177"/>
    <cellStyle name="20% - Accent4 2 3 2 7 2" xfId="8641"/>
    <cellStyle name="20% - Accent4 2 3 2 8" xfId="5847"/>
    <cellStyle name="20% - Accent4 2 3 2 8 2" xfId="10311"/>
    <cellStyle name="20% - Accent4 2 3 2 9" xfId="6413"/>
    <cellStyle name="20% - Accent4 2 3 2 9 2" xfId="10868"/>
    <cellStyle name="20% - Accent4 2 3 3" xfId="2030"/>
    <cellStyle name="20% - Accent4 2 3 3 2" xfId="2031"/>
    <cellStyle name="20% - Accent4 2 3 3 2 2" xfId="3028"/>
    <cellStyle name="20% - Accent4 2 3 3 2 2 2" xfId="5297"/>
    <cellStyle name="20% - Accent4 2 3 3 2 2 2 2" xfId="9761"/>
    <cellStyle name="20% - Accent4 2 3 3 2 2 3" xfId="7533"/>
    <cellStyle name="20% - Accent4 2 3 3 2 3" xfId="3611"/>
    <cellStyle name="20% - Accent4 2 3 3 2 3 2" xfId="4741"/>
    <cellStyle name="20% - Accent4 2 3 3 2 3 2 2" xfId="9205"/>
    <cellStyle name="20% - Accent4 2 3 3 2 3 3" xfId="8090"/>
    <cellStyle name="20% - Accent4 2 3 3 2 4" xfId="4184"/>
    <cellStyle name="20% - Accent4 2 3 3 2 4 2" xfId="8648"/>
    <cellStyle name="20% - Accent4 2 3 3 2 5" xfId="5854"/>
    <cellStyle name="20% - Accent4 2 3 3 2 5 2" xfId="10318"/>
    <cellStyle name="20% - Accent4 2 3 3 2 6" xfId="6420"/>
    <cellStyle name="20% - Accent4 2 3 3 2 6 2" xfId="10875"/>
    <cellStyle name="20% - Accent4 2 3 3 2 7" xfId="6977"/>
    <cellStyle name="20% - Accent4 2 3 3 3" xfId="2032"/>
    <cellStyle name="20% - Accent4 2 3 3 3 2" xfId="3029"/>
    <cellStyle name="20% - Accent4 2 3 3 3 2 2" xfId="5298"/>
    <cellStyle name="20% - Accent4 2 3 3 3 2 2 2" xfId="9762"/>
    <cellStyle name="20% - Accent4 2 3 3 3 2 3" xfId="7534"/>
    <cellStyle name="20% - Accent4 2 3 3 3 3" xfId="3612"/>
    <cellStyle name="20% - Accent4 2 3 3 3 3 2" xfId="4742"/>
    <cellStyle name="20% - Accent4 2 3 3 3 3 2 2" xfId="9206"/>
    <cellStyle name="20% - Accent4 2 3 3 3 3 3" xfId="8091"/>
    <cellStyle name="20% - Accent4 2 3 3 3 4" xfId="4185"/>
    <cellStyle name="20% - Accent4 2 3 3 3 4 2" xfId="8649"/>
    <cellStyle name="20% - Accent4 2 3 3 3 5" xfId="5855"/>
    <cellStyle name="20% - Accent4 2 3 3 3 5 2" xfId="10319"/>
    <cellStyle name="20% - Accent4 2 3 3 3 6" xfId="6421"/>
    <cellStyle name="20% - Accent4 2 3 3 3 6 2" xfId="10876"/>
    <cellStyle name="20% - Accent4 2 3 3 3 7" xfId="6978"/>
    <cellStyle name="20% - Accent4 2 3 3 4" xfId="3027"/>
    <cellStyle name="20% - Accent4 2 3 3 4 2" xfId="5296"/>
    <cellStyle name="20% - Accent4 2 3 3 4 2 2" xfId="9760"/>
    <cellStyle name="20% - Accent4 2 3 3 4 3" xfId="7532"/>
    <cellStyle name="20% - Accent4 2 3 3 5" xfId="3610"/>
    <cellStyle name="20% - Accent4 2 3 3 5 2" xfId="4740"/>
    <cellStyle name="20% - Accent4 2 3 3 5 2 2" xfId="9204"/>
    <cellStyle name="20% - Accent4 2 3 3 5 3" xfId="8089"/>
    <cellStyle name="20% - Accent4 2 3 3 6" xfId="4183"/>
    <cellStyle name="20% - Accent4 2 3 3 6 2" xfId="8647"/>
    <cellStyle name="20% - Accent4 2 3 3 7" xfId="5853"/>
    <cellStyle name="20% - Accent4 2 3 3 7 2" xfId="10317"/>
    <cellStyle name="20% - Accent4 2 3 3 8" xfId="6419"/>
    <cellStyle name="20% - Accent4 2 3 3 8 2" xfId="10874"/>
    <cellStyle name="20% - Accent4 2 3 3 9" xfId="6976"/>
    <cellStyle name="20% - Accent4 2 3 4" xfId="2033"/>
    <cellStyle name="20% - Accent4 2 3 4 2" xfId="3030"/>
    <cellStyle name="20% - Accent4 2 3 4 2 2" xfId="5299"/>
    <cellStyle name="20% - Accent4 2 3 4 2 2 2" xfId="9763"/>
    <cellStyle name="20% - Accent4 2 3 4 2 3" xfId="7535"/>
    <cellStyle name="20% - Accent4 2 3 4 3" xfId="3613"/>
    <cellStyle name="20% - Accent4 2 3 4 3 2" xfId="4743"/>
    <cellStyle name="20% - Accent4 2 3 4 3 2 2" xfId="9207"/>
    <cellStyle name="20% - Accent4 2 3 4 3 3" xfId="8092"/>
    <cellStyle name="20% - Accent4 2 3 4 4" xfId="4186"/>
    <cellStyle name="20% - Accent4 2 3 4 4 2" xfId="8650"/>
    <cellStyle name="20% - Accent4 2 3 4 5" xfId="5856"/>
    <cellStyle name="20% - Accent4 2 3 4 5 2" xfId="10320"/>
    <cellStyle name="20% - Accent4 2 3 4 6" xfId="6422"/>
    <cellStyle name="20% - Accent4 2 3 4 6 2" xfId="10877"/>
    <cellStyle name="20% - Accent4 2 3 4 7" xfId="6979"/>
    <cellStyle name="20% - Accent4 2 3 5" xfId="2034"/>
    <cellStyle name="20% - Accent4 2 3 5 2" xfId="3031"/>
    <cellStyle name="20% - Accent4 2 3 5 2 2" xfId="5300"/>
    <cellStyle name="20% - Accent4 2 3 5 2 2 2" xfId="9764"/>
    <cellStyle name="20% - Accent4 2 3 5 2 3" xfId="7536"/>
    <cellStyle name="20% - Accent4 2 3 5 3" xfId="3614"/>
    <cellStyle name="20% - Accent4 2 3 5 3 2" xfId="4744"/>
    <cellStyle name="20% - Accent4 2 3 5 3 2 2" xfId="9208"/>
    <cellStyle name="20% - Accent4 2 3 5 3 3" xfId="8093"/>
    <cellStyle name="20% - Accent4 2 3 5 4" xfId="4187"/>
    <cellStyle name="20% - Accent4 2 3 5 4 2" xfId="8651"/>
    <cellStyle name="20% - Accent4 2 3 5 5" xfId="5857"/>
    <cellStyle name="20% - Accent4 2 3 5 5 2" xfId="10321"/>
    <cellStyle name="20% - Accent4 2 3 5 6" xfId="6423"/>
    <cellStyle name="20% - Accent4 2 3 5 6 2" xfId="10878"/>
    <cellStyle name="20% - Accent4 2 3 5 7" xfId="6980"/>
    <cellStyle name="20% - Accent4 2 3 6" xfId="11970"/>
    <cellStyle name="20% - Accent4 2 3 7" xfId="1164"/>
    <cellStyle name="20% - Accent4 2 4" xfId="1166"/>
    <cellStyle name="20% - Accent4 2 4 2" xfId="2035"/>
    <cellStyle name="20% - Accent4 2 4 2 2" xfId="2036"/>
    <cellStyle name="20% - Accent4 2 4 2 2 2" xfId="3033"/>
    <cellStyle name="20% - Accent4 2 4 2 2 2 2" xfId="5302"/>
    <cellStyle name="20% - Accent4 2 4 2 2 2 2 2" xfId="9766"/>
    <cellStyle name="20% - Accent4 2 4 2 2 2 3" xfId="7538"/>
    <cellStyle name="20% - Accent4 2 4 2 2 3" xfId="3616"/>
    <cellStyle name="20% - Accent4 2 4 2 2 3 2" xfId="4746"/>
    <cellStyle name="20% - Accent4 2 4 2 2 3 2 2" xfId="9210"/>
    <cellStyle name="20% - Accent4 2 4 2 2 3 3" xfId="8095"/>
    <cellStyle name="20% - Accent4 2 4 2 2 4" xfId="4189"/>
    <cellStyle name="20% - Accent4 2 4 2 2 4 2" xfId="8653"/>
    <cellStyle name="20% - Accent4 2 4 2 2 5" xfId="5859"/>
    <cellStyle name="20% - Accent4 2 4 2 2 5 2" xfId="10323"/>
    <cellStyle name="20% - Accent4 2 4 2 2 6" xfId="6425"/>
    <cellStyle name="20% - Accent4 2 4 2 2 6 2" xfId="10880"/>
    <cellStyle name="20% - Accent4 2 4 2 2 7" xfId="6982"/>
    <cellStyle name="20% - Accent4 2 4 2 3" xfId="2037"/>
    <cellStyle name="20% - Accent4 2 4 2 3 2" xfId="3034"/>
    <cellStyle name="20% - Accent4 2 4 2 3 2 2" xfId="5303"/>
    <cellStyle name="20% - Accent4 2 4 2 3 2 2 2" xfId="9767"/>
    <cellStyle name="20% - Accent4 2 4 2 3 2 3" xfId="7539"/>
    <cellStyle name="20% - Accent4 2 4 2 3 3" xfId="3617"/>
    <cellStyle name="20% - Accent4 2 4 2 3 3 2" xfId="4747"/>
    <cellStyle name="20% - Accent4 2 4 2 3 3 2 2" xfId="9211"/>
    <cellStyle name="20% - Accent4 2 4 2 3 3 3" xfId="8096"/>
    <cellStyle name="20% - Accent4 2 4 2 3 4" xfId="4190"/>
    <cellStyle name="20% - Accent4 2 4 2 3 4 2" xfId="8654"/>
    <cellStyle name="20% - Accent4 2 4 2 3 5" xfId="5860"/>
    <cellStyle name="20% - Accent4 2 4 2 3 5 2" xfId="10324"/>
    <cellStyle name="20% - Accent4 2 4 2 3 6" xfId="6426"/>
    <cellStyle name="20% - Accent4 2 4 2 3 6 2" xfId="10881"/>
    <cellStyle name="20% - Accent4 2 4 2 3 7" xfId="6983"/>
    <cellStyle name="20% - Accent4 2 4 2 4" xfId="3032"/>
    <cellStyle name="20% - Accent4 2 4 2 4 2" xfId="5301"/>
    <cellStyle name="20% - Accent4 2 4 2 4 2 2" xfId="9765"/>
    <cellStyle name="20% - Accent4 2 4 2 4 3" xfId="7537"/>
    <cellStyle name="20% - Accent4 2 4 2 5" xfId="3615"/>
    <cellStyle name="20% - Accent4 2 4 2 5 2" xfId="4745"/>
    <cellStyle name="20% - Accent4 2 4 2 5 2 2" xfId="9209"/>
    <cellStyle name="20% - Accent4 2 4 2 5 3" xfId="8094"/>
    <cellStyle name="20% - Accent4 2 4 2 6" xfId="4188"/>
    <cellStyle name="20% - Accent4 2 4 2 6 2" xfId="8652"/>
    <cellStyle name="20% - Accent4 2 4 2 7" xfId="5858"/>
    <cellStyle name="20% - Accent4 2 4 2 7 2" xfId="10322"/>
    <cellStyle name="20% - Accent4 2 4 2 8" xfId="6424"/>
    <cellStyle name="20% - Accent4 2 4 2 8 2" xfId="10879"/>
    <cellStyle name="20% - Accent4 2 4 2 9" xfId="6981"/>
    <cellStyle name="20% - Accent4 2 4 3" xfId="2038"/>
    <cellStyle name="20% - Accent4 2 4 3 2" xfId="2039"/>
    <cellStyle name="20% - Accent4 2 4 3 2 2" xfId="3036"/>
    <cellStyle name="20% - Accent4 2 4 3 2 2 2" xfId="5305"/>
    <cellStyle name="20% - Accent4 2 4 3 2 2 2 2" xfId="9769"/>
    <cellStyle name="20% - Accent4 2 4 3 2 2 3" xfId="7541"/>
    <cellStyle name="20% - Accent4 2 4 3 2 3" xfId="3619"/>
    <cellStyle name="20% - Accent4 2 4 3 2 3 2" xfId="4749"/>
    <cellStyle name="20% - Accent4 2 4 3 2 3 2 2" xfId="9213"/>
    <cellStyle name="20% - Accent4 2 4 3 2 3 3" xfId="8098"/>
    <cellStyle name="20% - Accent4 2 4 3 2 4" xfId="4192"/>
    <cellStyle name="20% - Accent4 2 4 3 2 4 2" xfId="8656"/>
    <cellStyle name="20% - Accent4 2 4 3 2 5" xfId="5862"/>
    <cellStyle name="20% - Accent4 2 4 3 2 5 2" xfId="10326"/>
    <cellStyle name="20% - Accent4 2 4 3 2 6" xfId="6428"/>
    <cellStyle name="20% - Accent4 2 4 3 2 6 2" xfId="10883"/>
    <cellStyle name="20% - Accent4 2 4 3 2 7" xfId="6985"/>
    <cellStyle name="20% - Accent4 2 4 3 3" xfId="2040"/>
    <cellStyle name="20% - Accent4 2 4 3 3 2" xfId="3037"/>
    <cellStyle name="20% - Accent4 2 4 3 3 2 2" xfId="5306"/>
    <cellStyle name="20% - Accent4 2 4 3 3 2 2 2" xfId="9770"/>
    <cellStyle name="20% - Accent4 2 4 3 3 2 3" xfId="7542"/>
    <cellStyle name="20% - Accent4 2 4 3 3 3" xfId="3620"/>
    <cellStyle name="20% - Accent4 2 4 3 3 3 2" xfId="4750"/>
    <cellStyle name="20% - Accent4 2 4 3 3 3 2 2" xfId="9214"/>
    <cellStyle name="20% - Accent4 2 4 3 3 3 3" xfId="8099"/>
    <cellStyle name="20% - Accent4 2 4 3 3 4" xfId="4193"/>
    <cellStyle name="20% - Accent4 2 4 3 3 4 2" xfId="8657"/>
    <cellStyle name="20% - Accent4 2 4 3 3 5" xfId="5863"/>
    <cellStyle name="20% - Accent4 2 4 3 3 5 2" xfId="10327"/>
    <cellStyle name="20% - Accent4 2 4 3 3 6" xfId="6429"/>
    <cellStyle name="20% - Accent4 2 4 3 3 6 2" xfId="10884"/>
    <cellStyle name="20% - Accent4 2 4 3 3 7" xfId="6986"/>
    <cellStyle name="20% - Accent4 2 4 3 4" xfId="3035"/>
    <cellStyle name="20% - Accent4 2 4 3 4 2" xfId="5304"/>
    <cellStyle name="20% - Accent4 2 4 3 4 2 2" xfId="9768"/>
    <cellStyle name="20% - Accent4 2 4 3 4 3" xfId="7540"/>
    <cellStyle name="20% - Accent4 2 4 3 5" xfId="3618"/>
    <cellStyle name="20% - Accent4 2 4 3 5 2" xfId="4748"/>
    <cellStyle name="20% - Accent4 2 4 3 5 2 2" xfId="9212"/>
    <cellStyle name="20% - Accent4 2 4 3 5 3" xfId="8097"/>
    <cellStyle name="20% - Accent4 2 4 3 6" xfId="4191"/>
    <cellStyle name="20% - Accent4 2 4 3 6 2" xfId="8655"/>
    <cellStyle name="20% - Accent4 2 4 3 7" xfId="5861"/>
    <cellStyle name="20% - Accent4 2 4 3 7 2" xfId="10325"/>
    <cellStyle name="20% - Accent4 2 4 3 8" xfId="6427"/>
    <cellStyle name="20% - Accent4 2 4 3 8 2" xfId="10882"/>
    <cellStyle name="20% - Accent4 2 4 3 9" xfId="6984"/>
    <cellStyle name="20% - Accent4 2 4 4" xfId="2041"/>
    <cellStyle name="20% - Accent4 2 4 4 2" xfId="3038"/>
    <cellStyle name="20% - Accent4 2 4 4 2 2" xfId="5307"/>
    <cellStyle name="20% - Accent4 2 4 4 2 2 2" xfId="9771"/>
    <cellStyle name="20% - Accent4 2 4 4 2 3" xfId="7543"/>
    <cellStyle name="20% - Accent4 2 4 4 3" xfId="3621"/>
    <cellStyle name="20% - Accent4 2 4 4 3 2" xfId="4751"/>
    <cellStyle name="20% - Accent4 2 4 4 3 2 2" xfId="9215"/>
    <cellStyle name="20% - Accent4 2 4 4 3 3" xfId="8100"/>
    <cellStyle name="20% - Accent4 2 4 4 4" xfId="4194"/>
    <cellStyle name="20% - Accent4 2 4 4 4 2" xfId="8658"/>
    <cellStyle name="20% - Accent4 2 4 4 5" xfId="5864"/>
    <cellStyle name="20% - Accent4 2 4 4 5 2" xfId="10328"/>
    <cellStyle name="20% - Accent4 2 4 4 6" xfId="6430"/>
    <cellStyle name="20% - Accent4 2 4 4 6 2" xfId="10885"/>
    <cellStyle name="20% - Accent4 2 4 4 7" xfId="6987"/>
    <cellStyle name="20% - Accent4 2 4 5" xfId="2042"/>
    <cellStyle name="20% - Accent4 2 4 5 2" xfId="3039"/>
    <cellStyle name="20% - Accent4 2 4 5 2 2" xfId="5308"/>
    <cellStyle name="20% - Accent4 2 4 5 2 2 2" xfId="9772"/>
    <cellStyle name="20% - Accent4 2 4 5 2 3" xfId="7544"/>
    <cellStyle name="20% - Accent4 2 4 5 3" xfId="3622"/>
    <cellStyle name="20% - Accent4 2 4 5 3 2" xfId="4752"/>
    <cellStyle name="20% - Accent4 2 4 5 3 2 2" xfId="9216"/>
    <cellStyle name="20% - Accent4 2 4 5 3 3" xfId="8101"/>
    <cellStyle name="20% - Accent4 2 4 5 4" xfId="4195"/>
    <cellStyle name="20% - Accent4 2 4 5 4 2" xfId="8659"/>
    <cellStyle name="20% - Accent4 2 4 5 5" xfId="5865"/>
    <cellStyle name="20% - Accent4 2 4 5 5 2" xfId="10329"/>
    <cellStyle name="20% - Accent4 2 4 5 6" xfId="6431"/>
    <cellStyle name="20% - Accent4 2 4 5 6 2" xfId="10886"/>
    <cellStyle name="20% - Accent4 2 4 5 7" xfId="6988"/>
    <cellStyle name="20% - Accent4 2 5" xfId="1168"/>
    <cellStyle name="20% - Accent4 2 5 2" xfId="2043"/>
    <cellStyle name="20% - Accent4 2 5 2 2" xfId="2044"/>
    <cellStyle name="20% - Accent4 2 5 2 2 2" xfId="3041"/>
    <cellStyle name="20% - Accent4 2 5 2 2 2 2" xfId="5310"/>
    <cellStyle name="20% - Accent4 2 5 2 2 2 2 2" xfId="9774"/>
    <cellStyle name="20% - Accent4 2 5 2 2 2 3" xfId="7546"/>
    <cellStyle name="20% - Accent4 2 5 2 2 3" xfId="3624"/>
    <cellStyle name="20% - Accent4 2 5 2 2 3 2" xfId="4754"/>
    <cellStyle name="20% - Accent4 2 5 2 2 3 2 2" xfId="9218"/>
    <cellStyle name="20% - Accent4 2 5 2 2 3 3" xfId="8103"/>
    <cellStyle name="20% - Accent4 2 5 2 2 4" xfId="4197"/>
    <cellStyle name="20% - Accent4 2 5 2 2 4 2" xfId="8661"/>
    <cellStyle name="20% - Accent4 2 5 2 2 5" xfId="5867"/>
    <cellStyle name="20% - Accent4 2 5 2 2 5 2" xfId="10331"/>
    <cellStyle name="20% - Accent4 2 5 2 2 6" xfId="6433"/>
    <cellStyle name="20% - Accent4 2 5 2 2 6 2" xfId="10888"/>
    <cellStyle name="20% - Accent4 2 5 2 2 7" xfId="6990"/>
    <cellStyle name="20% - Accent4 2 5 2 3" xfId="2045"/>
    <cellStyle name="20% - Accent4 2 5 2 3 2" xfId="3042"/>
    <cellStyle name="20% - Accent4 2 5 2 3 2 2" xfId="5311"/>
    <cellStyle name="20% - Accent4 2 5 2 3 2 2 2" xfId="9775"/>
    <cellStyle name="20% - Accent4 2 5 2 3 2 3" xfId="7547"/>
    <cellStyle name="20% - Accent4 2 5 2 3 3" xfId="3625"/>
    <cellStyle name="20% - Accent4 2 5 2 3 3 2" xfId="4755"/>
    <cellStyle name="20% - Accent4 2 5 2 3 3 2 2" xfId="9219"/>
    <cellStyle name="20% - Accent4 2 5 2 3 3 3" xfId="8104"/>
    <cellStyle name="20% - Accent4 2 5 2 3 4" xfId="4198"/>
    <cellStyle name="20% - Accent4 2 5 2 3 4 2" xfId="8662"/>
    <cellStyle name="20% - Accent4 2 5 2 3 5" xfId="5868"/>
    <cellStyle name="20% - Accent4 2 5 2 3 5 2" xfId="10332"/>
    <cellStyle name="20% - Accent4 2 5 2 3 6" xfId="6434"/>
    <cellStyle name="20% - Accent4 2 5 2 3 6 2" xfId="10889"/>
    <cellStyle name="20% - Accent4 2 5 2 3 7" xfId="6991"/>
    <cellStyle name="20% - Accent4 2 5 2 4" xfId="3040"/>
    <cellStyle name="20% - Accent4 2 5 2 4 2" xfId="5309"/>
    <cellStyle name="20% - Accent4 2 5 2 4 2 2" xfId="9773"/>
    <cellStyle name="20% - Accent4 2 5 2 4 3" xfId="7545"/>
    <cellStyle name="20% - Accent4 2 5 2 5" xfId="3623"/>
    <cellStyle name="20% - Accent4 2 5 2 5 2" xfId="4753"/>
    <cellStyle name="20% - Accent4 2 5 2 5 2 2" xfId="9217"/>
    <cellStyle name="20% - Accent4 2 5 2 5 3" xfId="8102"/>
    <cellStyle name="20% - Accent4 2 5 2 6" xfId="4196"/>
    <cellStyle name="20% - Accent4 2 5 2 6 2" xfId="8660"/>
    <cellStyle name="20% - Accent4 2 5 2 7" xfId="5866"/>
    <cellStyle name="20% - Accent4 2 5 2 7 2" xfId="10330"/>
    <cellStyle name="20% - Accent4 2 5 2 8" xfId="6432"/>
    <cellStyle name="20% - Accent4 2 5 2 8 2" xfId="10887"/>
    <cellStyle name="20% - Accent4 2 5 2 9" xfId="6989"/>
    <cellStyle name="20% - Accent4 2 5 3" xfId="2046"/>
    <cellStyle name="20% - Accent4 2 5 3 2" xfId="3043"/>
    <cellStyle name="20% - Accent4 2 5 3 2 2" xfId="5312"/>
    <cellStyle name="20% - Accent4 2 5 3 2 2 2" xfId="9776"/>
    <cellStyle name="20% - Accent4 2 5 3 2 3" xfId="7548"/>
    <cellStyle name="20% - Accent4 2 5 3 3" xfId="3626"/>
    <cellStyle name="20% - Accent4 2 5 3 3 2" xfId="4756"/>
    <cellStyle name="20% - Accent4 2 5 3 3 2 2" xfId="9220"/>
    <cellStyle name="20% - Accent4 2 5 3 3 3" xfId="8105"/>
    <cellStyle name="20% - Accent4 2 5 3 4" xfId="4199"/>
    <cellStyle name="20% - Accent4 2 5 3 4 2" xfId="8663"/>
    <cellStyle name="20% - Accent4 2 5 3 5" xfId="5869"/>
    <cellStyle name="20% - Accent4 2 5 3 5 2" xfId="10333"/>
    <cellStyle name="20% - Accent4 2 5 3 6" xfId="6435"/>
    <cellStyle name="20% - Accent4 2 5 3 6 2" xfId="10890"/>
    <cellStyle name="20% - Accent4 2 5 3 7" xfId="6992"/>
    <cellStyle name="20% - Accent4 2 5 4" xfId="2047"/>
    <cellStyle name="20% - Accent4 2 5 4 2" xfId="3044"/>
    <cellStyle name="20% - Accent4 2 5 4 2 2" xfId="5313"/>
    <cellStyle name="20% - Accent4 2 5 4 2 2 2" xfId="9777"/>
    <cellStyle name="20% - Accent4 2 5 4 2 3" xfId="7549"/>
    <cellStyle name="20% - Accent4 2 5 4 3" xfId="3627"/>
    <cellStyle name="20% - Accent4 2 5 4 3 2" xfId="4757"/>
    <cellStyle name="20% - Accent4 2 5 4 3 2 2" xfId="9221"/>
    <cellStyle name="20% - Accent4 2 5 4 3 3" xfId="8106"/>
    <cellStyle name="20% - Accent4 2 5 4 4" xfId="4200"/>
    <cellStyle name="20% - Accent4 2 5 4 4 2" xfId="8664"/>
    <cellStyle name="20% - Accent4 2 5 4 5" xfId="5870"/>
    <cellStyle name="20% - Accent4 2 5 4 5 2" xfId="10334"/>
    <cellStyle name="20% - Accent4 2 5 4 6" xfId="6436"/>
    <cellStyle name="20% - Accent4 2 5 4 6 2" xfId="10891"/>
    <cellStyle name="20% - Accent4 2 5 4 7" xfId="6993"/>
    <cellStyle name="20% - Accent4 2 6" xfId="1170"/>
    <cellStyle name="20% - Accent4 2 6 2" xfId="2048"/>
    <cellStyle name="20% - Accent4 2 6 2 2" xfId="3045"/>
    <cellStyle name="20% - Accent4 2 6 2 2 2" xfId="5314"/>
    <cellStyle name="20% - Accent4 2 6 2 2 2 2" xfId="9778"/>
    <cellStyle name="20% - Accent4 2 6 2 2 3" xfId="7550"/>
    <cellStyle name="20% - Accent4 2 6 2 3" xfId="3628"/>
    <cellStyle name="20% - Accent4 2 6 2 3 2" xfId="4758"/>
    <cellStyle name="20% - Accent4 2 6 2 3 2 2" xfId="9222"/>
    <cellStyle name="20% - Accent4 2 6 2 3 3" xfId="8107"/>
    <cellStyle name="20% - Accent4 2 6 2 4" xfId="4201"/>
    <cellStyle name="20% - Accent4 2 6 2 4 2" xfId="8665"/>
    <cellStyle name="20% - Accent4 2 6 2 5" xfId="5871"/>
    <cellStyle name="20% - Accent4 2 6 2 5 2" xfId="10335"/>
    <cellStyle name="20% - Accent4 2 6 2 6" xfId="6437"/>
    <cellStyle name="20% - Accent4 2 6 2 6 2" xfId="10892"/>
    <cellStyle name="20% - Accent4 2 6 2 7" xfId="6994"/>
    <cellStyle name="20% - Accent4 2 6 3" xfId="2049"/>
    <cellStyle name="20% - Accent4 2 6 3 2" xfId="3046"/>
    <cellStyle name="20% - Accent4 2 6 3 2 2" xfId="5315"/>
    <cellStyle name="20% - Accent4 2 6 3 2 2 2" xfId="9779"/>
    <cellStyle name="20% - Accent4 2 6 3 2 3" xfId="7551"/>
    <cellStyle name="20% - Accent4 2 6 3 3" xfId="3629"/>
    <cellStyle name="20% - Accent4 2 6 3 3 2" xfId="4759"/>
    <cellStyle name="20% - Accent4 2 6 3 3 2 2" xfId="9223"/>
    <cellStyle name="20% - Accent4 2 6 3 3 3" xfId="8108"/>
    <cellStyle name="20% - Accent4 2 6 3 4" xfId="4202"/>
    <cellStyle name="20% - Accent4 2 6 3 4 2" xfId="8666"/>
    <cellStyle name="20% - Accent4 2 6 3 5" xfId="5872"/>
    <cellStyle name="20% - Accent4 2 6 3 5 2" xfId="10336"/>
    <cellStyle name="20% - Accent4 2 6 3 6" xfId="6438"/>
    <cellStyle name="20% - Accent4 2 6 3 6 2" xfId="10893"/>
    <cellStyle name="20% - Accent4 2 6 3 7" xfId="6995"/>
    <cellStyle name="20% - Accent4 2 7" xfId="1733"/>
    <cellStyle name="20% - Accent4 2 7 2" xfId="2899"/>
    <cellStyle name="20% - Accent4 2 7 2 2" xfId="5168"/>
    <cellStyle name="20% - Accent4 2 7 2 2 2" xfId="9632"/>
    <cellStyle name="20% - Accent4 2 7 2 3" xfId="7404"/>
    <cellStyle name="20% - Accent4 2 7 3" xfId="3482"/>
    <cellStyle name="20% - Accent4 2 7 3 2" xfId="4612"/>
    <cellStyle name="20% - Accent4 2 7 3 2 2" xfId="9076"/>
    <cellStyle name="20% - Accent4 2 7 3 3" xfId="7961"/>
    <cellStyle name="20% - Accent4 2 7 4" xfId="4055"/>
    <cellStyle name="20% - Accent4 2 7 4 2" xfId="8519"/>
    <cellStyle name="20% - Accent4 2 7 5" xfId="5725"/>
    <cellStyle name="20% - Accent4 2 7 5 2" xfId="10189"/>
    <cellStyle name="20% - Accent4 2 7 6" xfId="6291"/>
    <cellStyle name="20% - Accent4 2 7 6 2" xfId="10746"/>
    <cellStyle name="20% - Accent4 2 7 7" xfId="6848"/>
    <cellStyle name="20% - Accent4 2 8" xfId="1830"/>
    <cellStyle name="20% - Accent4 2 8 2" xfId="2910"/>
    <cellStyle name="20% - Accent4 2 8 2 2" xfId="5179"/>
    <cellStyle name="20% - Accent4 2 8 2 2 2" xfId="9643"/>
    <cellStyle name="20% - Accent4 2 8 2 3" xfId="7415"/>
    <cellStyle name="20% - Accent4 2 8 3" xfId="3493"/>
    <cellStyle name="20% - Accent4 2 8 3 2" xfId="4623"/>
    <cellStyle name="20% - Accent4 2 8 3 2 2" xfId="9087"/>
    <cellStyle name="20% - Accent4 2 8 3 3" xfId="7972"/>
    <cellStyle name="20% - Accent4 2 8 4" xfId="4066"/>
    <cellStyle name="20% - Accent4 2 8 4 2" xfId="8530"/>
    <cellStyle name="20% - Accent4 2 8 5" xfId="5736"/>
    <cellStyle name="20% - Accent4 2 8 5 2" xfId="10200"/>
    <cellStyle name="20% - Accent4 2 8 6" xfId="6302"/>
    <cellStyle name="20% - Accent4 2 8 6 2" xfId="10757"/>
    <cellStyle name="20% - Accent4 2 8 7" xfId="6859"/>
    <cellStyle name="20% - Accent4 2 9" xfId="2050"/>
    <cellStyle name="20% - Accent4 20" xfId="1085"/>
    <cellStyle name="20% - Accent4 20 2" xfId="11956"/>
    <cellStyle name="20% - Accent4 21" xfId="11839"/>
    <cellStyle name="20% - Accent4 3" xfId="50"/>
    <cellStyle name="20% - Accent4 3 2" xfId="2051"/>
    <cellStyle name="20% - Accent4 3 3" xfId="2607"/>
    <cellStyle name="20% - Accent4 3 4" xfId="11383"/>
    <cellStyle name="20% - Accent4 3 5" xfId="1172"/>
    <cellStyle name="20% - Accent4 4" xfId="51"/>
    <cellStyle name="20% - Accent4 4 2" xfId="2773"/>
    <cellStyle name="20% - Accent4 4 3" xfId="11384"/>
    <cellStyle name="20% - Accent4 4 4" xfId="1174"/>
    <cellStyle name="20% - Accent4 5" xfId="52"/>
    <cellStyle name="20% - Accent4 5 2" xfId="11385"/>
    <cellStyle name="20% - Accent4 5 3" xfId="1665"/>
    <cellStyle name="20% - Accent4 6" xfId="53"/>
    <cellStyle name="20% - Accent4 6 2" xfId="11386"/>
    <cellStyle name="20% - Accent4 6 3" xfId="1829"/>
    <cellStyle name="20% - Accent4 7" xfId="54"/>
    <cellStyle name="20% - Accent4 8" xfId="55"/>
    <cellStyle name="20% - Accent4 9" xfId="56"/>
    <cellStyle name="20% - Accent5" xfId="957" builtinId="46" customBuiltin="1"/>
    <cellStyle name="20% - Accent5 10" xfId="57"/>
    <cellStyle name="20% - Accent5 11" xfId="58"/>
    <cellStyle name="20% - Accent5 12" xfId="59"/>
    <cellStyle name="20% - Accent5 13" xfId="60"/>
    <cellStyle name="20% - Accent5 14" xfId="61"/>
    <cellStyle name="20% - Accent5 15" xfId="62"/>
    <cellStyle name="20% - Accent5 16" xfId="674"/>
    <cellStyle name="20% - Accent5 17" xfId="997"/>
    <cellStyle name="20% - Accent5 17 2" xfId="11868"/>
    <cellStyle name="20% - Accent5 18" xfId="1027"/>
    <cellStyle name="20% - Accent5 18 2" xfId="11898"/>
    <cellStyle name="20% - Accent5 19" xfId="1072"/>
    <cellStyle name="20% - Accent5 19 2" xfId="11943"/>
    <cellStyle name="20% - Accent5 2" xfId="63"/>
    <cellStyle name="20% - Accent5 2 10" xfId="2052"/>
    <cellStyle name="20% - Accent5 2 10 2" xfId="3047"/>
    <cellStyle name="20% - Accent5 2 10 2 2" xfId="5316"/>
    <cellStyle name="20% - Accent5 2 10 2 2 2" xfId="9780"/>
    <cellStyle name="20% - Accent5 2 10 2 3" xfId="7552"/>
    <cellStyle name="20% - Accent5 2 10 3" xfId="3630"/>
    <cellStyle name="20% - Accent5 2 10 3 2" xfId="4760"/>
    <cellStyle name="20% - Accent5 2 10 3 2 2" xfId="9224"/>
    <cellStyle name="20% - Accent5 2 10 3 3" xfId="8109"/>
    <cellStyle name="20% - Accent5 2 10 4" xfId="4203"/>
    <cellStyle name="20% - Accent5 2 10 4 2" xfId="8667"/>
    <cellStyle name="20% - Accent5 2 10 5" xfId="5873"/>
    <cellStyle name="20% - Accent5 2 10 5 2" xfId="10337"/>
    <cellStyle name="20% - Accent5 2 10 6" xfId="6439"/>
    <cellStyle name="20% - Accent5 2 10 6 2" xfId="10894"/>
    <cellStyle name="20% - Accent5 2 10 7" xfId="6996"/>
    <cellStyle name="20% - Accent5 2 11" xfId="2579"/>
    <cellStyle name="20% - Accent5 2 12" xfId="11312"/>
    <cellStyle name="20% - Accent5 2 13" xfId="11341"/>
    <cellStyle name="20% - Accent5 2 14" xfId="1176"/>
    <cellStyle name="20% - Accent5 2 15" xfId="1137"/>
    <cellStyle name="20% - Accent5 2 2" xfId="733"/>
    <cellStyle name="20% - Accent5 2 2 2" xfId="1748"/>
    <cellStyle name="20% - Accent5 2 2 3" xfId="1178"/>
    <cellStyle name="20% - Accent5 2 2 4" xfId="11690"/>
    <cellStyle name="20% - Accent5 2 2 5" xfId="1167"/>
    <cellStyle name="20% - Accent5 2 3" xfId="1107"/>
    <cellStyle name="20% - Accent5 2 3 2" xfId="2053"/>
    <cellStyle name="20% - Accent5 2 3 2 10" xfId="6997"/>
    <cellStyle name="20% - Accent5 2 3 2 2" xfId="2054"/>
    <cellStyle name="20% - Accent5 2 3 2 2 2" xfId="2055"/>
    <cellStyle name="20% - Accent5 2 3 2 2 2 2" xfId="3050"/>
    <cellStyle name="20% - Accent5 2 3 2 2 2 2 2" xfId="5319"/>
    <cellStyle name="20% - Accent5 2 3 2 2 2 2 2 2" xfId="9783"/>
    <cellStyle name="20% - Accent5 2 3 2 2 2 2 3" xfId="7555"/>
    <cellStyle name="20% - Accent5 2 3 2 2 2 3" xfId="3633"/>
    <cellStyle name="20% - Accent5 2 3 2 2 2 3 2" xfId="4763"/>
    <cellStyle name="20% - Accent5 2 3 2 2 2 3 2 2" xfId="9227"/>
    <cellStyle name="20% - Accent5 2 3 2 2 2 3 3" xfId="8112"/>
    <cellStyle name="20% - Accent5 2 3 2 2 2 4" xfId="4206"/>
    <cellStyle name="20% - Accent5 2 3 2 2 2 4 2" xfId="8670"/>
    <cellStyle name="20% - Accent5 2 3 2 2 2 5" xfId="5876"/>
    <cellStyle name="20% - Accent5 2 3 2 2 2 5 2" xfId="10340"/>
    <cellStyle name="20% - Accent5 2 3 2 2 2 6" xfId="6442"/>
    <cellStyle name="20% - Accent5 2 3 2 2 2 6 2" xfId="10897"/>
    <cellStyle name="20% - Accent5 2 3 2 2 2 7" xfId="6999"/>
    <cellStyle name="20% - Accent5 2 3 2 2 3" xfId="2056"/>
    <cellStyle name="20% - Accent5 2 3 2 2 3 2" xfId="3051"/>
    <cellStyle name="20% - Accent5 2 3 2 2 3 2 2" xfId="5320"/>
    <cellStyle name="20% - Accent5 2 3 2 2 3 2 2 2" xfId="9784"/>
    <cellStyle name="20% - Accent5 2 3 2 2 3 2 3" xfId="7556"/>
    <cellStyle name="20% - Accent5 2 3 2 2 3 3" xfId="3634"/>
    <cellStyle name="20% - Accent5 2 3 2 2 3 3 2" xfId="4764"/>
    <cellStyle name="20% - Accent5 2 3 2 2 3 3 2 2" xfId="9228"/>
    <cellStyle name="20% - Accent5 2 3 2 2 3 3 3" xfId="8113"/>
    <cellStyle name="20% - Accent5 2 3 2 2 3 4" xfId="4207"/>
    <cellStyle name="20% - Accent5 2 3 2 2 3 4 2" xfId="8671"/>
    <cellStyle name="20% - Accent5 2 3 2 2 3 5" xfId="5877"/>
    <cellStyle name="20% - Accent5 2 3 2 2 3 5 2" xfId="10341"/>
    <cellStyle name="20% - Accent5 2 3 2 2 3 6" xfId="6443"/>
    <cellStyle name="20% - Accent5 2 3 2 2 3 6 2" xfId="10898"/>
    <cellStyle name="20% - Accent5 2 3 2 2 3 7" xfId="7000"/>
    <cellStyle name="20% - Accent5 2 3 2 2 4" xfId="3049"/>
    <cellStyle name="20% - Accent5 2 3 2 2 4 2" xfId="5318"/>
    <cellStyle name="20% - Accent5 2 3 2 2 4 2 2" xfId="9782"/>
    <cellStyle name="20% - Accent5 2 3 2 2 4 3" xfId="7554"/>
    <cellStyle name="20% - Accent5 2 3 2 2 5" xfId="3632"/>
    <cellStyle name="20% - Accent5 2 3 2 2 5 2" xfId="4762"/>
    <cellStyle name="20% - Accent5 2 3 2 2 5 2 2" xfId="9226"/>
    <cellStyle name="20% - Accent5 2 3 2 2 5 3" xfId="8111"/>
    <cellStyle name="20% - Accent5 2 3 2 2 6" xfId="4205"/>
    <cellStyle name="20% - Accent5 2 3 2 2 6 2" xfId="8669"/>
    <cellStyle name="20% - Accent5 2 3 2 2 7" xfId="5875"/>
    <cellStyle name="20% - Accent5 2 3 2 2 7 2" xfId="10339"/>
    <cellStyle name="20% - Accent5 2 3 2 2 8" xfId="6441"/>
    <cellStyle name="20% - Accent5 2 3 2 2 8 2" xfId="10896"/>
    <cellStyle name="20% - Accent5 2 3 2 2 9" xfId="6998"/>
    <cellStyle name="20% - Accent5 2 3 2 3" xfId="2057"/>
    <cellStyle name="20% - Accent5 2 3 2 3 2" xfId="3052"/>
    <cellStyle name="20% - Accent5 2 3 2 3 2 2" xfId="5321"/>
    <cellStyle name="20% - Accent5 2 3 2 3 2 2 2" xfId="9785"/>
    <cellStyle name="20% - Accent5 2 3 2 3 2 3" xfId="7557"/>
    <cellStyle name="20% - Accent5 2 3 2 3 3" xfId="3635"/>
    <cellStyle name="20% - Accent5 2 3 2 3 3 2" xfId="4765"/>
    <cellStyle name="20% - Accent5 2 3 2 3 3 2 2" xfId="9229"/>
    <cellStyle name="20% - Accent5 2 3 2 3 3 3" xfId="8114"/>
    <cellStyle name="20% - Accent5 2 3 2 3 4" xfId="4208"/>
    <cellStyle name="20% - Accent5 2 3 2 3 4 2" xfId="8672"/>
    <cellStyle name="20% - Accent5 2 3 2 3 5" xfId="5878"/>
    <cellStyle name="20% - Accent5 2 3 2 3 5 2" xfId="10342"/>
    <cellStyle name="20% - Accent5 2 3 2 3 6" xfId="6444"/>
    <cellStyle name="20% - Accent5 2 3 2 3 6 2" xfId="10899"/>
    <cellStyle name="20% - Accent5 2 3 2 3 7" xfId="7001"/>
    <cellStyle name="20% - Accent5 2 3 2 4" xfId="2058"/>
    <cellStyle name="20% - Accent5 2 3 2 4 2" xfId="3053"/>
    <cellStyle name="20% - Accent5 2 3 2 4 2 2" xfId="5322"/>
    <cellStyle name="20% - Accent5 2 3 2 4 2 2 2" xfId="9786"/>
    <cellStyle name="20% - Accent5 2 3 2 4 2 3" xfId="7558"/>
    <cellStyle name="20% - Accent5 2 3 2 4 3" xfId="3636"/>
    <cellStyle name="20% - Accent5 2 3 2 4 3 2" xfId="4766"/>
    <cellStyle name="20% - Accent5 2 3 2 4 3 2 2" xfId="9230"/>
    <cellStyle name="20% - Accent5 2 3 2 4 3 3" xfId="8115"/>
    <cellStyle name="20% - Accent5 2 3 2 4 4" xfId="4209"/>
    <cellStyle name="20% - Accent5 2 3 2 4 4 2" xfId="8673"/>
    <cellStyle name="20% - Accent5 2 3 2 4 5" xfId="5879"/>
    <cellStyle name="20% - Accent5 2 3 2 4 5 2" xfId="10343"/>
    <cellStyle name="20% - Accent5 2 3 2 4 6" xfId="6445"/>
    <cellStyle name="20% - Accent5 2 3 2 4 6 2" xfId="10900"/>
    <cellStyle name="20% - Accent5 2 3 2 4 7" xfId="7002"/>
    <cellStyle name="20% - Accent5 2 3 2 5" xfId="3048"/>
    <cellStyle name="20% - Accent5 2 3 2 5 2" xfId="5317"/>
    <cellStyle name="20% - Accent5 2 3 2 5 2 2" xfId="9781"/>
    <cellStyle name="20% - Accent5 2 3 2 5 3" xfId="7553"/>
    <cellStyle name="20% - Accent5 2 3 2 6" xfId="3631"/>
    <cellStyle name="20% - Accent5 2 3 2 6 2" xfId="4761"/>
    <cellStyle name="20% - Accent5 2 3 2 6 2 2" xfId="9225"/>
    <cellStyle name="20% - Accent5 2 3 2 6 3" xfId="8110"/>
    <cellStyle name="20% - Accent5 2 3 2 7" xfId="4204"/>
    <cellStyle name="20% - Accent5 2 3 2 7 2" xfId="8668"/>
    <cellStyle name="20% - Accent5 2 3 2 8" xfId="5874"/>
    <cellStyle name="20% - Accent5 2 3 2 8 2" xfId="10338"/>
    <cellStyle name="20% - Accent5 2 3 2 9" xfId="6440"/>
    <cellStyle name="20% - Accent5 2 3 2 9 2" xfId="10895"/>
    <cellStyle name="20% - Accent5 2 3 3" xfId="2059"/>
    <cellStyle name="20% - Accent5 2 3 3 2" xfId="2060"/>
    <cellStyle name="20% - Accent5 2 3 3 2 2" xfId="3055"/>
    <cellStyle name="20% - Accent5 2 3 3 2 2 2" xfId="5324"/>
    <cellStyle name="20% - Accent5 2 3 3 2 2 2 2" xfId="9788"/>
    <cellStyle name="20% - Accent5 2 3 3 2 2 3" xfId="7560"/>
    <cellStyle name="20% - Accent5 2 3 3 2 3" xfId="3638"/>
    <cellStyle name="20% - Accent5 2 3 3 2 3 2" xfId="4768"/>
    <cellStyle name="20% - Accent5 2 3 3 2 3 2 2" xfId="9232"/>
    <cellStyle name="20% - Accent5 2 3 3 2 3 3" xfId="8117"/>
    <cellStyle name="20% - Accent5 2 3 3 2 4" xfId="4211"/>
    <cellStyle name="20% - Accent5 2 3 3 2 4 2" xfId="8675"/>
    <cellStyle name="20% - Accent5 2 3 3 2 5" xfId="5881"/>
    <cellStyle name="20% - Accent5 2 3 3 2 5 2" xfId="10345"/>
    <cellStyle name="20% - Accent5 2 3 3 2 6" xfId="6447"/>
    <cellStyle name="20% - Accent5 2 3 3 2 6 2" xfId="10902"/>
    <cellStyle name="20% - Accent5 2 3 3 2 7" xfId="7004"/>
    <cellStyle name="20% - Accent5 2 3 3 3" xfId="2061"/>
    <cellStyle name="20% - Accent5 2 3 3 3 2" xfId="3056"/>
    <cellStyle name="20% - Accent5 2 3 3 3 2 2" xfId="5325"/>
    <cellStyle name="20% - Accent5 2 3 3 3 2 2 2" xfId="9789"/>
    <cellStyle name="20% - Accent5 2 3 3 3 2 3" xfId="7561"/>
    <cellStyle name="20% - Accent5 2 3 3 3 3" xfId="3639"/>
    <cellStyle name="20% - Accent5 2 3 3 3 3 2" xfId="4769"/>
    <cellStyle name="20% - Accent5 2 3 3 3 3 2 2" xfId="9233"/>
    <cellStyle name="20% - Accent5 2 3 3 3 3 3" xfId="8118"/>
    <cellStyle name="20% - Accent5 2 3 3 3 4" xfId="4212"/>
    <cellStyle name="20% - Accent5 2 3 3 3 4 2" xfId="8676"/>
    <cellStyle name="20% - Accent5 2 3 3 3 5" xfId="5882"/>
    <cellStyle name="20% - Accent5 2 3 3 3 5 2" xfId="10346"/>
    <cellStyle name="20% - Accent5 2 3 3 3 6" xfId="6448"/>
    <cellStyle name="20% - Accent5 2 3 3 3 6 2" xfId="10903"/>
    <cellStyle name="20% - Accent5 2 3 3 3 7" xfId="7005"/>
    <cellStyle name="20% - Accent5 2 3 3 4" xfId="3054"/>
    <cellStyle name="20% - Accent5 2 3 3 4 2" xfId="5323"/>
    <cellStyle name="20% - Accent5 2 3 3 4 2 2" xfId="9787"/>
    <cellStyle name="20% - Accent5 2 3 3 4 3" xfId="7559"/>
    <cellStyle name="20% - Accent5 2 3 3 5" xfId="3637"/>
    <cellStyle name="20% - Accent5 2 3 3 5 2" xfId="4767"/>
    <cellStyle name="20% - Accent5 2 3 3 5 2 2" xfId="9231"/>
    <cellStyle name="20% - Accent5 2 3 3 5 3" xfId="8116"/>
    <cellStyle name="20% - Accent5 2 3 3 6" xfId="4210"/>
    <cellStyle name="20% - Accent5 2 3 3 6 2" xfId="8674"/>
    <cellStyle name="20% - Accent5 2 3 3 7" xfId="5880"/>
    <cellStyle name="20% - Accent5 2 3 3 7 2" xfId="10344"/>
    <cellStyle name="20% - Accent5 2 3 3 8" xfId="6446"/>
    <cellStyle name="20% - Accent5 2 3 3 8 2" xfId="10901"/>
    <cellStyle name="20% - Accent5 2 3 3 9" xfId="7003"/>
    <cellStyle name="20% - Accent5 2 3 4" xfId="2062"/>
    <cellStyle name="20% - Accent5 2 3 4 2" xfId="3057"/>
    <cellStyle name="20% - Accent5 2 3 4 2 2" xfId="5326"/>
    <cellStyle name="20% - Accent5 2 3 4 2 2 2" xfId="9790"/>
    <cellStyle name="20% - Accent5 2 3 4 2 3" xfId="7562"/>
    <cellStyle name="20% - Accent5 2 3 4 3" xfId="3640"/>
    <cellStyle name="20% - Accent5 2 3 4 3 2" xfId="4770"/>
    <cellStyle name="20% - Accent5 2 3 4 3 2 2" xfId="9234"/>
    <cellStyle name="20% - Accent5 2 3 4 3 3" xfId="8119"/>
    <cellStyle name="20% - Accent5 2 3 4 4" xfId="4213"/>
    <cellStyle name="20% - Accent5 2 3 4 4 2" xfId="8677"/>
    <cellStyle name="20% - Accent5 2 3 4 5" xfId="5883"/>
    <cellStyle name="20% - Accent5 2 3 4 5 2" xfId="10347"/>
    <cellStyle name="20% - Accent5 2 3 4 6" xfId="6449"/>
    <cellStyle name="20% - Accent5 2 3 4 6 2" xfId="10904"/>
    <cellStyle name="20% - Accent5 2 3 4 7" xfId="7006"/>
    <cellStyle name="20% - Accent5 2 3 5" xfId="2063"/>
    <cellStyle name="20% - Accent5 2 3 5 2" xfId="3058"/>
    <cellStyle name="20% - Accent5 2 3 5 2 2" xfId="5327"/>
    <cellStyle name="20% - Accent5 2 3 5 2 2 2" xfId="9791"/>
    <cellStyle name="20% - Accent5 2 3 5 2 3" xfId="7563"/>
    <cellStyle name="20% - Accent5 2 3 5 3" xfId="3641"/>
    <cellStyle name="20% - Accent5 2 3 5 3 2" xfId="4771"/>
    <cellStyle name="20% - Accent5 2 3 5 3 2 2" xfId="9235"/>
    <cellStyle name="20% - Accent5 2 3 5 3 3" xfId="8120"/>
    <cellStyle name="20% - Accent5 2 3 5 4" xfId="4214"/>
    <cellStyle name="20% - Accent5 2 3 5 4 2" xfId="8678"/>
    <cellStyle name="20% - Accent5 2 3 5 5" xfId="5884"/>
    <cellStyle name="20% - Accent5 2 3 5 5 2" xfId="10348"/>
    <cellStyle name="20% - Accent5 2 3 5 6" xfId="6450"/>
    <cellStyle name="20% - Accent5 2 3 5 6 2" xfId="10905"/>
    <cellStyle name="20% - Accent5 2 3 5 7" xfId="7007"/>
    <cellStyle name="20% - Accent5 2 3 6" xfId="11972"/>
    <cellStyle name="20% - Accent5 2 3 7" xfId="1180"/>
    <cellStyle name="20% - Accent5 2 4" xfId="1182"/>
    <cellStyle name="20% - Accent5 2 4 2" xfId="2064"/>
    <cellStyle name="20% - Accent5 2 4 2 2" xfId="2065"/>
    <cellStyle name="20% - Accent5 2 4 2 2 2" xfId="3060"/>
    <cellStyle name="20% - Accent5 2 4 2 2 2 2" xfId="5329"/>
    <cellStyle name="20% - Accent5 2 4 2 2 2 2 2" xfId="9793"/>
    <cellStyle name="20% - Accent5 2 4 2 2 2 3" xfId="7565"/>
    <cellStyle name="20% - Accent5 2 4 2 2 3" xfId="3643"/>
    <cellStyle name="20% - Accent5 2 4 2 2 3 2" xfId="4773"/>
    <cellStyle name="20% - Accent5 2 4 2 2 3 2 2" xfId="9237"/>
    <cellStyle name="20% - Accent5 2 4 2 2 3 3" xfId="8122"/>
    <cellStyle name="20% - Accent5 2 4 2 2 4" xfId="4216"/>
    <cellStyle name="20% - Accent5 2 4 2 2 4 2" xfId="8680"/>
    <cellStyle name="20% - Accent5 2 4 2 2 5" xfId="5886"/>
    <cellStyle name="20% - Accent5 2 4 2 2 5 2" xfId="10350"/>
    <cellStyle name="20% - Accent5 2 4 2 2 6" xfId="6452"/>
    <cellStyle name="20% - Accent5 2 4 2 2 6 2" xfId="10907"/>
    <cellStyle name="20% - Accent5 2 4 2 2 7" xfId="7009"/>
    <cellStyle name="20% - Accent5 2 4 2 3" xfId="2066"/>
    <cellStyle name="20% - Accent5 2 4 2 3 2" xfId="3061"/>
    <cellStyle name="20% - Accent5 2 4 2 3 2 2" xfId="5330"/>
    <cellStyle name="20% - Accent5 2 4 2 3 2 2 2" xfId="9794"/>
    <cellStyle name="20% - Accent5 2 4 2 3 2 3" xfId="7566"/>
    <cellStyle name="20% - Accent5 2 4 2 3 3" xfId="3644"/>
    <cellStyle name="20% - Accent5 2 4 2 3 3 2" xfId="4774"/>
    <cellStyle name="20% - Accent5 2 4 2 3 3 2 2" xfId="9238"/>
    <cellStyle name="20% - Accent5 2 4 2 3 3 3" xfId="8123"/>
    <cellStyle name="20% - Accent5 2 4 2 3 4" xfId="4217"/>
    <cellStyle name="20% - Accent5 2 4 2 3 4 2" xfId="8681"/>
    <cellStyle name="20% - Accent5 2 4 2 3 5" xfId="5887"/>
    <cellStyle name="20% - Accent5 2 4 2 3 5 2" xfId="10351"/>
    <cellStyle name="20% - Accent5 2 4 2 3 6" xfId="6453"/>
    <cellStyle name="20% - Accent5 2 4 2 3 6 2" xfId="10908"/>
    <cellStyle name="20% - Accent5 2 4 2 3 7" xfId="7010"/>
    <cellStyle name="20% - Accent5 2 4 2 4" xfId="3059"/>
    <cellStyle name="20% - Accent5 2 4 2 4 2" xfId="5328"/>
    <cellStyle name="20% - Accent5 2 4 2 4 2 2" xfId="9792"/>
    <cellStyle name="20% - Accent5 2 4 2 4 3" xfId="7564"/>
    <cellStyle name="20% - Accent5 2 4 2 5" xfId="3642"/>
    <cellStyle name="20% - Accent5 2 4 2 5 2" xfId="4772"/>
    <cellStyle name="20% - Accent5 2 4 2 5 2 2" xfId="9236"/>
    <cellStyle name="20% - Accent5 2 4 2 5 3" xfId="8121"/>
    <cellStyle name="20% - Accent5 2 4 2 6" xfId="4215"/>
    <cellStyle name="20% - Accent5 2 4 2 6 2" xfId="8679"/>
    <cellStyle name="20% - Accent5 2 4 2 7" xfId="5885"/>
    <cellStyle name="20% - Accent5 2 4 2 7 2" xfId="10349"/>
    <cellStyle name="20% - Accent5 2 4 2 8" xfId="6451"/>
    <cellStyle name="20% - Accent5 2 4 2 8 2" xfId="10906"/>
    <cellStyle name="20% - Accent5 2 4 2 9" xfId="7008"/>
    <cellStyle name="20% - Accent5 2 4 3" xfId="2067"/>
    <cellStyle name="20% - Accent5 2 4 3 2" xfId="2068"/>
    <cellStyle name="20% - Accent5 2 4 3 2 2" xfId="3063"/>
    <cellStyle name="20% - Accent5 2 4 3 2 2 2" xfId="5332"/>
    <cellStyle name="20% - Accent5 2 4 3 2 2 2 2" xfId="9796"/>
    <cellStyle name="20% - Accent5 2 4 3 2 2 3" xfId="7568"/>
    <cellStyle name="20% - Accent5 2 4 3 2 3" xfId="3646"/>
    <cellStyle name="20% - Accent5 2 4 3 2 3 2" xfId="4776"/>
    <cellStyle name="20% - Accent5 2 4 3 2 3 2 2" xfId="9240"/>
    <cellStyle name="20% - Accent5 2 4 3 2 3 3" xfId="8125"/>
    <cellStyle name="20% - Accent5 2 4 3 2 4" xfId="4219"/>
    <cellStyle name="20% - Accent5 2 4 3 2 4 2" xfId="8683"/>
    <cellStyle name="20% - Accent5 2 4 3 2 5" xfId="5889"/>
    <cellStyle name="20% - Accent5 2 4 3 2 5 2" xfId="10353"/>
    <cellStyle name="20% - Accent5 2 4 3 2 6" xfId="6455"/>
    <cellStyle name="20% - Accent5 2 4 3 2 6 2" xfId="10910"/>
    <cellStyle name="20% - Accent5 2 4 3 2 7" xfId="7012"/>
    <cellStyle name="20% - Accent5 2 4 3 3" xfId="2069"/>
    <cellStyle name="20% - Accent5 2 4 3 3 2" xfId="3064"/>
    <cellStyle name="20% - Accent5 2 4 3 3 2 2" xfId="5333"/>
    <cellStyle name="20% - Accent5 2 4 3 3 2 2 2" xfId="9797"/>
    <cellStyle name="20% - Accent5 2 4 3 3 2 3" xfId="7569"/>
    <cellStyle name="20% - Accent5 2 4 3 3 3" xfId="3647"/>
    <cellStyle name="20% - Accent5 2 4 3 3 3 2" xfId="4777"/>
    <cellStyle name="20% - Accent5 2 4 3 3 3 2 2" xfId="9241"/>
    <cellStyle name="20% - Accent5 2 4 3 3 3 3" xfId="8126"/>
    <cellStyle name="20% - Accent5 2 4 3 3 4" xfId="4220"/>
    <cellStyle name="20% - Accent5 2 4 3 3 4 2" xfId="8684"/>
    <cellStyle name="20% - Accent5 2 4 3 3 5" xfId="5890"/>
    <cellStyle name="20% - Accent5 2 4 3 3 5 2" xfId="10354"/>
    <cellStyle name="20% - Accent5 2 4 3 3 6" xfId="6456"/>
    <cellStyle name="20% - Accent5 2 4 3 3 6 2" xfId="10911"/>
    <cellStyle name="20% - Accent5 2 4 3 3 7" xfId="7013"/>
    <cellStyle name="20% - Accent5 2 4 3 4" xfId="3062"/>
    <cellStyle name="20% - Accent5 2 4 3 4 2" xfId="5331"/>
    <cellStyle name="20% - Accent5 2 4 3 4 2 2" xfId="9795"/>
    <cellStyle name="20% - Accent5 2 4 3 4 3" xfId="7567"/>
    <cellStyle name="20% - Accent5 2 4 3 5" xfId="3645"/>
    <cellStyle name="20% - Accent5 2 4 3 5 2" xfId="4775"/>
    <cellStyle name="20% - Accent5 2 4 3 5 2 2" xfId="9239"/>
    <cellStyle name="20% - Accent5 2 4 3 5 3" xfId="8124"/>
    <cellStyle name="20% - Accent5 2 4 3 6" xfId="4218"/>
    <cellStyle name="20% - Accent5 2 4 3 6 2" xfId="8682"/>
    <cellStyle name="20% - Accent5 2 4 3 7" xfId="5888"/>
    <cellStyle name="20% - Accent5 2 4 3 7 2" xfId="10352"/>
    <cellStyle name="20% - Accent5 2 4 3 8" xfId="6454"/>
    <cellStyle name="20% - Accent5 2 4 3 8 2" xfId="10909"/>
    <cellStyle name="20% - Accent5 2 4 3 9" xfId="7011"/>
    <cellStyle name="20% - Accent5 2 4 4" xfId="2070"/>
    <cellStyle name="20% - Accent5 2 4 4 2" xfId="3065"/>
    <cellStyle name="20% - Accent5 2 4 4 2 2" xfId="5334"/>
    <cellStyle name="20% - Accent5 2 4 4 2 2 2" xfId="9798"/>
    <cellStyle name="20% - Accent5 2 4 4 2 3" xfId="7570"/>
    <cellStyle name="20% - Accent5 2 4 4 3" xfId="3648"/>
    <cellStyle name="20% - Accent5 2 4 4 3 2" xfId="4778"/>
    <cellStyle name="20% - Accent5 2 4 4 3 2 2" xfId="9242"/>
    <cellStyle name="20% - Accent5 2 4 4 3 3" xfId="8127"/>
    <cellStyle name="20% - Accent5 2 4 4 4" xfId="4221"/>
    <cellStyle name="20% - Accent5 2 4 4 4 2" xfId="8685"/>
    <cellStyle name="20% - Accent5 2 4 4 5" xfId="5891"/>
    <cellStyle name="20% - Accent5 2 4 4 5 2" xfId="10355"/>
    <cellStyle name="20% - Accent5 2 4 4 6" xfId="6457"/>
    <cellStyle name="20% - Accent5 2 4 4 6 2" xfId="10912"/>
    <cellStyle name="20% - Accent5 2 4 4 7" xfId="7014"/>
    <cellStyle name="20% - Accent5 2 4 5" xfId="2071"/>
    <cellStyle name="20% - Accent5 2 4 5 2" xfId="3066"/>
    <cellStyle name="20% - Accent5 2 4 5 2 2" xfId="5335"/>
    <cellStyle name="20% - Accent5 2 4 5 2 2 2" xfId="9799"/>
    <cellStyle name="20% - Accent5 2 4 5 2 3" xfId="7571"/>
    <cellStyle name="20% - Accent5 2 4 5 3" xfId="3649"/>
    <cellStyle name="20% - Accent5 2 4 5 3 2" xfId="4779"/>
    <cellStyle name="20% - Accent5 2 4 5 3 2 2" xfId="9243"/>
    <cellStyle name="20% - Accent5 2 4 5 3 3" xfId="8128"/>
    <cellStyle name="20% - Accent5 2 4 5 4" xfId="4222"/>
    <cellStyle name="20% - Accent5 2 4 5 4 2" xfId="8686"/>
    <cellStyle name="20% - Accent5 2 4 5 5" xfId="5892"/>
    <cellStyle name="20% - Accent5 2 4 5 5 2" xfId="10356"/>
    <cellStyle name="20% - Accent5 2 4 5 6" xfId="6458"/>
    <cellStyle name="20% - Accent5 2 4 5 6 2" xfId="10913"/>
    <cellStyle name="20% - Accent5 2 4 5 7" xfId="7015"/>
    <cellStyle name="20% - Accent5 2 5" xfId="1184"/>
    <cellStyle name="20% - Accent5 2 5 2" xfId="2072"/>
    <cellStyle name="20% - Accent5 2 5 2 2" xfId="2073"/>
    <cellStyle name="20% - Accent5 2 5 2 2 2" xfId="3068"/>
    <cellStyle name="20% - Accent5 2 5 2 2 2 2" xfId="5337"/>
    <cellStyle name="20% - Accent5 2 5 2 2 2 2 2" xfId="9801"/>
    <cellStyle name="20% - Accent5 2 5 2 2 2 3" xfId="7573"/>
    <cellStyle name="20% - Accent5 2 5 2 2 3" xfId="3651"/>
    <cellStyle name="20% - Accent5 2 5 2 2 3 2" xfId="4781"/>
    <cellStyle name="20% - Accent5 2 5 2 2 3 2 2" xfId="9245"/>
    <cellStyle name="20% - Accent5 2 5 2 2 3 3" xfId="8130"/>
    <cellStyle name="20% - Accent5 2 5 2 2 4" xfId="4224"/>
    <cellStyle name="20% - Accent5 2 5 2 2 4 2" xfId="8688"/>
    <cellStyle name="20% - Accent5 2 5 2 2 5" xfId="5894"/>
    <cellStyle name="20% - Accent5 2 5 2 2 5 2" xfId="10358"/>
    <cellStyle name="20% - Accent5 2 5 2 2 6" xfId="6460"/>
    <cellStyle name="20% - Accent5 2 5 2 2 6 2" xfId="10915"/>
    <cellStyle name="20% - Accent5 2 5 2 2 7" xfId="7017"/>
    <cellStyle name="20% - Accent5 2 5 2 3" xfId="2074"/>
    <cellStyle name="20% - Accent5 2 5 2 3 2" xfId="3069"/>
    <cellStyle name="20% - Accent5 2 5 2 3 2 2" xfId="5338"/>
    <cellStyle name="20% - Accent5 2 5 2 3 2 2 2" xfId="9802"/>
    <cellStyle name="20% - Accent5 2 5 2 3 2 3" xfId="7574"/>
    <cellStyle name="20% - Accent5 2 5 2 3 3" xfId="3652"/>
    <cellStyle name="20% - Accent5 2 5 2 3 3 2" xfId="4782"/>
    <cellStyle name="20% - Accent5 2 5 2 3 3 2 2" xfId="9246"/>
    <cellStyle name="20% - Accent5 2 5 2 3 3 3" xfId="8131"/>
    <cellStyle name="20% - Accent5 2 5 2 3 4" xfId="4225"/>
    <cellStyle name="20% - Accent5 2 5 2 3 4 2" xfId="8689"/>
    <cellStyle name="20% - Accent5 2 5 2 3 5" xfId="5895"/>
    <cellStyle name="20% - Accent5 2 5 2 3 5 2" xfId="10359"/>
    <cellStyle name="20% - Accent5 2 5 2 3 6" xfId="6461"/>
    <cellStyle name="20% - Accent5 2 5 2 3 6 2" xfId="10916"/>
    <cellStyle name="20% - Accent5 2 5 2 3 7" xfId="7018"/>
    <cellStyle name="20% - Accent5 2 5 2 4" xfId="3067"/>
    <cellStyle name="20% - Accent5 2 5 2 4 2" xfId="5336"/>
    <cellStyle name="20% - Accent5 2 5 2 4 2 2" xfId="9800"/>
    <cellStyle name="20% - Accent5 2 5 2 4 3" xfId="7572"/>
    <cellStyle name="20% - Accent5 2 5 2 5" xfId="3650"/>
    <cellStyle name="20% - Accent5 2 5 2 5 2" xfId="4780"/>
    <cellStyle name="20% - Accent5 2 5 2 5 2 2" xfId="9244"/>
    <cellStyle name="20% - Accent5 2 5 2 5 3" xfId="8129"/>
    <cellStyle name="20% - Accent5 2 5 2 6" xfId="4223"/>
    <cellStyle name="20% - Accent5 2 5 2 6 2" xfId="8687"/>
    <cellStyle name="20% - Accent5 2 5 2 7" xfId="5893"/>
    <cellStyle name="20% - Accent5 2 5 2 7 2" xfId="10357"/>
    <cellStyle name="20% - Accent5 2 5 2 8" xfId="6459"/>
    <cellStyle name="20% - Accent5 2 5 2 8 2" xfId="10914"/>
    <cellStyle name="20% - Accent5 2 5 2 9" xfId="7016"/>
    <cellStyle name="20% - Accent5 2 5 3" xfId="2075"/>
    <cellStyle name="20% - Accent5 2 5 3 2" xfId="3070"/>
    <cellStyle name="20% - Accent5 2 5 3 2 2" xfId="5339"/>
    <cellStyle name="20% - Accent5 2 5 3 2 2 2" xfId="9803"/>
    <cellStyle name="20% - Accent5 2 5 3 2 3" xfId="7575"/>
    <cellStyle name="20% - Accent5 2 5 3 3" xfId="3653"/>
    <cellStyle name="20% - Accent5 2 5 3 3 2" xfId="4783"/>
    <cellStyle name="20% - Accent5 2 5 3 3 2 2" xfId="9247"/>
    <cellStyle name="20% - Accent5 2 5 3 3 3" xfId="8132"/>
    <cellStyle name="20% - Accent5 2 5 3 4" xfId="4226"/>
    <cellStyle name="20% - Accent5 2 5 3 4 2" xfId="8690"/>
    <cellStyle name="20% - Accent5 2 5 3 5" xfId="5896"/>
    <cellStyle name="20% - Accent5 2 5 3 5 2" xfId="10360"/>
    <cellStyle name="20% - Accent5 2 5 3 6" xfId="6462"/>
    <cellStyle name="20% - Accent5 2 5 3 6 2" xfId="10917"/>
    <cellStyle name="20% - Accent5 2 5 3 7" xfId="7019"/>
    <cellStyle name="20% - Accent5 2 5 4" xfId="2076"/>
    <cellStyle name="20% - Accent5 2 5 4 2" xfId="3071"/>
    <cellStyle name="20% - Accent5 2 5 4 2 2" xfId="5340"/>
    <cellStyle name="20% - Accent5 2 5 4 2 2 2" xfId="9804"/>
    <cellStyle name="20% - Accent5 2 5 4 2 3" xfId="7576"/>
    <cellStyle name="20% - Accent5 2 5 4 3" xfId="3654"/>
    <cellStyle name="20% - Accent5 2 5 4 3 2" xfId="4784"/>
    <cellStyle name="20% - Accent5 2 5 4 3 2 2" xfId="9248"/>
    <cellStyle name="20% - Accent5 2 5 4 3 3" xfId="8133"/>
    <cellStyle name="20% - Accent5 2 5 4 4" xfId="4227"/>
    <cellStyle name="20% - Accent5 2 5 4 4 2" xfId="8691"/>
    <cellStyle name="20% - Accent5 2 5 4 5" xfId="5897"/>
    <cellStyle name="20% - Accent5 2 5 4 5 2" xfId="10361"/>
    <cellStyle name="20% - Accent5 2 5 4 6" xfId="6463"/>
    <cellStyle name="20% - Accent5 2 5 4 6 2" xfId="10918"/>
    <cellStyle name="20% - Accent5 2 5 4 7" xfId="7020"/>
    <cellStyle name="20% - Accent5 2 6" xfId="1186"/>
    <cellStyle name="20% - Accent5 2 6 2" xfId="2077"/>
    <cellStyle name="20% - Accent5 2 6 2 2" xfId="3072"/>
    <cellStyle name="20% - Accent5 2 6 2 2 2" xfId="5341"/>
    <cellStyle name="20% - Accent5 2 6 2 2 2 2" xfId="9805"/>
    <cellStyle name="20% - Accent5 2 6 2 2 3" xfId="7577"/>
    <cellStyle name="20% - Accent5 2 6 2 3" xfId="3655"/>
    <cellStyle name="20% - Accent5 2 6 2 3 2" xfId="4785"/>
    <cellStyle name="20% - Accent5 2 6 2 3 2 2" xfId="9249"/>
    <cellStyle name="20% - Accent5 2 6 2 3 3" xfId="8134"/>
    <cellStyle name="20% - Accent5 2 6 2 4" xfId="4228"/>
    <cellStyle name="20% - Accent5 2 6 2 4 2" xfId="8692"/>
    <cellStyle name="20% - Accent5 2 6 2 5" xfId="5898"/>
    <cellStyle name="20% - Accent5 2 6 2 5 2" xfId="10362"/>
    <cellStyle name="20% - Accent5 2 6 2 6" xfId="6464"/>
    <cellStyle name="20% - Accent5 2 6 2 6 2" xfId="10919"/>
    <cellStyle name="20% - Accent5 2 6 2 7" xfId="7021"/>
    <cellStyle name="20% - Accent5 2 6 3" xfId="2078"/>
    <cellStyle name="20% - Accent5 2 6 3 2" xfId="3073"/>
    <cellStyle name="20% - Accent5 2 6 3 2 2" xfId="5342"/>
    <cellStyle name="20% - Accent5 2 6 3 2 2 2" xfId="9806"/>
    <cellStyle name="20% - Accent5 2 6 3 2 3" xfId="7578"/>
    <cellStyle name="20% - Accent5 2 6 3 3" xfId="3656"/>
    <cellStyle name="20% - Accent5 2 6 3 3 2" xfId="4786"/>
    <cellStyle name="20% - Accent5 2 6 3 3 2 2" xfId="9250"/>
    <cellStyle name="20% - Accent5 2 6 3 3 3" xfId="8135"/>
    <cellStyle name="20% - Accent5 2 6 3 4" xfId="4229"/>
    <cellStyle name="20% - Accent5 2 6 3 4 2" xfId="8693"/>
    <cellStyle name="20% - Accent5 2 6 3 5" xfId="5899"/>
    <cellStyle name="20% - Accent5 2 6 3 5 2" xfId="10363"/>
    <cellStyle name="20% - Accent5 2 6 3 6" xfId="6465"/>
    <cellStyle name="20% - Accent5 2 6 3 6 2" xfId="10920"/>
    <cellStyle name="20% - Accent5 2 6 3 7" xfId="7022"/>
    <cellStyle name="20% - Accent5 2 7" xfId="1737"/>
    <cellStyle name="20% - Accent5 2 7 2" xfId="2901"/>
    <cellStyle name="20% - Accent5 2 7 2 2" xfId="5170"/>
    <cellStyle name="20% - Accent5 2 7 2 2 2" xfId="9634"/>
    <cellStyle name="20% - Accent5 2 7 2 3" xfId="7406"/>
    <cellStyle name="20% - Accent5 2 7 3" xfId="3484"/>
    <cellStyle name="20% - Accent5 2 7 3 2" xfId="4614"/>
    <cellStyle name="20% - Accent5 2 7 3 2 2" xfId="9078"/>
    <cellStyle name="20% - Accent5 2 7 3 3" xfId="7963"/>
    <cellStyle name="20% - Accent5 2 7 4" xfId="4057"/>
    <cellStyle name="20% - Accent5 2 7 4 2" xfId="8521"/>
    <cellStyle name="20% - Accent5 2 7 5" xfId="5727"/>
    <cellStyle name="20% - Accent5 2 7 5 2" xfId="10191"/>
    <cellStyle name="20% - Accent5 2 7 6" xfId="6293"/>
    <cellStyle name="20% - Accent5 2 7 6 2" xfId="10748"/>
    <cellStyle name="20% - Accent5 2 7 7" xfId="6850"/>
    <cellStyle name="20% - Accent5 2 8" xfId="1832"/>
    <cellStyle name="20% - Accent5 2 8 2" xfId="2911"/>
    <cellStyle name="20% - Accent5 2 8 2 2" xfId="5180"/>
    <cellStyle name="20% - Accent5 2 8 2 2 2" xfId="9644"/>
    <cellStyle name="20% - Accent5 2 8 2 3" xfId="7416"/>
    <cellStyle name="20% - Accent5 2 8 3" xfId="3494"/>
    <cellStyle name="20% - Accent5 2 8 3 2" xfId="4624"/>
    <cellStyle name="20% - Accent5 2 8 3 2 2" xfId="9088"/>
    <cellStyle name="20% - Accent5 2 8 3 3" xfId="7973"/>
    <cellStyle name="20% - Accent5 2 8 4" xfId="4067"/>
    <cellStyle name="20% - Accent5 2 8 4 2" xfId="8531"/>
    <cellStyle name="20% - Accent5 2 8 5" xfId="5737"/>
    <cellStyle name="20% - Accent5 2 8 5 2" xfId="10201"/>
    <cellStyle name="20% - Accent5 2 8 6" xfId="6303"/>
    <cellStyle name="20% - Accent5 2 8 6 2" xfId="10758"/>
    <cellStyle name="20% - Accent5 2 8 7" xfId="6860"/>
    <cellStyle name="20% - Accent5 2 9" xfId="2079"/>
    <cellStyle name="20% - Accent5 20" xfId="1087"/>
    <cellStyle name="20% - Accent5 20 2" xfId="11958"/>
    <cellStyle name="20% - Accent5 21" xfId="11841"/>
    <cellStyle name="20% - Accent5 3" xfId="64"/>
    <cellStyle name="20% - Accent5 3 2" xfId="2080"/>
    <cellStyle name="20% - Accent5 3 3" xfId="2608"/>
    <cellStyle name="20% - Accent5 3 4" xfId="11387"/>
    <cellStyle name="20% - Accent5 3 5" xfId="1188"/>
    <cellStyle name="20% - Accent5 4" xfId="65"/>
    <cellStyle name="20% - Accent5 4 2" xfId="2774"/>
    <cellStyle name="20% - Accent5 4 3" xfId="11388"/>
    <cellStyle name="20% - Accent5 4 4" xfId="1190"/>
    <cellStyle name="20% - Accent5 5" xfId="66"/>
    <cellStyle name="20% - Accent5 5 2" xfId="11389"/>
    <cellStyle name="20% - Accent5 5 3" xfId="1666"/>
    <cellStyle name="20% - Accent5 6" xfId="67"/>
    <cellStyle name="20% - Accent5 6 2" xfId="11390"/>
    <cellStyle name="20% - Accent5 6 3" xfId="1831"/>
    <cellStyle name="20% - Accent5 7" xfId="68"/>
    <cellStyle name="20% - Accent5 8" xfId="69"/>
    <cellStyle name="20% - Accent5 9" xfId="70"/>
    <cellStyle name="20% - Accent6" xfId="961" builtinId="50" customBuiltin="1"/>
    <cellStyle name="20% - Accent6 10" xfId="71"/>
    <cellStyle name="20% - Accent6 11" xfId="72"/>
    <cellStyle name="20% - Accent6 12" xfId="73"/>
    <cellStyle name="20% - Accent6 13" xfId="74"/>
    <cellStyle name="20% - Accent6 14" xfId="75"/>
    <cellStyle name="20% - Accent6 15" xfId="76"/>
    <cellStyle name="20% - Accent6 16" xfId="675"/>
    <cellStyle name="20% - Accent6 17" xfId="999"/>
    <cellStyle name="20% - Accent6 17 2" xfId="11870"/>
    <cellStyle name="20% - Accent6 18" xfId="1031"/>
    <cellStyle name="20% - Accent6 18 2" xfId="11902"/>
    <cellStyle name="20% - Accent6 19" xfId="1074"/>
    <cellStyle name="20% - Accent6 19 2" xfId="11945"/>
    <cellStyle name="20% - Accent6 2" xfId="77"/>
    <cellStyle name="20% - Accent6 2 10" xfId="2081"/>
    <cellStyle name="20% - Accent6 2 10 2" xfId="3074"/>
    <cellStyle name="20% - Accent6 2 10 2 2" xfId="5343"/>
    <cellStyle name="20% - Accent6 2 10 2 2 2" xfId="9807"/>
    <cellStyle name="20% - Accent6 2 10 2 3" xfId="7579"/>
    <cellStyle name="20% - Accent6 2 10 3" xfId="3657"/>
    <cellStyle name="20% - Accent6 2 10 3 2" xfId="4787"/>
    <cellStyle name="20% - Accent6 2 10 3 2 2" xfId="9251"/>
    <cellStyle name="20% - Accent6 2 10 3 3" xfId="8136"/>
    <cellStyle name="20% - Accent6 2 10 4" xfId="4230"/>
    <cellStyle name="20% - Accent6 2 10 4 2" xfId="8694"/>
    <cellStyle name="20% - Accent6 2 10 5" xfId="5900"/>
    <cellStyle name="20% - Accent6 2 10 5 2" xfId="10364"/>
    <cellStyle name="20% - Accent6 2 10 6" xfId="6466"/>
    <cellStyle name="20% - Accent6 2 10 6 2" xfId="10921"/>
    <cellStyle name="20% - Accent6 2 10 7" xfId="7023"/>
    <cellStyle name="20% - Accent6 2 11" xfId="2580"/>
    <cellStyle name="20% - Accent6 2 12" xfId="11314"/>
    <cellStyle name="20% - Accent6 2 13" xfId="11343"/>
    <cellStyle name="20% - Accent6 2 14" xfId="1192"/>
    <cellStyle name="20% - Accent6 2 15" xfId="1139"/>
    <cellStyle name="20% - Accent6 2 2" xfId="737"/>
    <cellStyle name="20% - Accent6 2 2 2" xfId="1749"/>
    <cellStyle name="20% - Accent6 2 2 3" xfId="1194"/>
    <cellStyle name="20% - Accent6 2 2 4" xfId="11694"/>
    <cellStyle name="20% - Accent6 2 2 5" xfId="1169"/>
    <cellStyle name="20% - Accent6 2 3" xfId="1109"/>
    <cellStyle name="20% - Accent6 2 3 2" xfId="2082"/>
    <cellStyle name="20% - Accent6 2 3 2 10" xfId="7024"/>
    <cellStyle name="20% - Accent6 2 3 2 2" xfId="2083"/>
    <cellStyle name="20% - Accent6 2 3 2 2 2" xfId="2084"/>
    <cellStyle name="20% - Accent6 2 3 2 2 2 2" xfId="3077"/>
    <cellStyle name="20% - Accent6 2 3 2 2 2 2 2" xfId="5346"/>
    <cellStyle name="20% - Accent6 2 3 2 2 2 2 2 2" xfId="9810"/>
    <cellStyle name="20% - Accent6 2 3 2 2 2 2 3" xfId="7582"/>
    <cellStyle name="20% - Accent6 2 3 2 2 2 3" xfId="3660"/>
    <cellStyle name="20% - Accent6 2 3 2 2 2 3 2" xfId="4790"/>
    <cellStyle name="20% - Accent6 2 3 2 2 2 3 2 2" xfId="9254"/>
    <cellStyle name="20% - Accent6 2 3 2 2 2 3 3" xfId="8139"/>
    <cellStyle name="20% - Accent6 2 3 2 2 2 4" xfId="4233"/>
    <cellStyle name="20% - Accent6 2 3 2 2 2 4 2" xfId="8697"/>
    <cellStyle name="20% - Accent6 2 3 2 2 2 5" xfId="5903"/>
    <cellStyle name="20% - Accent6 2 3 2 2 2 5 2" xfId="10367"/>
    <cellStyle name="20% - Accent6 2 3 2 2 2 6" xfId="6469"/>
    <cellStyle name="20% - Accent6 2 3 2 2 2 6 2" xfId="10924"/>
    <cellStyle name="20% - Accent6 2 3 2 2 2 7" xfId="7026"/>
    <cellStyle name="20% - Accent6 2 3 2 2 3" xfId="2085"/>
    <cellStyle name="20% - Accent6 2 3 2 2 3 2" xfId="3078"/>
    <cellStyle name="20% - Accent6 2 3 2 2 3 2 2" xfId="5347"/>
    <cellStyle name="20% - Accent6 2 3 2 2 3 2 2 2" xfId="9811"/>
    <cellStyle name="20% - Accent6 2 3 2 2 3 2 3" xfId="7583"/>
    <cellStyle name="20% - Accent6 2 3 2 2 3 3" xfId="3661"/>
    <cellStyle name="20% - Accent6 2 3 2 2 3 3 2" xfId="4791"/>
    <cellStyle name="20% - Accent6 2 3 2 2 3 3 2 2" xfId="9255"/>
    <cellStyle name="20% - Accent6 2 3 2 2 3 3 3" xfId="8140"/>
    <cellStyle name="20% - Accent6 2 3 2 2 3 4" xfId="4234"/>
    <cellStyle name="20% - Accent6 2 3 2 2 3 4 2" xfId="8698"/>
    <cellStyle name="20% - Accent6 2 3 2 2 3 5" xfId="5904"/>
    <cellStyle name="20% - Accent6 2 3 2 2 3 5 2" xfId="10368"/>
    <cellStyle name="20% - Accent6 2 3 2 2 3 6" xfId="6470"/>
    <cellStyle name="20% - Accent6 2 3 2 2 3 6 2" xfId="10925"/>
    <cellStyle name="20% - Accent6 2 3 2 2 3 7" xfId="7027"/>
    <cellStyle name="20% - Accent6 2 3 2 2 4" xfId="3076"/>
    <cellStyle name="20% - Accent6 2 3 2 2 4 2" xfId="5345"/>
    <cellStyle name="20% - Accent6 2 3 2 2 4 2 2" xfId="9809"/>
    <cellStyle name="20% - Accent6 2 3 2 2 4 3" xfId="7581"/>
    <cellStyle name="20% - Accent6 2 3 2 2 5" xfId="3659"/>
    <cellStyle name="20% - Accent6 2 3 2 2 5 2" xfId="4789"/>
    <cellStyle name="20% - Accent6 2 3 2 2 5 2 2" xfId="9253"/>
    <cellStyle name="20% - Accent6 2 3 2 2 5 3" xfId="8138"/>
    <cellStyle name="20% - Accent6 2 3 2 2 6" xfId="4232"/>
    <cellStyle name="20% - Accent6 2 3 2 2 6 2" xfId="8696"/>
    <cellStyle name="20% - Accent6 2 3 2 2 7" xfId="5902"/>
    <cellStyle name="20% - Accent6 2 3 2 2 7 2" xfId="10366"/>
    <cellStyle name="20% - Accent6 2 3 2 2 8" xfId="6468"/>
    <cellStyle name="20% - Accent6 2 3 2 2 8 2" xfId="10923"/>
    <cellStyle name="20% - Accent6 2 3 2 2 9" xfId="7025"/>
    <cellStyle name="20% - Accent6 2 3 2 3" xfId="2086"/>
    <cellStyle name="20% - Accent6 2 3 2 3 2" xfId="3079"/>
    <cellStyle name="20% - Accent6 2 3 2 3 2 2" xfId="5348"/>
    <cellStyle name="20% - Accent6 2 3 2 3 2 2 2" xfId="9812"/>
    <cellStyle name="20% - Accent6 2 3 2 3 2 3" xfId="7584"/>
    <cellStyle name="20% - Accent6 2 3 2 3 3" xfId="3662"/>
    <cellStyle name="20% - Accent6 2 3 2 3 3 2" xfId="4792"/>
    <cellStyle name="20% - Accent6 2 3 2 3 3 2 2" xfId="9256"/>
    <cellStyle name="20% - Accent6 2 3 2 3 3 3" xfId="8141"/>
    <cellStyle name="20% - Accent6 2 3 2 3 4" xfId="4235"/>
    <cellStyle name="20% - Accent6 2 3 2 3 4 2" xfId="8699"/>
    <cellStyle name="20% - Accent6 2 3 2 3 5" xfId="5905"/>
    <cellStyle name="20% - Accent6 2 3 2 3 5 2" xfId="10369"/>
    <cellStyle name="20% - Accent6 2 3 2 3 6" xfId="6471"/>
    <cellStyle name="20% - Accent6 2 3 2 3 6 2" xfId="10926"/>
    <cellStyle name="20% - Accent6 2 3 2 3 7" xfId="7028"/>
    <cellStyle name="20% - Accent6 2 3 2 4" xfId="2087"/>
    <cellStyle name="20% - Accent6 2 3 2 4 2" xfId="3080"/>
    <cellStyle name="20% - Accent6 2 3 2 4 2 2" xfId="5349"/>
    <cellStyle name="20% - Accent6 2 3 2 4 2 2 2" xfId="9813"/>
    <cellStyle name="20% - Accent6 2 3 2 4 2 3" xfId="7585"/>
    <cellStyle name="20% - Accent6 2 3 2 4 3" xfId="3663"/>
    <cellStyle name="20% - Accent6 2 3 2 4 3 2" xfId="4793"/>
    <cellStyle name="20% - Accent6 2 3 2 4 3 2 2" xfId="9257"/>
    <cellStyle name="20% - Accent6 2 3 2 4 3 3" xfId="8142"/>
    <cellStyle name="20% - Accent6 2 3 2 4 4" xfId="4236"/>
    <cellStyle name="20% - Accent6 2 3 2 4 4 2" xfId="8700"/>
    <cellStyle name="20% - Accent6 2 3 2 4 5" xfId="5906"/>
    <cellStyle name="20% - Accent6 2 3 2 4 5 2" xfId="10370"/>
    <cellStyle name="20% - Accent6 2 3 2 4 6" xfId="6472"/>
    <cellStyle name="20% - Accent6 2 3 2 4 6 2" xfId="10927"/>
    <cellStyle name="20% - Accent6 2 3 2 4 7" xfId="7029"/>
    <cellStyle name="20% - Accent6 2 3 2 5" xfId="3075"/>
    <cellStyle name="20% - Accent6 2 3 2 5 2" xfId="5344"/>
    <cellStyle name="20% - Accent6 2 3 2 5 2 2" xfId="9808"/>
    <cellStyle name="20% - Accent6 2 3 2 5 3" xfId="7580"/>
    <cellStyle name="20% - Accent6 2 3 2 6" xfId="3658"/>
    <cellStyle name="20% - Accent6 2 3 2 6 2" xfId="4788"/>
    <cellStyle name="20% - Accent6 2 3 2 6 2 2" xfId="9252"/>
    <cellStyle name="20% - Accent6 2 3 2 6 3" xfId="8137"/>
    <cellStyle name="20% - Accent6 2 3 2 7" xfId="4231"/>
    <cellStyle name="20% - Accent6 2 3 2 7 2" xfId="8695"/>
    <cellStyle name="20% - Accent6 2 3 2 8" xfId="5901"/>
    <cellStyle name="20% - Accent6 2 3 2 8 2" xfId="10365"/>
    <cellStyle name="20% - Accent6 2 3 2 9" xfId="6467"/>
    <cellStyle name="20% - Accent6 2 3 2 9 2" xfId="10922"/>
    <cellStyle name="20% - Accent6 2 3 3" xfId="2088"/>
    <cellStyle name="20% - Accent6 2 3 3 2" xfId="2089"/>
    <cellStyle name="20% - Accent6 2 3 3 2 2" xfId="3082"/>
    <cellStyle name="20% - Accent6 2 3 3 2 2 2" xfId="5351"/>
    <cellStyle name="20% - Accent6 2 3 3 2 2 2 2" xfId="9815"/>
    <cellStyle name="20% - Accent6 2 3 3 2 2 3" xfId="7587"/>
    <cellStyle name="20% - Accent6 2 3 3 2 3" xfId="3665"/>
    <cellStyle name="20% - Accent6 2 3 3 2 3 2" xfId="4795"/>
    <cellStyle name="20% - Accent6 2 3 3 2 3 2 2" xfId="9259"/>
    <cellStyle name="20% - Accent6 2 3 3 2 3 3" xfId="8144"/>
    <cellStyle name="20% - Accent6 2 3 3 2 4" xfId="4238"/>
    <cellStyle name="20% - Accent6 2 3 3 2 4 2" xfId="8702"/>
    <cellStyle name="20% - Accent6 2 3 3 2 5" xfId="5908"/>
    <cellStyle name="20% - Accent6 2 3 3 2 5 2" xfId="10372"/>
    <cellStyle name="20% - Accent6 2 3 3 2 6" xfId="6474"/>
    <cellStyle name="20% - Accent6 2 3 3 2 6 2" xfId="10929"/>
    <cellStyle name="20% - Accent6 2 3 3 2 7" xfId="7031"/>
    <cellStyle name="20% - Accent6 2 3 3 3" xfId="2090"/>
    <cellStyle name="20% - Accent6 2 3 3 3 2" xfId="3083"/>
    <cellStyle name="20% - Accent6 2 3 3 3 2 2" xfId="5352"/>
    <cellStyle name="20% - Accent6 2 3 3 3 2 2 2" xfId="9816"/>
    <cellStyle name="20% - Accent6 2 3 3 3 2 3" xfId="7588"/>
    <cellStyle name="20% - Accent6 2 3 3 3 3" xfId="3666"/>
    <cellStyle name="20% - Accent6 2 3 3 3 3 2" xfId="4796"/>
    <cellStyle name="20% - Accent6 2 3 3 3 3 2 2" xfId="9260"/>
    <cellStyle name="20% - Accent6 2 3 3 3 3 3" xfId="8145"/>
    <cellStyle name="20% - Accent6 2 3 3 3 4" xfId="4239"/>
    <cellStyle name="20% - Accent6 2 3 3 3 4 2" xfId="8703"/>
    <cellStyle name="20% - Accent6 2 3 3 3 5" xfId="5909"/>
    <cellStyle name="20% - Accent6 2 3 3 3 5 2" xfId="10373"/>
    <cellStyle name="20% - Accent6 2 3 3 3 6" xfId="6475"/>
    <cellStyle name="20% - Accent6 2 3 3 3 6 2" xfId="10930"/>
    <cellStyle name="20% - Accent6 2 3 3 3 7" xfId="7032"/>
    <cellStyle name="20% - Accent6 2 3 3 4" xfId="3081"/>
    <cellStyle name="20% - Accent6 2 3 3 4 2" xfId="5350"/>
    <cellStyle name="20% - Accent6 2 3 3 4 2 2" xfId="9814"/>
    <cellStyle name="20% - Accent6 2 3 3 4 3" xfId="7586"/>
    <cellStyle name="20% - Accent6 2 3 3 5" xfId="3664"/>
    <cellStyle name="20% - Accent6 2 3 3 5 2" xfId="4794"/>
    <cellStyle name="20% - Accent6 2 3 3 5 2 2" xfId="9258"/>
    <cellStyle name="20% - Accent6 2 3 3 5 3" xfId="8143"/>
    <cellStyle name="20% - Accent6 2 3 3 6" xfId="4237"/>
    <cellStyle name="20% - Accent6 2 3 3 6 2" xfId="8701"/>
    <cellStyle name="20% - Accent6 2 3 3 7" xfId="5907"/>
    <cellStyle name="20% - Accent6 2 3 3 7 2" xfId="10371"/>
    <cellStyle name="20% - Accent6 2 3 3 8" xfId="6473"/>
    <cellStyle name="20% - Accent6 2 3 3 8 2" xfId="10928"/>
    <cellStyle name="20% - Accent6 2 3 3 9" xfId="7030"/>
    <cellStyle name="20% - Accent6 2 3 4" xfId="2091"/>
    <cellStyle name="20% - Accent6 2 3 4 2" xfId="3084"/>
    <cellStyle name="20% - Accent6 2 3 4 2 2" xfId="5353"/>
    <cellStyle name="20% - Accent6 2 3 4 2 2 2" xfId="9817"/>
    <cellStyle name="20% - Accent6 2 3 4 2 3" xfId="7589"/>
    <cellStyle name="20% - Accent6 2 3 4 3" xfId="3667"/>
    <cellStyle name="20% - Accent6 2 3 4 3 2" xfId="4797"/>
    <cellStyle name="20% - Accent6 2 3 4 3 2 2" xfId="9261"/>
    <cellStyle name="20% - Accent6 2 3 4 3 3" xfId="8146"/>
    <cellStyle name="20% - Accent6 2 3 4 4" xfId="4240"/>
    <cellStyle name="20% - Accent6 2 3 4 4 2" xfId="8704"/>
    <cellStyle name="20% - Accent6 2 3 4 5" xfId="5910"/>
    <cellStyle name="20% - Accent6 2 3 4 5 2" xfId="10374"/>
    <cellStyle name="20% - Accent6 2 3 4 6" xfId="6476"/>
    <cellStyle name="20% - Accent6 2 3 4 6 2" xfId="10931"/>
    <cellStyle name="20% - Accent6 2 3 4 7" xfId="7033"/>
    <cellStyle name="20% - Accent6 2 3 5" xfId="2092"/>
    <cellStyle name="20% - Accent6 2 3 5 2" xfId="3085"/>
    <cellStyle name="20% - Accent6 2 3 5 2 2" xfId="5354"/>
    <cellStyle name="20% - Accent6 2 3 5 2 2 2" xfId="9818"/>
    <cellStyle name="20% - Accent6 2 3 5 2 3" xfId="7590"/>
    <cellStyle name="20% - Accent6 2 3 5 3" xfId="3668"/>
    <cellStyle name="20% - Accent6 2 3 5 3 2" xfId="4798"/>
    <cellStyle name="20% - Accent6 2 3 5 3 2 2" xfId="9262"/>
    <cellStyle name="20% - Accent6 2 3 5 3 3" xfId="8147"/>
    <cellStyle name="20% - Accent6 2 3 5 4" xfId="4241"/>
    <cellStyle name="20% - Accent6 2 3 5 4 2" xfId="8705"/>
    <cellStyle name="20% - Accent6 2 3 5 5" xfId="5911"/>
    <cellStyle name="20% - Accent6 2 3 5 5 2" xfId="10375"/>
    <cellStyle name="20% - Accent6 2 3 5 6" xfId="6477"/>
    <cellStyle name="20% - Accent6 2 3 5 6 2" xfId="10932"/>
    <cellStyle name="20% - Accent6 2 3 5 7" xfId="7034"/>
    <cellStyle name="20% - Accent6 2 3 6" xfId="11974"/>
    <cellStyle name="20% - Accent6 2 3 7" xfId="1196"/>
    <cellStyle name="20% - Accent6 2 4" xfId="1198"/>
    <cellStyle name="20% - Accent6 2 4 2" xfId="2093"/>
    <cellStyle name="20% - Accent6 2 4 2 2" xfId="2094"/>
    <cellStyle name="20% - Accent6 2 4 2 2 2" xfId="3087"/>
    <cellStyle name="20% - Accent6 2 4 2 2 2 2" xfId="5356"/>
    <cellStyle name="20% - Accent6 2 4 2 2 2 2 2" xfId="9820"/>
    <cellStyle name="20% - Accent6 2 4 2 2 2 3" xfId="7592"/>
    <cellStyle name="20% - Accent6 2 4 2 2 3" xfId="3670"/>
    <cellStyle name="20% - Accent6 2 4 2 2 3 2" xfId="4800"/>
    <cellStyle name="20% - Accent6 2 4 2 2 3 2 2" xfId="9264"/>
    <cellStyle name="20% - Accent6 2 4 2 2 3 3" xfId="8149"/>
    <cellStyle name="20% - Accent6 2 4 2 2 4" xfId="4243"/>
    <cellStyle name="20% - Accent6 2 4 2 2 4 2" xfId="8707"/>
    <cellStyle name="20% - Accent6 2 4 2 2 5" xfId="5913"/>
    <cellStyle name="20% - Accent6 2 4 2 2 5 2" xfId="10377"/>
    <cellStyle name="20% - Accent6 2 4 2 2 6" xfId="6479"/>
    <cellStyle name="20% - Accent6 2 4 2 2 6 2" xfId="10934"/>
    <cellStyle name="20% - Accent6 2 4 2 2 7" xfId="7036"/>
    <cellStyle name="20% - Accent6 2 4 2 3" xfId="2095"/>
    <cellStyle name="20% - Accent6 2 4 2 3 2" xfId="3088"/>
    <cellStyle name="20% - Accent6 2 4 2 3 2 2" xfId="5357"/>
    <cellStyle name="20% - Accent6 2 4 2 3 2 2 2" xfId="9821"/>
    <cellStyle name="20% - Accent6 2 4 2 3 2 3" xfId="7593"/>
    <cellStyle name="20% - Accent6 2 4 2 3 3" xfId="3671"/>
    <cellStyle name="20% - Accent6 2 4 2 3 3 2" xfId="4801"/>
    <cellStyle name="20% - Accent6 2 4 2 3 3 2 2" xfId="9265"/>
    <cellStyle name="20% - Accent6 2 4 2 3 3 3" xfId="8150"/>
    <cellStyle name="20% - Accent6 2 4 2 3 4" xfId="4244"/>
    <cellStyle name="20% - Accent6 2 4 2 3 4 2" xfId="8708"/>
    <cellStyle name="20% - Accent6 2 4 2 3 5" xfId="5914"/>
    <cellStyle name="20% - Accent6 2 4 2 3 5 2" xfId="10378"/>
    <cellStyle name="20% - Accent6 2 4 2 3 6" xfId="6480"/>
    <cellStyle name="20% - Accent6 2 4 2 3 6 2" xfId="10935"/>
    <cellStyle name="20% - Accent6 2 4 2 3 7" xfId="7037"/>
    <cellStyle name="20% - Accent6 2 4 2 4" xfId="3086"/>
    <cellStyle name="20% - Accent6 2 4 2 4 2" xfId="5355"/>
    <cellStyle name="20% - Accent6 2 4 2 4 2 2" xfId="9819"/>
    <cellStyle name="20% - Accent6 2 4 2 4 3" xfId="7591"/>
    <cellStyle name="20% - Accent6 2 4 2 5" xfId="3669"/>
    <cellStyle name="20% - Accent6 2 4 2 5 2" xfId="4799"/>
    <cellStyle name="20% - Accent6 2 4 2 5 2 2" xfId="9263"/>
    <cellStyle name="20% - Accent6 2 4 2 5 3" xfId="8148"/>
    <cellStyle name="20% - Accent6 2 4 2 6" xfId="4242"/>
    <cellStyle name="20% - Accent6 2 4 2 6 2" xfId="8706"/>
    <cellStyle name="20% - Accent6 2 4 2 7" xfId="5912"/>
    <cellStyle name="20% - Accent6 2 4 2 7 2" xfId="10376"/>
    <cellStyle name="20% - Accent6 2 4 2 8" xfId="6478"/>
    <cellStyle name="20% - Accent6 2 4 2 8 2" xfId="10933"/>
    <cellStyle name="20% - Accent6 2 4 2 9" xfId="7035"/>
    <cellStyle name="20% - Accent6 2 4 3" xfId="2096"/>
    <cellStyle name="20% - Accent6 2 4 3 2" xfId="2097"/>
    <cellStyle name="20% - Accent6 2 4 3 2 2" xfId="3090"/>
    <cellStyle name="20% - Accent6 2 4 3 2 2 2" xfId="5359"/>
    <cellStyle name="20% - Accent6 2 4 3 2 2 2 2" xfId="9823"/>
    <cellStyle name="20% - Accent6 2 4 3 2 2 3" xfId="7595"/>
    <cellStyle name="20% - Accent6 2 4 3 2 3" xfId="3673"/>
    <cellStyle name="20% - Accent6 2 4 3 2 3 2" xfId="4803"/>
    <cellStyle name="20% - Accent6 2 4 3 2 3 2 2" xfId="9267"/>
    <cellStyle name="20% - Accent6 2 4 3 2 3 3" xfId="8152"/>
    <cellStyle name="20% - Accent6 2 4 3 2 4" xfId="4246"/>
    <cellStyle name="20% - Accent6 2 4 3 2 4 2" xfId="8710"/>
    <cellStyle name="20% - Accent6 2 4 3 2 5" xfId="5916"/>
    <cellStyle name="20% - Accent6 2 4 3 2 5 2" xfId="10380"/>
    <cellStyle name="20% - Accent6 2 4 3 2 6" xfId="6482"/>
    <cellStyle name="20% - Accent6 2 4 3 2 6 2" xfId="10937"/>
    <cellStyle name="20% - Accent6 2 4 3 2 7" xfId="7039"/>
    <cellStyle name="20% - Accent6 2 4 3 3" xfId="2098"/>
    <cellStyle name="20% - Accent6 2 4 3 3 2" xfId="3091"/>
    <cellStyle name="20% - Accent6 2 4 3 3 2 2" xfId="5360"/>
    <cellStyle name="20% - Accent6 2 4 3 3 2 2 2" xfId="9824"/>
    <cellStyle name="20% - Accent6 2 4 3 3 2 3" xfId="7596"/>
    <cellStyle name="20% - Accent6 2 4 3 3 3" xfId="3674"/>
    <cellStyle name="20% - Accent6 2 4 3 3 3 2" xfId="4804"/>
    <cellStyle name="20% - Accent6 2 4 3 3 3 2 2" xfId="9268"/>
    <cellStyle name="20% - Accent6 2 4 3 3 3 3" xfId="8153"/>
    <cellStyle name="20% - Accent6 2 4 3 3 4" xfId="4247"/>
    <cellStyle name="20% - Accent6 2 4 3 3 4 2" xfId="8711"/>
    <cellStyle name="20% - Accent6 2 4 3 3 5" xfId="5917"/>
    <cellStyle name="20% - Accent6 2 4 3 3 5 2" xfId="10381"/>
    <cellStyle name="20% - Accent6 2 4 3 3 6" xfId="6483"/>
    <cellStyle name="20% - Accent6 2 4 3 3 6 2" xfId="10938"/>
    <cellStyle name="20% - Accent6 2 4 3 3 7" xfId="7040"/>
    <cellStyle name="20% - Accent6 2 4 3 4" xfId="3089"/>
    <cellStyle name="20% - Accent6 2 4 3 4 2" xfId="5358"/>
    <cellStyle name="20% - Accent6 2 4 3 4 2 2" xfId="9822"/>
    <cellStyle name="20% - Accent6 2 4 3 4 3" xfId="7594"/>
    <cellStyle name="20% - Accent6 2 4 3 5" xfId="3672"/>
    <cellStyle name="20% - Accent6 2 4 3 5 2" xfId="4802"/>
    <cellStyle name="20% - Accent6 2 4 3 5 2 2" xfId="9266"/>
    <cellStyle name="20% - Accent6 2 4 3 5 3" xfId="8151"/>
    <cellStyle name="20% - Accent6 2 4 3 6" xfId="4245"/>
    <cellStyle name="20% - Accent6 2 4 3 6 2" xfId="8709"/>
    <cellStyle name="20% - Accent6 2 4 3 7" xfId="5915"/>
    <cellStyle name="20% - Accent6 2 4 3 7 2" xfId="10379"/>
    <cellStyle name="20% - Accent6 2 4 3 8" xfId="6481"/>
    <cellStyle name="20% - Accent6 2 4 3 8 2" xfId="10936"/>
    <cellStyle name="20% - Accent6 2 4 3 9" xfId="7038"/>
    <cellStyle name="20% - Accent6 2 4 4" xfId="2099"/>
    <cellStyle name="20% - Accent6 2 4 4 2" xfId="3092"/>
    <cellStyle name="20% - Accent6 2 4 4 2 2" xfId="5361"/>
    <cellStyle name="20% - Accent6 2 4 4 2 2 2" xfId="9825"/>
    <cellStyle name="20% - Accent6 2 4 4 2 3" xfId="7597"/>
    <cellStyle name="20% - Accent6 2 4 4 3" xfId="3675"/>
    <cellStyle name="20% - Accent6 2 4 4 3 2" xfId="4805"/>
    <cellStyle name="20% - Accent6 2 4 4 3 2 2" xfId="9269"/>
    <cellStyle name="20% - Accent6 2 4 4 3 3" xfId="8154"/>
    <cellStyle name="20% - Accent6 2 4 4 4" xfId="4248"/>
    <cellStyle name="20% - Accent6 2 4 4 4 2" xfId="8712"/>
    <cellStyle name="20% - Accent6 2 4 4 5" xfId="5918"/>
    <cellStyle name="20% - Accent6 2 4 4 5 2" xfId="10382"/>
    <cellStyle name="20% - Accent6 2 4 4 6" xfId="6484"/>
    <cellStyle name="20% - Accent6 2 4 4 6 2" xfId="10939"/>
    <cellStyle name="20% - Accent6 2 4 4 7" xfId="7041"/>
    <cellStyle name="20% - Accent6 2 4 5" xfId="2100"/>
    <cellStyle name="20% - Accent6 2 4 5 2" xfId="3093"/>
    <cellStyle name="20% - Accent6 2 4 5 2 2" xfId="5362"/>
    <cellStyle name="20% - Accent6 2 4 5 2 2 2" xfId="9826"/>
    <cellStyle name="20% - Accent6 2 4 5 2 3" xfId="7598"/>
    <cellStyle name="20% - Accent6 2 4 5 3" xfId="3676"/>
    <cellStyle name="20% - Accent6 2 4 5 3 2" xfId="4806"/>
    <cellStyle name="20% - Accent6 2 4 5 3 2 2" xfId="9270"/>
    <cellStyle name="20% - Accent6 2 4 5 3 3" xfId="8155"/>
    <cellStyle name="20% - Accent6 2 4 5 4" xfId="4249"/>
    <cellStyle name="20% - Accent6 2 4 5 4 2" xfId="8713"/>
    <cellStyle name="20% - Accent6 2 4 5 5" xfId="5919"/>
    <cellStyle name="20% - Accent6 2 4 5 5 2" xfId="10383"/>
    <cellStyle name="20% - Accent6 2 4 5 6" xfId="6485"/>
    <cellStyle name="20% - Accent6 2 4 5 6 2" xfId="10940"/>
    <cellStyle name="20% - Accent6 2 4 5 7" xfId="7042"/>
    <cellStyle name="20% - Accent6 2 5" xfId="1200"/>
    <cellStyle name="20% - Accent6 2 5 2" xfId="2101"/>
    <cellStyle name="20% - Accent6 2 5 2 2" xfId="2102"/>
    <cellStyle name="20% - Accent6 2 5 2 2 2" xfId="3095"/>
    <cellStyle name="20% - Accent6 2 5 2 2 2 2" xfId="5364"/>
    <cellStyle name="20% - Accent6 2 5 2 2 2 2 2" xfId="9828"/>
    <cellStyle name="20% - Accent6 2 5 2 2 2 3" xfId="7600"/>
    <cellStyle name="20% - Accent6 2 5 2 2 3" xfId="3678"/>
    <cellStyle name="20% - Accent6 2 5 2 2 3 2" xfId="4808"/>
    <cellStyle name="20% - Accent6 2 5 2 2 3 2 2" xfId="9272"/>
    <cellStyle name="20% - Accent6 2 5 2 2 3 3" xfId="8157"/>
    <cellStyle name="20% - Accent6 2 5 2 2 4" xfId="4251"/>
    <cellStyle name="20% - Accent6 2 5 2 2 4 2" xfId="8715"/>
    <cellStyle name="20% - Accent6 2 5 2 2 5" xfId="5921"/>
    <cellStyle name="20% - Accent6 2 5 2 2 5 2" xfId="10385"/>
    <cellStyle name="20% - Accent6 2 5 2 2 6" xfId="6487"/>
    <cellStyle name="20% - Accent6 2 5 2 2 6 2" xfId="10942"/>
    <cellStyle name="20% - Accent6 2 5 2 2 7" xfId="7044"/>
    <cellStyle name="20% - Accent6 2 5 2 3" xfId="2103"/>
    <cellStyle name="20% - Accent6 2 5 2 3 2" xfId="3096"/>
    <cellStyle name="20% - Accent6 2 5 2 3 2 2" xfId="5365"/>
    <cellStyle name="20% - Accent6 2 5 2 3 2 2 2" xfId="9829"/>
    <cellStyle name="20% - Accent6 2 5 2 3 2 3" xfId="7601"/>
    <cellStyle name="20% - Accent6 2 5 2 3 3" xfId="3679"/>
    <cellStyle name="20% - Accent6 2 5 2 3 3 2" xfId="4809"/>
    <cellStyle name="20% - Accent6 2 5 2 3 3 2 2" xfId="9273"/>
    <cellStyle name="20% - Accent6 2 5 2 3 3 3" xfId="8158"/>
    <cellStyle name="20% - Accent6 2 5 2 3 4" xfId="4252"/>
    <cellStyle name="20% - Accent6 2 5 2 3 4 2" xfId="8716"/>
    <cellStyle name="20% - Accent6 2 5 2 3 5" xfId="5922"/>
    <cellStyle name="20% - Accent6 2 5 2 3 5 2" xfId="10386"/>
    <cellStyle name="20% - Accent6 2 5 2 3 6" xfId="6488"/>
    <cellStyle name="20% - Accent6 2 5 2 3 6 2" xfId="10943"/>
    <cellStyle name="20% - Accent6 2 5 2 3 7" xfId="7045"/>
    <cellStyle name="20% - Accent6 2 5 2 4" xfId="3094"/>
    <cellStyle name="20% - Accent6 2 5 2 4 2" xfId="5363"/>
    <cellStyle name="20% - Accent6 2 5 2 4 2 2" xfId="9827"/>
    <cellStyle name="20% - Accent6 2 5 2 4 3" xfId="7599"/>
    <cellStyle name="20% - Accent6 2 5 2 5" xfId="3677"/>
    <cellStyle name="20% - Accent6 2 5 2 5 2" xfId="4807"/>
    <cellStyle name="20% - Accent6 2 5 2 5 2 2" xfId="9271"/>
    <cellStyle name="20% - Accent6 2 5 2 5 3" xfId="8156"/>
    <cellStyle name="20% - Accent6 2 5 2 6" xfId="4250"/>
    <cellStyle name="20% - Accent6 2 5 2 6 2" xfId="8714"/>
    <cellStyle name="20% - Accent6 2 5 2 7" xfId="5920"/>
    <cellStyle name="20% - Accent6 2 5 2 7 2" xfId="10384"/>
    <cellStyle name="20% - Accent6 2 5 2 8" xfId="6486"/>
    <cellStyle name="20% - Accent6 2 5 2 8 2" xfId="10941"/>
    <cellStyle name="20% - Accent6 2 5 2 9" xfId="7043"/>
    <cellStyle name="20% - Accent6 2 5 3" xfId="2104"/>
    <cellStyle name="20% - Accent6 2 5 3 2" xfId="3097"/>
    <cellStyle name="20% - Accent6 2 5 3 2 2" xfId="5366"/>
    <cellStyle name="20% - Accent6 2 5 3 2 2 2" xfId="9830"/>
    <cellStyle name="20% - Accent6 2 5 3 2 3" xfId="7602"/>
    <cellStyle name="20% - Accent6 2 5 3 3" xfId="3680"/>
    <cellStyle name="20% - Accent6 2 5 3 3 2" xfId="4810"/>
    <cellStyle name="20% - Accent6 2 5 3 3 2 2" xfId="9274"/>
    <cellStyle name="20% - Accent6 2 5 3 3 3" xfId="8159"/>
    <cellStyle name="20% - Accent6 2 5 3 4" xfId="4253"/>
    <cellStyle name="20% - Accent6 2 5 3 4 2" xfId="8717"/>
    <cellStyle name="20% - Accent6 2 5 3 5" xfId="5923"/>
    <cellStyle name="20% - Accent6 2 5 3 5 2" xfId="10387"/>
    <cellStyle name="20% - Accent6 2 5 3 6" xfId="6489"/>
    <cellStyle name="20% - Accent6 2 5 3 6 2" xfId="10944"/>
    <cellStyle name="20% - Accent6 2 5 3 7" xfId="7046"/>
    <cellStyle name="20% - Accent6 2 5 4" xfId="2105"/>
    <cellStyle name="20% - Accent6 2 5 4 2" xfId="3098"/>
    <cellStyle name="20% - Accent6 2 5 4 2 2" xfId="5367"/>
    <cellStyle name="20% - Accent6 2 5 4 2 2 2" xfId="9831"/>
    <cellStyle name="20% - Accent6 2 5 4 2 3" xfId="7603"/>
    <cellStyle name="20% - Accent6 2 5 4 3" xfId="3681"/>
    <cellStyle name="20% - Accent6 2 5 4 3 2" xfId="4811"/>
    <cellStyle name="20% - Accent6 2 5 4 3 2 2" xfId="9275"/>
    <cellStyle name="20% - Accent6 2 5 4 3 3" xfId="8160"/>
    <cellStyle name="20% - Accent6 2 5 4 4" xfId="4254"/>
    <cellStyle name="20% - Accent6 2 5 4 4 2" xfId="8718"/>
    <cellStyle name="20% - Accent6 2 5 4 5" xfId="5924"/>
    <cellStyle name="20% - Accent6 2 5 4 5 2" xfId="10388"/>
    <cellStyle name="20% - Accent6 2 5 4 6" xfId="6490"/>
    <cellStyle name="20% - Accent6 2 5 4 6 2" xfId="10945"/>
    <cellStyle name="20% - Accent6 2 5 4 7" xfId="7047"/>
    <cellStyle name="20% - Accent6 2 6" xfId="1202"/>
    <cellStyle name="20% - Accent6 2 6 2" xfId="2106"/>
    <cellStyle name="20% - Accent6 2 6 2 2" xfId="3099"/>
    <cellStyle name="20% - Accent6 2 6 2 2 2" xfId="5368"/>
    <cellStyle name="20% - Accent6 2 6 2 2 2 2" xfId="9832"/>
    <cellStyle name="20% - Accent6 2 6 2 2 3" xfId="7604"/>
    <cellStyle name="20% - Accent6 2 6 2 3" xfId="3682"/>
    <cellStyle name="20% - Accent6 2 6 2 3 2" xfId="4812"/>
    <cellStyle name="20% - Accent6 2 6 2 3 2 2" xfId="9276"/>
    <cellStyle name="20% - Accent6 2 6 2 3 3" xfId="8161"/>
    <cellStyle name="20% - Accent6 2 6 2 4" xfId="4255"/>
    <cellStyle name="20% - Accent6 2 6 2 4 2" xfId="8719"/>
    <cellStyle name="20% - Accent6 2 6 2 5" xfId="5925"/>
    <cellStyle name="20% - Accent6 2 6 2 5 2" xfId="10389"/>
    <cellStyle name="20% - Accent6 2 6 2 6" xfId="6491"/>
    <cellStyle name="20% - Accent6 2 6 2 6 2" xfId="10946"/>
    <cellStyle name="20% - Accent6 2 6 2 7" xfId="7048"/>
    <cellStyle name="20% - Accent6 2 6 3" xfId="2107"/>
    <cellStyle name="20% - Accent6 2 6 3 2" xfId="3100"/>
    <cellStyle name="20% - Accent6 2 6 3 2 2" xfId="5369"/>
    <cellStyle name="20% - Accent6 2 6 3 2 2 2" xfId="9833"/>
    <cellStyle name="20% - Accent6 2 6 3 2 3" xfId="7605"/>
    <cellStyle name="20% - Accent6 2 6 3 3" xfId="3683"/>
    <cellStyle name="20% - Accent6 2 6 3 3 2" xfId="4813"/>
    <cellStyle name="20% - Accent6 2 6 3 3 2 2" xfId="9277"/>
    <cellStyle name="20% - Accent6 2 6 3 3 3" xfId="8162"/>
    <cellStyle name="20% - Accent6 2 6 3 4" xfId="4256"/>
    <cellStyle name="20% - Accent6 2 6 3 4 2" xfId="8720"/>
    <cellStyle name="20% - Accent6 2 6 3 5" xfId="5926"/>
    <cellStyle name="20% - Accent6 2 6 3 5 2" xfId="10390"/>
    <cellStyle name="20% - Accent6 2 6 3 6" xfId="6492"/>
    <cellStyle name="20% - Accent6 2 6 3 6 2" xfId="10947"/>
    <cellStyle name="20% - Accent6 2 6 3 7" xfId="7049"/>
    <cellStyle name="20% - Accent6 2 7" xfId="1741"/>
    <cellStyle name="20% - Accent6 2 7 2" xfId="2903"/>
    <cellStyle name="20% - Accent6 2 7 2 2" xfId="5172"/>
    <cellStyle name="20% - Accent6 2 7 2 2 2" xfId="9636"/>
    <cellStyle name="20% - Accent6 2 7 2 3" xfId="7408"/>
    <cellStyle name="20% - Accent6 2 7 3" xfId="3486"/>
    <cellStyle name="20% - Accent6 2 7 3 2" xfId="4616"/>
    <cellStyle name="20% - Accent6 2 7 3 2 2" xfId="9080"/>
    <cellStyle name="20% - Accent6 2 7 3 3" xfId="7965"/>
    <cellStyle name="20% - Accent6 2 7 4" xfId="4059"/>
    <cellStyle name="20% - Accent6 2 7 4 2" xfId="8523"/>
    <cellStyle name="20% - Accent6 2 7 5" xfId="5729"/>
    <cellStyle name="20% - Accent6 2 7 5 2" xfId="10193"/>
    <cellStyle name="20% - Accent6 2 7 6" xfId="6295"/>
    <cellStyle name="20% - Accent6 2 7 6 2" xfId="10750"/>
    <cellStyle name="20% - Accent6 2 7 7" xfId="6852"/>
    <cellStyle name="20% - Accent6 2 8" xfId="1834"/>
    <cellStyle name="20% - Accent6 2 8 2" xfId="2912"/>
    <cellStyle name="20% - Accent6 2 8 2 2" xfId="5181"/>
    <cellStyle name="20% - Accent6 2 8 2 2 2" xfId="9645"/>
    <cellStyle name="20% - Accent6 2 8 2 3" xfId="7417"/>
    <cellStyle name="20% - Accent6 2 8 3" xfId="3495"/>
    <cellStyle name="20% - Accent6 2 8 3 2" xfId="4625"/>
    <cellStyle name="20% - Accent6 2 8 3 2 2" xfId="9089"/>
    <cellStyle name="20% - Accent6 2 8 3 3" xfId="7974"/>
    <cellStyle name="20% - Accent6 2 8 4" xfId="4068"/>
    <cellStyle name="20% - Accent6 2 8 4 2" xfId="8532"/>
    <cellStyle name="20% - Accent6 2 8 5" xfId="5738"/>
    <cellStyle name="20% - Accent6 2 8 5 2" xfId="10202"/>
    <cellStyle name="20% - Accent6 2 8 6" xfId="6304"/>
    <cellStyle name="20% - Accent6 2 8 6 2" xfId="10759"/>
    <cellStyle name="20% - Accent6 2 8 7" xfId="6861"/>
    <cellStyle name="20% - Accent6 2 9" xfId="2108"/>
    <cellStyle name="20% - Accent6 20" xfId="1089"/>
    <cellStyle name="20% - Accent6 20 2" xfId="11960"/>
    <cellStyle name="20% - Accent6 21" xfId="11843"/>
    <cellStyle name="20% - Accent6 3" xfId="78"/>
    <cellStyle name="20% - Accent6 3 2" xfId="2109"/>
    <cellStyle name="20% - Accent6 3 3" xfId="2609"/>
    <cellStyle name="20% - Accent6 3 4" xfId="11391"/>
    <cellStyle name="20% - Accent6 3 5" xfId="1204"/>
    <cellStyle name="20% - Accent6 4" xfId="79"/>
    <cellStyle name="20% - Accent6 4 2" xfId="2775"/>
    <cellStyle name="20% - Accent6 4 3" xfId="11392"/>
    <cellStyle name="20% - Accent6 4 4" xfId="1206"/>
    <cellStyle name="20% - Accent6 5" xfId="80"/>
    <cellStyle name="20% - Accent6 5 2" xfId="11393"/>
    <cellStyle name="20% - Accent6 5 3" xfId="1667"/>
    <cellStyle name="20% - Accent6 6" xfId="81"/>
    <cellStyle name="20% - Accent6 6 2" xfId="11394"/>
    <cellStyle name="20% - Accent6 6 3" xfId="1833"/>
    <cellStyle name="20% - Accent6 7" xfId="82"/>
    <cellStyle name="20% - Accent6 8" xfId="83"/>
    <cellStyle name="20% - Accent6 9" xfId="84"/>
    <cellStyle name="40% - Accent1" xfId="942" builtinId="31" customBuiltin="1"/>
    <cellStyle name="40% - Accent1 10" xfId="85"/>
    <cellStyle name="40% - Accent1 11" xfId="86"/>
    <cellStyle name="40% - Accent1 12" xfId="87"/>
    <cellStyle name="40% - Accent1 13" xfId="88"/>
    <cellStyle name="40% - Accent1 14" xfId="89"/>
    <cellStyle name="40% - Accent1 15" xfId="90"/>
    <cellStyle name="40% - Accent1 16" xfId="676"/>
    <cellStyle name="40% - Accent1 17" xfId="990"/>
    <cellStyle name="40% - Accent1 17 2" xfId="11861"/>
    <cellStyle name="40% - Accent1 18" xfId="1015"/>
    <cellStyle name="40% - Accent1 18 2" xfId="11886"/>
    <cellStyle name="40% - Accent1 19" xfId="1065"/>
    <cellStyle name="40% - Accent1 19 2" xfId="11936"/>
    <cellStyle name="40% - Accent1 2" xfId="91"/>
    <cellStyle name="40% - Accent1 2 10" xfId="2110"/>
    <cellStyle name="40% - Accent1 2 10 2" xfId="3101"/>
    <cellStyle name="40% - Accent1 2 10 2 2" xfId="5370"/>
    <cellStyle name="40% - Accent1 2 10 2 2 2" xfId="9834"/>
    <cellStyle name="40% - Accent1 2 10 2 3" xfId="7606"/>
    <cellStyle name="40% - Accent1 2 10 3" xfId="3684"/>
    <cellStyle name="40% - Accent1 2 10 3 2" xfId="4814"/>
    <cellStyle name="40% - Accent1 2 10 3 2 2" xfId="9278"/>
    <cellStyle name="40% - Accent1 2 10 3 3" xfId="8163"/>
    <cellStyle name="40% - Accent1 2 10 4" xfId="4257"/>
    <cellStyle name="40% - Accent1 2 10 4 2" xfId="8721"/>
    <cellStyle name="40% - Accent1 2 10 5" xfId="5927"/>
    <cellStyle name="40% - Accent1 2 10 5 2" xfId="10391"/>
    <cellStyle name="40% - Accent1 2 10 6" xfId="6493"/>
    <cellStyle name="40% - Accent1 2 10 6 2" xfId="10948"/>
    <cellStyle name="40% - Accent1 2 10 7" xfId="7050"/>
    <cellStyle name="40% - Accent1 2 11" xfId="11305"/>
    <cellStyle name="40% - Accent1 2 12" xfId="11334"/>
    <cellStyle name="40% - Accent1 2 13" xfId="1208"/>
    <cellStyle name="40% - Accent1 2 14" xfId="1130"/>
    <cellStyle name="40% - Accent1 2 2" xfId="718"/>
    <cellStyle name="40% - Accent1 2 2 2" xfId="1750"/>
    <cellStyle name="40% - Accent1 2 2 3" xfId="1210"/>
    <cellStyle name="40% - Accent1 2 2 4" xfId="11675"/>
    <cellStyle name="40% - Accent1 2 2 5" xfId="1171"/>
    <cellStyle name="40% - Accent1 2 3" xfId="1100"/>
    <cellStyle name="40% - Accent1 2 3 2" xfId="2111"/>
    <cellStyle name="40% - Accent1 2 3 2 10" xfId="7051"/>
    <cellStyle name="40% - Accent1 2 3 2 2" xfId="2112"/>
    <cellStyle name="40% - Accent1 2 3 2 2 2" xfId="2113"/>
    <cellStyle name="40% - Accent1 2 3 2 2 2 2" xfId="3104"/>
    <cellStyle name="40% - Accent1 2 3 2 2 2 2 2" xfId="5373"/>
    <cellStyle name="40% - Accent1 2 3 2 2 2 2 2 2" xfId="9837"/>
    <cellStyle name="40% - Accent1 2 3 2 2 2 2 3" xfId="7609"/>
    <cellStyle name="40% - Accent1 2 3 2 2 2 3" xfId="3687"/>
    <cellStyle name="40% - Accent1 2 3 2 2 2 3 2" xfId="4817"/>
    <cellStyle name="40% - Accent1 2 3 2 2 2 3 2 2" xfId="9281"/>
    <cellStyle name="40% - Accent1 2 3 2 2 2 3 3" xfId="8166"/>
    <cellStyle name="40% - Accent1 2 3 2 2 2 4" xfId="4260"/>
    <cellStyle name="40% - Accent1 2 3 2 2 2 4 2" xfId="8724"/>
    <cellStyle name="40% - Accent1 2 3 2 2 2 5" xfId="5930"/>
    <cellStyle name="40% - Accent1 2 3 2 2 2 5 2" xfId="10394"/>
    <cellStyle name="40% - Accent1 2 3 2 2 2 6" xfId="6496"/>
    <cellStyle name="40% - Accent1 2 3 2 2 2 6 2" xfId="10951"/>
    <cellStyle name="40% - Accent1 2 3 2 2 2 7" xfId="7053"/>
    <cellStyle name="40% - Accent1 2 3 2 2 3" xfId="2114"/>
    <cellStyle name="40% - Accent1 2 3 2 2 3 2" xfId="3105"/>
    <cellStyle name="40% - Accent1 2 3 2 2 3 2 2" xfId="5374"/>
    <cellStyle name="40% - Accent1 2 3 2 2 3 2 2 2" xfId="9838"/>
    <cellStyle name="40% - Accent1 2 3 2 2 3 2 3" xfId="7610"/>
    <cellStyle name="40% - Accent1 2 3 2 2 3 3" xfId="3688"/>
    <cellStyle name="40% - Accent1 2 3 2 2 3 3 2" xfId="4818"/>
    <cellStyle name="40% - Accent1 2 3 2 2 3 3 2 2" xfId="9282"/>
    <cellStyle name="40% - Accent1 2 3 2 2 3 3 3" xfId="8167"/>
    <cellStyle name="40% - Accent1 2 3 2 2 3 4" xfId="4261"/>
    <cellStyle name="40% - Accent1 2 3 2 2 3 4 2" xfId="8725"/>
    <cellStyle name="40% - Accent1 2 3 2 2 3 5" xfId="5931"/>
    <cellStyle name="40% - Accent1 2 3 2 2 3 5 2" xfId="10395"/>
    <cellStyle name="40% - Accent1 2 3 2 2 3 6" xfId="6497"/>
    <cellStyle name="40% - Accent1 2 3 2 2 3 6 2" xfId="10952"/>
    <cellStyle name="40% - Accent1 2 3 2 2 3 7" xfId="7054"/>
    <cellStyle name="40% - Accent1 2 3 2 2 4" xfId="3103"/>
    <cellStyle name="40% - Accent1 2 3 2 2 4 2" xfId="5372"/>
    <cellStyle name="40% - Accent1 2 3 2 2 4 2 2" xfId="9836"/>
    <cellStyle name="40% - Accent1 2 3 2 2 4 3" xfId="7608"/>
    <cellStyle name="40% - Accent1 2 3 2 2 5" xfId="3686"/>
    <cellStyle name="40% - Accent1 2 3 2 2 5 2" xfId="4816"/>
    <cellStyle name="40% - Accent1 2 3 2 2 5 2 2" xfId="9280"/>
    <cellStyle name="40% - Accent1 2 3 2 2 5 3" xfId="8165"/>
    <cellStyle name="40% - Accent1 2 3 2 2 6" xfId="4259"/>
    <cellStyle name="40% - Accent1 2 3 2 2 6 2" xfId="8723"/>
    <cellStyle name="40% - Accent1 2 3 2 2 7" xfId="5929"/>
    <cellStyle name="40% - Accent1 2 3 2 2 7 2" xfId="10393"/>
    <cellStyle name="40% - Accent1 2 3 2 2 8" xfId="6495"/>
    <cellStyle name="40% - Accent1 2 3 2 2 8 2" xfId="10950"/>
    <cellStyle name="40% - Accent1 2 3 2 2 9" xfId="7052"/>
    <cellStyle name="40% - Accent1 2 3 2 3" xfId="2115"/>
    <cellStyle name="40% - Accent1 2 3 2 3 2" xfId="3106"/>
    <cellStyle name="40% - Accent1 2 3 2 3 2 2" xfId="5375"/>
    <cellStyle name="40% - Accent1 2 3 2 3 2 2 2" xfId="9839"/>
    <cellStyle name="40% - Accent1 2 3 2 3 2 3" xfId="7611"/>
    <cellStyle name="40% - Accent1 2 3 2 3 3" xfId="3689"/>
    <cellStyle name="40% - Accent1 2 3 2 3 3 2" xfId="4819"/>
    <cellStyle name="40% - Accent1 2 3 2 3 3 2 2" xfId="9283"/>
    <cellStyle name="40% - Accent1 2 3 2 3 3 3" xfId="8168"/>
    <cellStyle name="40% - Accent1 2 3 2 3 4" xfId="4262"/>
    <cellStyle name="40% - Accent1 2 3 2 3 4 2" xfId="8726"/>
    <cellStyle name="40% - Accent1 2 3 2 3 5" xfId="5932"/>
    <cellStyle name="40% - Accent1 2 3 2 3 5 2" xfId="10396"/>
    <cellStyle name="40% - Accent1 2 3 2 3 6" xfId="6498"/>
    <cellStyle name="40% - Accent1 2 3 2 3 6 2" xfId="10953"/>
    <cellStyle name="40% - Accent1 2 3 2 3 7" xfId="7055"/>
    <cellStyle name="40% - Accent1 2 3 2 4" xfId="2116"/>
    <cellStyle name="40% - Accent1 2 3 2 4 2" xfId="3107"/>
    <cellStyle name="40% - Accent1 2 3 2 4 2 2" xfId="5376"/>
    <cellStyle name="40% - Accent1 2 3 2 4 2 2 2" xfId="9840"/>
    <cellStyle name="40% - Accent1 2 3 2 4 2 3" xfId="7612"/>
    <cellStyle name="40% - Accent1 2 3 2 4 3" xfId="3690"/>
    <cellStyle name="40% - Accent1 2 3 2 4 3 2" xfId="4820"/>
    <cellStyle name="40% - Accent1 2 3 2 4 3 2 2" xfId="9284"/>
    <cellStyle name="40% - Accent1 2 3 2 4 3 3" xfId="8169"/>
    <cellStyle name="40% - Accent1 2 3 2 4 4" xfId="4263"/>
    <cellStyle name="40% - Accent1 2 3 2 4 4 2" xfId="8727"/>
    <cellStyle name="40% - Accent1 2 3 2 4 5" xfId="5933"/>
    <cellStyle name="40% - Accent1 2 3 2 4 5 2" xfId="10397"/>
    <cellStyle name="40% - Accent1 2 3 2 4 6" xfId="6499"/>
    <cellStyle name="40% - Accent1 2 3 2 4 6 2" xfId="10954"/>
    <cellStyle name="40% - Accent1 2 3 2 4 7" xfId="7056"/>
    <cellStyle name="40% - Accent1 2 3 2 5" xfId="3102"/>
    <cellStyle name="40% - Accent1 2 3 2 5 2" xfId="5371"/>
    <cellStyle name="40% - Accent1 2 3 2 5 2 2" xfId="9835"/>
    <cellStyle name="40% - Accent1 2 3 2 5 3" xfId="7607"/>
    <cellStyle name="40% - Accent1 2 3 2 6" xfId="3685"/>
    <cellStyle name="40% - Accent1 2 3 2 6 2" xfId="4815"/>
    <cellStyle name="40% - Accent1 2 3 2 6 2 2" xfId="9279"/>
    <cellStyle name="40% - Accent1 2 3 2 6 3" xfId="8164"/>
    <cellStyle name="40% - Accent1 2 3 2 7" xfId="4258"/>
    <cellStyle name="40% - Accent1 2 3 2 7 2" xfId="8722"/>
    <cellStyle name="40% - Accent1 2 3 2 8" xfId="5928"/>
    <cellStyle name="40% - Accent1 2 3 2 8 2" xfId="10392"/>
    <cellStyle name="40% - Accent1 2 3 2 9" xfId="6494"/>
    <cellStyle name="40% - Accent1 2 3 2 9 2" xfId="10949"/>
    <cellStyle name="40% - Accent1 2 3 3" xfId="2117"/>
    <cellStyle name="40% - Accent1 2 3 3 2" xfId="2118"/>
    <cellStyle name="40% - Accent1 2 3 3 2 2" xfId="3109"/>
    <cellStyle name="40% - Accent1 2 3 3 2 2 2" xfId="5378"/>
    <cellStyle name="40% - Accent1 2 3 3 2 2 2 2" xfId="9842"/>
    <cellStyle name="40% - Accent1 2 3 3 2 2 3" xfId="7614"/>
    <cellStyle name="40% - Accent1 2 3 3 2 3" xfId="3692"/>
    <cellStyle name="40% - Accent1 2 3 3 2 3 2" xfId="4822"/>
    <cellStyle name="40% - Accent1 2 3 3 2 3 2 2" xfId="9286"/>
    <cellStyle name="40% - Accent1 2 3 3 2 3 3" xfId="8171"/>
    <cellStyle name="40% - Accent1 2 3 3 2 4" xfId="4265"/>
    <cellStyle name="40% - Accent1 2 3 3 2 4 2" xfId="8729"/>
    <cellStyle name="40% - Accent1 2 3 3 2 5" xfId="5935"/>
    <cellStyle name="40% - Accent1 2 3 3 2 5 2" xfId="10399"/>
    <cellStyle name="40% - Accent1 2 3 3 2 6" xfId="6501"/>
    <cellStyle name="40% - Accent1 2 3 3 2 6 2" xfId="10956"/>
    <cellStyle name="40% - Accent1 2 3 3 2 7" xfId="7058"/>
    <cellStyle name="40% - Accent1 2 3 3 3" xfId="2119"/>
    <cellStyle name="40% - Accent1 2 3 3 3 2" xfId="3110"/>
    <cellStyle name="40% - Accent1 2 3 3 3 2 2" xfId="5379"/>
    <cellStyle name="40% - Accent1 2 3 3 3 2 2 2" xfId="9843"/>
    <cellStyle name="40% - Accent1 2 3 3 3 2 3" xfId="7615"/>
    <cellStyle name="40% - Accent1 2 3 3 3 3" xfId="3693"/>
    <cellStyle name="40% - Accent1 2 3 3 3 3 2" xfId="4823"/>
    <cellStyle name="40% - Accent1 2 3 3 3 3 2 2" xfId="9287"/>
    <cellStyle name="40% - Accent1 2 3 3 3 3 3" xfId="8172"/>
    <cellStyle name="40% - Accent1 2 3 3 3 4" xfId="4266"/>
    <cellStyle name="40% - Accent1 2 3 3 3 4 2" xfId="8730"/>
    <cellStyle name="40% - Accent1 2 3 3 3 5" xfId="5936"/>
    <cellStyle name="40% - Accent1 2 3 3 3 5 2" xfId="10400"/>
    <cellStyle name="40% - Accent1 2 3 3 3 6" xfId="6502"/>
    <cellStyle name="40% - Accent1 2 3 3 3 6 2" xfId="10957"/>
    <cellStyle name="40% - Accent1 2 3 3 3 7" xfId="7059"/>
    <cellStyle name="40% - Accent1 2 3 3 4" xfId="3108"/>
    <cellStyle name="40% - Accent1 2 3 3 4 2" xfId="5377"/>
    <cellStyle name="40% - Accent1 2 3 3 4 2 2" xfId="9841"/>
    <cellStyle name="40% - Accent1 2 3 3 4 3" xfId="7613"/>
    <cellStyle name="40% - Accent1 2 3 3 5" xfId="3691"/>
    <cellStyle name="40% - Accent1 2 3 3 5 2" xfId="4821"/>
    <cellStyle name="40% - Accent1 2 3 3 5 2 2" xfId="9285"/>
    <cellStyle name="40% - Accent1 2 3 3 5 3" xfId="8170"/>
    <cellStyle name="40% - Accent1 2 3 3 6" xfId="4264"/>
    <cellStyle name="40% - Accent1 2 3 3 6 2" xfId="8728"/>
    <cellStyle name="40% - Accent1 2 3 3 7" xfId="5934"/>
    <cellStyle name="40% - Accent1 2 3 3 7 2" xfId="10398"/>
    <cellStyle name="40% - Accent1 2 3 3 8" xfId="6500"/>
    <cellStyle name="40% - Accent1 2 3 3 8 2" xfId="10955"/>
    <cellStyle name="40% - Accent1 2 3 3 9" xfId="7057"/>
    <cellStyle name="40% - Accent1 2 3 4" xfId="2120"/>
    <cellStyle name="40% - Accent1 2 3 4 2" xfId="3111"/>
    <cellStyle name="40% - Accent1 2 3 4 2 2" xfId="5380"/>
    <cellStyle name="40% - Accent1 2 3 4 2 2 2" xfId="9844"/>
    <cellStyle name="40% - Accent1 2 3 4 2 3" xfId="7616"/>
    <cellStyle name="40% - Accent1 2 3 4 3" xfId="3694"/>
    <cellStyle name="40% - Accent1 2 3 4 3 2" xfId="4824"/>
    <cellStyle name="40% - Accent1 2 3 4 3 2 2" xfId="9288"/>
    <cellStyle name="40% - Accent1 2 3 4 3 3" xfId="8173"/>
    <cellStyle name="40% - Accent1 2 3 4 4" xfId="4267"/>
    <cellStyle name="40% - Accent1 2 3 4 4 2" xfId="8731"/>
    <cellStyle name="40% - Accent1 2 3 4 5" xfId="5937"/>
    <cellStyle name="40% - Accent1 2 3 4 5 2" xfId="10401"/>
    <cellStyle name="40% - Accent1 2 3 4 6" xfId="6503"/>
    <cellStyle name="40% - Accent1 2 3 4 6 2" xfId="10958"/>
    <cellStyle name="40% - Accent1 2 3 4 7" xfId="7060"/>
    <cellStyle name="40% - Accent1 2 3 5" xfId="2121"/>
    <cellStyle name="40% - Accent1 2 3 5 2" xfId="3112"/>
    <cellStyle name="40% - Accent1 2 3 5 2 2" xfId="5381"/>
    <cellStyle name="40% - Accent1 2 3 5 2 2 2" xfId="9845"/>
    <cellStyle name="40% - Accent1 2 3 5 2 3" xfId="7617"/>
    <cellStyle name="40% - Accent1 2 3 5 3" xfId="3695"/>
    <cellStyle name="40% - Accent1 2 3 5 3 2" xfId="4825"/>
    <cellStyle name="40% - Accent1 2 3 5 3 2 2" xfId="9289"/>
    <cellStyle name="40% - Accent1 2 3 5 3 3" xfId="8174"/>
    <cellStyle name="40% - Accent1 2 3 5 4" xfId="4268"/>
    <cellStyle name="40% - Accent1 2 3 5 4 2" xfId="8732"/>
    <cellStyle name="40% - Accent1 2 3 5 5" xfId="5938"/>
    <cellStyle name="40% - Accent1 2 3 5 5 2" xfId="10402"/>
    <cellStyle name="40% - Accent1 2 3 5 6" xfId="6504"/>
    <cellStyle name="40% - Accent1 2 3 5 6 2" xfId="10959"/>
    <cellStyle name="40% - Accent1 2 3 5 7" xfId="7061"/>
    <cellStyle name="40% - Accent1 2 3 6" xfId="11965"/>
    <cellStyle name="40% - Accent1 2 3 7" xfId="1212"/>
    <cellStyle name="40% - Accent1 2 4" xfId="1214"/>
    <cellStyle name="40% - Accent1 2 4 2" xfId="2122"/>
    <cellStyle name="40% - Accent1 2 4 2 2" xfId="2123"/>
    <cellStyle name="40% - Accent1 2 4 2 2 2" xfId="3114"/>
    <cellStyle name="40% - Accent1 2 4 2 2 2 2" xfId="5383"/>
    <cellStyle name="40% - Accent1 2 4 2 2 2 2 2" xfId="9847"/>
    <cellStyle name="40% - Accent1 2 4 2 2 2 3" xfId="7619"/>
    <cellStyle name="40% - Accent1 2 4 2 2 3" xfId="3697"/>
    <cellStyle name="40% - Accent1 2 4 2 2 3 2" xfId="4827"/>
    <cellStyle name="40% - Accent1 2 4 2 2 3 2 2" xfId="9291"/>
    <cellStyle name="40% - Accent1 2 4 2 2 3 3" xfId="8176"/>
    <cellStyle name="40% - Accent1 2 4 2 2 4" xfId="4270"/>
    <cellStyle name="40% - Accent1 2 4 2 2 4 2" xfId="8734"/>
    <cellStyle name="40% - Accent1 2 4 2 2 5" xfId="5940"/>
    <cellStyle name="40% - Accent1 2 4 2 2 5 2" xfId="10404"/>
    <cellStyle name="40% - Accent1 2 4 2 2 6" xfId="6506"/>
    <cellStyle name="40% - Accent1 2 4 2 2 6 2" xfId="10961"/>
    <cellStyle name="40% - Accent1 2 4 2 2 7" xfId="7063"/>
    <cellStyle name="40% - Accent1 2 4 2 3" xfId="2124"/>
    <cellStyle name="40% - Accent1 2 4 2 3 2" xfId="3115"/>
    <cellStyle name="40% - Accent1 2 4 2 3 2 2" xfId="5384"/>
    <cellStyle name="40% - Accent1 2 4 2 3 2 2 2" xfId="9848"/>
    <cellStyle name="40% - Accent1 2 4 2 3 2 3" xfId="7620"/>
    <cellStyle name="40% - Accent1 2 4 2 3 3" xfId="3698"/>
    <cellStyle name="40% - Accent1 2 4 2 3 3 2" xfId="4828"/>
    <cellStyle name="40% - Accent1 2 4 2 3 3 2 2" xfId="9292"/>
    <cellStyle name="40% - Accent1 2 4 2 3 3 3" xfId="8177"/>
    <cellStyle name="40% - Accent1 2 4 2 3 4" xfId="4271"/>
    <cellStyle name="40% - Accent1 2 4 2 3 4 2" xfId="8735"/>
    <cellStyle name="40% - Accent1 2 4 2 3 5" xfId="5941"/>
    <cellStyle name="40% - Accent1 2 4 2 3 5 2" xfId="10405"/>
    <cellStyle name="40% - Accent1 2 4 2 3 6" xfId="6507"/>
    <cellStyle name="40% - Accent1 2 4 2 3 6 2" xfId="10962"/>
    <cellStyle name="40% - Accent1 2 4 2 3 7" xfId="7064"/>
    <cellStyle name="40% - Accent1 2 4 2 4" xfId="3113"/>
    <cellStyle name="40% - Accent1 2 4 2 4 2" xfId="5382"/>
    <cellStyle name="40% - Accent1 2 4 2 4 2 2" xfId="9846"/>
    <cellStyle name="40% - Accent1 2 4 2 4 3" xfId="7618"/>
    <cellStyle name="40% - Accent1 2 4 2 5" xfId="3696"/>
    <cellStyle name="40% - Accent1 2 4 2 5 2" xfId="4826"/>
    <cellStyle name="40% - Accent1 2 4 2 5 2 2" xfId="9290"/>
    <cellStyle name="40% - Accent1 2 4 2 5 3" xfId="8175"/>
    <cellStyle name="40% - Accent1 2 4 2 6" xfId="4269"/>
    <cellStyle name="40% - Accent1 2 4 2 6 2" xfId="8733"/>
    <cellStyle name="40% - Accent1 2 4 2 7" xfId="5939"/>
    <cellStyle name="40% - Accent1 2 4 2 7 2" xfId="10403"/>
    <cellStyle name="40% - Accent1 2 4 2 8" xfId="6505"/>
    <cellStyle name="40% - Accent1 2 4 2 8 2" xfId="10960"/>
    <cellStyle name="40% - Accent1 2 4 2 9" xfId="7062"/>
    <cellStyle name="40% - Accent1 2 4 3" xfId="2125"/>
    <cellStyle name="40% - Accent1 2 4 3 2" xfId="2126"/>
    <cellStyle name="40% - Accent1 2 4 3 2 2" xfId="3117"/>
    <cellStyle name="40% - Accent1 2 4 3 2 2 2" xfId="5386"/>
    <cellStyle name="40% - Accent1 2 4 3 2 2 2 2" xfId="9850"/>
    <cellStyle name="40% - Accent1 2 4 3 2 2 3" xfId="7622"/>
    <cellStyle name="40% - Accent1 2 4 3 2 3" xfId="3700"/>
    <cellStyle name="40% - Accent1 2 4 3 2 3 2" xfId="4830"/>
    <cellStyle name="40% - Accent1 2 4 3 2 3 2 2" xfId="9294"/>
    <cellStyle name="40% - Accent1 2 4 3 2 3 3" xfId="8179"/>
    <cellStyle name="40% - Accent1 2 4 3 2 4" xfId="4273"/>
    <cellStyle name="40% - Accent1 2 4 3 2 4 2" xfId="8737"/>
    <cellStyle name="40% - Accent1 2 4 3 2 5" xfId="5943"/>
    <cellStyle name="40% - Accent1 2 4 3 2 5 2" xfId="10407"/>
    <cellStyle name="40% - Accent1 2 4 3 2 6" xfId="6509"/>
    <cellStyle name="40% - Accent1 2 4 3 2 6 2" xfId="10964"/>
    <cellStyle name="40% - Accent1 2 4 3 2 7" xfId="7066"/>
    <cellStyle name="40% - Accent1 2 4 3 3" xfId="2127"/>
    <cellStyle name="40% - Accent1 2 4 3 3 2" xfId="3118"/>
    <cellStyle name="40% - Accent1 2 4 3 3 2 2" xfId="5387"/>
    <cellStyle name="40% - Accent1 2 4 3 3 2 2 2" xfId="9851"/>
    <cellStyle name="40% - Accent1 2 4 3 3 2 3" xfId="7623"/>
    <cellStyle name="40% - Accent1 2 4 3 3 3" xfId="3701"/>
    <cellStyle name="40% - Accent1 2 4 3 3 3 2" xfId="4831"/>
    <cellStyle name="40% - Accent1 2 4 3 3 3 2 2" xfId="9295"/>
    <cellStyle name="40% - Accent1 2 4 3 3 3 3" xfId="8180"/>
    <cellStyle name="40% - Accent1 2 4 3 3 4" xfId="4274"/>
    <cellStyle name="40% - Accent1 2 4 3 3 4 2" xfId="8738"/>
    <cellStyle name="40% - Accent1 2 4 3 3 5" xfId="5944"/>
    <cellStyle name="40% - Accent1 2 4 3 3 5 2" xfId="10408"/>
    <cellStyle name="40% - Accent1 2 4 3 3 6" xfId="6510"/>
    <cellStyle name="40% - Accent1 2 4 3 3 6 2" xfId="10965"/>
    <cellStyle name="40% - Accent1 2 4 3 3 7" xfId="7067"/>
    <cellStyle name="40% - Accent1 2 4 3 4" xfId="3116"/>
    <cellStyle name="40% - Accent1 2 4 3 4 2" xfId="5385"/>
    <cellStyle name="40% - Accent1 2 4 3 4 2 2" xfId="9849"/>
    <cellStyle name="40% - Accent1 2 4 3 4 3" xfId="7621"/>
    <cellStyle name="40% - Accent1 2 4 3 5" xfId="3699"/>
    <cellStyle name="40% - Accent1 2 4 3 5 2" xfId="4829"/>
    <cellStyle name="40% - Accent1 2 4 3 5 2 2" xfId="9293"/>
    <cellStyle name="40% - Accent1 2 4 3 5 3" xfId="8178"/>
    <cellStyle name="40% - Accent1 2 4 3 6" xfId="4272"/>
    <cellStyle name="40% - Accent1 2 4 3 6 2" xfId="8736"/>
    <cellStyle name="40% - Accent1 2 4 3 7" xfId="5942"/>
    <cellStyle name="40% - Accent1 2 4 3 7 2" xfId="10406"/>
    <cellStyle name="40% - Accent1 2 4 3 8" xfId="6508"/>
    <cellStyle name="40% - Accent1 2 4 3 8 2" xfId="10963"/>
    <cellStyle name="40% - Accent1 2 4 3 9" xfId="7065"/>
    <cellStyle name="40% - Accent1 2 4 4" xfId="2128"/>
    <cellStyle name="40% - Accent1 2 4 4 2" xfId="3119"/>
    <cellStyle name="40% - Accent1 2 4 4 2 2" xfId="5388"/>
    <cellStyle name="40% - Accent1 2 4 4 2 2 2" xfId="9852"/>
    <cellStyle name="40% - Accent1 2 4 4 2 3" xfId="7624"/>
    <cellStyle name="40% - Accent1 2 4 4 3" xfId="3702"/>
    <cellStyle name="40% - Accent1 2 4 4 3 2" xfId="4832"/>
    <cellStyle name="40% - Accent1 2 4 4 3 2 2" xfId="9296"/>
    <cellStyle name="40% - Accent1 2 4 4 3 3" xfId="8181"/>
    <cellStyle name="40% - Accent1 2 4 4 4" xfId="4275"/>
    <cellStyle name="40% - Accent1 2 4 4 4 2" xfId="8739"/>
    <cellStyle name="40% - Accent1 2 4 4 5" xfId="5945"/>
    <cellStyle name="40% - Accent1 2 4 4 5 2" xfId="10409"/>
    <cellStyle name="40% - Accent1 2 4 4 6" xfId="6511"/>
    <cellStyle name="40% - Accent1 2 4 4 6 2" xfId="10966"/>
    <cellStyle name="40% - Accent1 2 4 4 7" xfId="7068"/>
    <cellStyle name="40% - Accent1 2 4 5" xfId="2129"/>
    <cellStyle name="40% - Accent1 2 4 5 2" xfId="3120"/>
    <cellStyle name="40% - Accent1 2 4 5 2 2" xfId="5389"/>
    <cellStyle name="40% - Accent1 2 4 5 2 2 2" xfId="9853"/>
    <cellStyle name="40% - Accent1 2 4 5 2 3" xfId="7625"/>
    <cellStyle name="40% - Accent1 2 4 5 3" xfId="3703"/>
    <cellStyle name="40% - Accent1 2 4 5 3 2" xfId="4833"/>
    <cellStyle name="40% - Accent1 2 4 5 3 2 2" xfId="9297"/>
    <cellStyle name="40% - Accent1 2 4 5 3 3" xfId="8182"/>
    <cellStyle name="40% - Accent1 2 4 5 4" xfId="4276"/>
    <cellStyle name="40% - Accent1 2 4 5 4 2" xfId="8740"/>
    <cellStyle name="40% - Accent1 2 4 5 5" xfId="5946"/>
    <cellStyle name="40% - Accent1 2 4 5 5 2" xfId="10410"/>
    <cellStyle name="40% - Accent1 2 4 5 6" xfId="6512"/>
    <cellStyle name="40% - Accent1 2 4 5 6 2" xfId="10967"/>
    <cellStyle name="40% - Accent1 2 4 5 7" xfId="7069"/>
    <cellStyle name="40% - Accent1 2 5" xfId="1215"/>
    <cellStyle name="40% - Accent1 2 5 2" xfId="2130"/>
    <cellStyle name="40% - Accent1 2 5 2 2" xfId="2131"/>
    <cellStyle name="40% - Accent1 2 5 2 2 2" xfId="3122"/>
    <cellStyle name="40% - Accent1 2 5 2 2 2 2" xfId="5391"/>
    <cellStyle name="40% - Accent1 2 5 2 2 2 2 2" xfId="9855"/>
    <cellStyle name="40% - Accent1 2 5 2 2 2 3" xfId="7627"/>
    <cellStyle name="40% - Accent1 2 5 2 2 3" xfId="3705"/>
    <cellStyle name="40% - Accent1 2 5 2 2 3 2" xfId="4835"/>
    <cellStyle name="40% - Accent1 2 5 2 2 3 2 2" xfId="9299"/>
    <cellStyle name="40% - Accent1 2 5 2 2 3 3" xfId="8184"/>
    <cellStyle name="40% - Accent1 2 5 2 2 4" xfId="4278"/>
    <cellStyle name="40% - Accent1 2 5 2 2 4 2" xfId="8742"/>
    <cellStyle name="40% - Accent1 2 5 2 2 5" xfId="5948"/>
    <cellStyle name="40% - Accent1 2 5 2 2 5 2" xfId="10412"/>
    <cellStyle name="40% - Accent1 2 5 2 2 6" xfId="6514"/>
    <cellStyle name="40% - Accent1 2 5 2 2 6 2" xfId="10969"/>
    <cellStyle name="40% - Accent1 2 5 2 2 7" xfId="7071"/>
    <cellStyle name="40% - Accent1 2 5 2 3" xfId="2132"/>
    <cellStyle name="40% - Accent1 2 5 2 3 2" xfId="3123"/>
    <cellStyle name="40% - Accent1 2 5 2 3 2 2" xfId="5392"/>
    <cellStyle name="40% - Accent1 2 5 2 3 2 2 2" xfId="9856"/>
    <cellStyle name="40% - Accent1 2 5 2 3 2 3" xfId="7628"/>
    <cellStyle name="40% - Accent1 2 5 2 3 3" xfId="3706"/>
    <cellStyle name="40% - Accent1 2 5 2 3 3 2" xfId="4836"/>
    <cellStyle name="40% - Accent1 2 5 2 3 3 2 2" xfId="9300"/>
    <cellStyle name="40% - Accent1 2 5 2 3 3 3" xfId="8185"/>
    <cellStyle name="40% - Accent1 2 5 2 3 4" xfId="4279"/>
    <cellStyle name="40% - Accent1 2 5 2 3 4 2" xfId="8743"/>
    <cellStyle name="40% - Accent1 2 5 2 3 5" xfId="5949"/>
    <cellStyle name="40% - Accent1 2 5 2 3 5 2" xfId="10413"/>
    <cellStyle name="40% - Accent1 2 5 2 3 6" xfId="6515"/>
    <cellStyle name="40% - Accent1 2 5 2 3 6 2" xfId="10970"/>
    <cellStyle name="40% - Accent1 2 5 2 3 7" xfId="7072"/>
    <cellStyle name="40% - Accent1 2 5 2 4" xfId="3121"/>
    <cellStyle name="40% - Accent1 2 5 2 4 2" xfId="5390"/>
    <cellStyle name="40% - Accent1 2 5 2 4 2 2" xfId="9854"/>
    <cellStyle name="40% - Accent1 2 5 2 4 3" xfId="7626"/>
    <cellStyle name="40% - Accent1 2 5 2 5" xfId="3704"/>
    <cellStyle name="40% - Accent1 2 5 2 5 2" xfId="4834"/>
    <cellStyle name="40% - Accent1 2 5 2 5 2 2" xfId="9298"/>
    <cellStyle name="40% - Accent1 2 5 2 5 3" xfId="8183"/>
    <cellStyle name="40% - Accent1 2 5 2 6" xfId="4277"/>
    <cellStyle name="40% - Accent1 2 5 2 6 2" xfId="8741"/>
    <cellStyle name="40% - Accent1 2 5 2 7" xfId="5947"/>
    <cellStyle name="40% - Accent1 2 5 2 7 2" xfId="10411"/>
    <cellStyle name="40% - Accent1 2 5 2 8" xfId="6513"/>
    <cellStyle name="40% - Accent1 2 5 2 8 2" xfId="10968"/>
    <cellStyle name="40% - Accent1 2 5 2 9" xfId="7070"/>
    <cellStyle name="40% - Accent1 2 5 3" xfId="2133"/>
    <cellStyle name="40% - Accent1 2 5 3 2" xfId="3124"/>
    <cellStyle name="40% - Accent1 2 5 3 2 2" xfId="5393"/>
    <cellStyle name="40% - Accent1 2 5 3 2 2 2" xfId="9857"/>
    <cellStyle name="40% - Accent1 2 5 3 2 3" xfId="7629"/>
    <cellStyle name="40% - Accent1 2 5 3 3" xfId="3707"/>
    <cellStyle name="40% - Accent1 2 5 3 3 2" xfId="4837"/>
    <cellStyle name="40% - Accent1 2 5 3 3 2 2" xfId="9301"/>
    <cellStyle name="40% - Accent1 2 5 3 3 3" xfId="8186"/>
    <cellStyle name="40% - Accent1 2 5 3 4" xfId="4280"/>
    <cellStyle name="40% - Accent1 2 5 3 4 2" xfId="8744"/>
    <cellStyle name="40% - Accent1 2 5 3 5" xfId="5950"/>
    <cellStyle name="40% - Accent1 2 5 3 5 2" xfId="10414"/>
    <cellStyle name="40% - Accent1 2 5 3 6" xfId="6516"/>
    <cellStyle name="40% - Accent1 2 5 3 6 2" xfId="10971"/>
    <cellStyle name="40% - Accent1 2 5 3 7" xfId="7073"/>
    <cellStyle name="40% - Accent1 2 5 4" xfId="2134"/>
    <cellStyle name="40% - Accent1 2 5 4 2" xfId="3125"/>
    <cellStyle name="40% - Accent1 2 5 4 2 2" xfId="5394"/>
    <cellStyle name="40% - Accent1 2 5 4 2 2 2" xfId="9858"/>
    <cellStyle name="40% - Accent1 2 5 4 2 3" xfId="7630"/>
    <cellStyle name="40% - Accent1 2 5 4 3" xfId="3708"/>
    <cellStyle name="40% - Accent1 2 5 4 3 2" xfId="4838"/>
    <cellStyle name="40% - Accent1 2 5 4 3 2 2" xfId="9302"/>
    <cellStyle name="40% - Accent1 2 5 4 3 3" xfId="8187"/>
    <cellStyle name="40% - Accent1 2 5 4 4" xfId="4281"/>
    <cellStyle name="40% - Accent1 2 5 4 4 2" xfId="8745"/>
    <cellStyle name="40% - Accent1 2 5 4 5" xfId="5951"/>
    <cellStyle name="40% - Accent1 2 5 4 5 2" xfId="10415"/>
    <cellStyle name="40% - Accent1 2 5 4 6" xfId="6517"/>
    <cellStyle name="40% - Accent1 2 5 4 6 2" xfId="10972"/>
    <cellStyle name="40% - Accent1 2 5 4 7" xfId="7074"/>
    <cellStyle name="40% - Accent1 2 6" xfId="1216"/>
    <cellStyle name="40% - Accent1 2 6 2" xfId="2135"/>
    <cellStyle name="40% - Accent1 2 6 2 2" xfId="3126"/>
    <cellStyle name="40% - Accent1 2 6 2 2 2" xfId="5395"/>
    <cellStyle name="40% - Accent1 2 6 2 2 2 2" xfId="9859"/>
    <cellStyle name="40% - Accent1 2 6 2 2 3" xfId="7631"/>
    <cellStyle name="40% - Accent1 2 6 2 3" xfId="3709"/>
    <cellStyle name="40% - Accent1 2 6 2 3 2" xfId="4839"/>
    <cellStyle name="40% - Accent1 2 6 2 3 2 2" xfId="9303"/>
    <cellStyle name="40% - Accent1 2 6 2 3 3" xfId="8188"/>
    <cellStyle name="40% - Accent1 2 6 2 4" xfId="4282"/>
    <cellStyle name="40% - Accent1 2 6 2 4 2" xfId="8746"/>
    <cellStyle name="40% - Accent1 2 6 2 5" xfId="5952"/>
    <cellStyle name="40% - Accent1 2 6 2 5 2" xfId="10416"/>
    <cellStyle name="40% - Accent1 2 6 2 6" xfId="6518"/>
    <cellStyle name="40% - Accent1 2 6 2 6 2" xfId="10973"/>
    <cellStyle name="40% - Accent1 2 6 2 7" xfId="7075"/>
    <cellStyle name="40% - Accent1 2 6 3" xfId="2136"/>
    <cellStyle name="40% - Accent1 2 6 3 2" xfId="3127"/>
    <cellStyle name="40% - Accent1 2 6 3 2 2" xfId="5396"/>
    <cellStyle name="40% - Accent1 2 6 3 2 2 2" xfId="9860"/>
    <cellStyle name="40% - Accent1 2 6 3 2 3" xfId="7632"/>
    <cellStyle name="40% - Accent1 2 6 3 3" xfId="3710"/>
    <cellStyle name="40% - Accent1 2 6 3 3 2" xfId="4840"/>
    <cellStyle name="40% - Accent1 2 6 3 3 2 2" xfId="9304"/>
    <cellStyle name="40% - Accent1 2 6 3 3 3" xfId="8189"/>
    <cellStyle name="40% - Accent1 2 6 3 4" xfId="4283"/>
    <cellStyle name="40% - Accent1 2 6 3 4 2" xfId="8747"/>
    <cellStyle name="40% - Accent1 2 6 3 5" xfId="5953"/>
    <cellStyle name="40% - Accent1 2 6 3 5 2" xfId="10417"/>
    <cellStyle name="40% - Accent1 2 6 3 6" xfId="6519"/>
    <cellStyle name="40% - Accent1 2 6 3 6 2" xfId="10974"/>
    <cellStyle name="40% - Accent1 2 6 3 7" xfId="7076"/>
    <cellStyle name="40% - Accent1 2 7" xfId="1722"/>
    <cellStyle name="40% - Accent1 2 7 2" xfId="2894"/>
    <cellStyle name="40% - Accent1 2 7 2 2" xfId="5163"/>
    <cellStyle name="40% - Accent1 2 7 2 2 2" xfId="9627"/>
    <cellStyle name="40% - Accent1 2 7 2 3" xfId="7399"/>
    <cellStyle name="40% - Accent1 2 7 3" xfId="3477"/>
    <cellStyle name="40% - Accent1 2 7 3 2" xfId="4607"/>
    <cellStyle name="40% - Accent1 2 7 3 2 2" xfId="9071"/>
    <cellStyle name="40% - Accent1 2 7 3 3" xfId="7956"/>
    <cellStyle name="40% - Accent1 2 7 4" xfId="4050"/>
    <cellStyle name="40% - Accent1 2 7 4 2" xfId="8514"/>
    <cellStyle name="40% - Accent1 2 7 5" xfId="5720"/>
    <cellStyle name="40% - Accent1 2 7 5 2" xfId="10184"/>
    <cellStyle name="40% - Accent1 2 7 6" xfId="6286"/>
    <cellStyle name="40% - Accent1 2 7 6 2" xfId="10741"/>
    <cellStyle name="40% - Accent1 2 7 7" xfId="6843"/>
    <cellStyle name="40% - Accent1 2 8" xfId="1836"/>
    <cellStyle name="40% - Accent1 2 8 2" xfId="2913"/>
    <cellStyle name="40% - Accent1 2 8 2 2" xfId="5182"/>
    <cellStyle name="40% - Accent1 2 8 2 2 2" xfId="9646"/>
    <cellStyle name="40% - Accent1 2 8 2 3" xfId="7418"/>
    <cellStyle name="40% - Accent1 2 8 3" xfId="3496"/>
    <cellStyle name="40% - Accent1 2 8 3 2" xfId="4626"/>
    <cellStyle name="40% - Accent1 2 8 3 2 2" xfId="9090"/>
    <cellStyle name="40% - Accent1 2 8 3 3" xfId="7975"/>
    <cellStyle name="40% - Accent1 2 8 4" xfId="4069"/>
    <cellStyle name="40% - Accent1 2 8 4 2" xfId="8533"/>
    <cellStyle name="40% - Accent1 2 8 5" xfId="5739"/>
    <cellStyle name="40% - Accent1 2 8 5 2" xfId="10203"/>
    <cellStyle name="40% - Accent1 2 8 6" xfId="6305"/>
    <cellStyle name="40% - Accent1 2 8 6 2" xfId="10760"/>
    <cellStyle name="40% - Accent1 2 8 7" xfId="6862"/>
    <cellStyle name="40% - Accent1 2 9" xfId="2137"/>
    <cellStyle name="40% - Accent1 20" xfId="1080"/>
    <cellStyle name="40% - Accent1 20 2" xfId="11951"/>
    <cellStyle name="40% - Accent1 21" xfId="11834"/>
    <cellStyle name="40% - Accent1 3" xfId="92"/>
    <cellStyle name="40% - Accent1 3 2" xfId="2138"/>
    <cellStyle name="40% - Accent1 3 3" xfId="2610"/>
    <cellStyle name="40% - Accent1 3 4" xfId="11395"/>
    <cellStyle name="40% - Accent1 3 5" xfId="1218"/>
    <cellStyle name="40% - Accent1 4" xfId="93"/>
    <cellStyle name="40% - Accent1 4 2" xfId="2776"/>
    <cellStyle name="40% - Accent1 4 3" xfId="11396"/>
    <cellStyle name="40% - Accent1 4 4" xfId="1220"/>
    <cellStyle name="40% - Accent1 5" xfId="94"/>
    <cellStyle name="40% - Accent1 5 2" xfId="11397"/>
    <cellStyle name="40% - Accent1 5 3" xfId="1668"/>
    <cellStyle name="40% - Accent1 6" xfId="95"/>
    <cellStyle name="40% - Accent1 6 2" xfId="11398"/>
    <cellStyle name="40% - Accent1 6 3" xfId="1835"/>
    <cellStyle name="40% - Accent1 7" xfId="96"/>
    <cellStyle name="40% - Accent1 8" xfId="97"/>
    <cellStyle name="40% - Accent1 9" xfId="98"/>
    <cellStyle name="40% - Accent2" xfId="946" builtinId="35" customBuiltin="1"/>
    <cellStyle name="40% - Accent2 10" xfId="99"/>
    <cellStyle name="40% - Accent2 11" xfId="100"/>
    <cellStyle name="40% - Accent2 12" xfId="101"/>
    <cellStyle name="40% - Accent2 13" xfId="102"/>
    <cellStyle name="40% - Accent2 14" xfId="103"/>
    <cellStyle name="40% - Accent2 15" xfId="104"/>
    <cellStyle name="40% - Accent2 16" xfId="677"/>
    <cellStyle name="40% - Accent2 17" xfId="992"/>
    <cellStyle name="40% - Accent2 17 2" xfId="11863"/>
    <cellStyle name="40% - Accent2 18" xfId="1019"/>
    <cellStyle name="40% - Accent2 18 2" xfId="11890"/>
    <cellStyle name="40% - Accent2 19" xfId="1067"/>
    <cellStyle name="40% - Accent2 19 2" xfId="11938"/>
    <cellStyle name="40% - Accent2 2" xfId="105"/>
    <cellStyle name="40% - Accent2 2 10" xfId="2139"/>
    <cellStyle name="40% - Accent2 2 10 2" xfId="3128"/>
    <cellStyle name="40% - Accent2 2 10 2 2" xfId="5397"/>
    <cellStyle name="40% - Accent2 2 10 2 2 2" xfId="9861"/>
    <cellStyle name="40% - Accent2 2 10 2 3" xfId="7633"/>
    <cellStyle name="40% - Accent2 2 10 3" xfId="3711"/>
    <cellStyle name="40% - Accent2 2 10 3 2" xfId="4841"/>
    <cellStyle name="40% - Accent2 2 10 3 2 2" xfId="9305"/>
    <cellStyle name="40% - Accent2 2 10 3 3" xfId="8190"/>
    <cellStyle name="40% - Accent2 2 10 4" xfId="4284"/>
    <cellStyle name="40% - Accent2 2 10 4 2" xfId="8748"/>
    <cellStyle name="40% - Accent2 2 10 5" xfId="5954"/>
    <cellStyle name="40% - Accent2 2 10 5 2" xfId="10418"/>
    <cellStyle name="40% - Accent2 2 10 6" xfId="6520"/>
    <cellStyle name="40% - Accent2 2 10 6 2" xfId="10975"/>
    <cellStyle name="40% - Accent2 2 10 7" xfId="7077"/>
    <cellStyle name="40% - Accent2 2 11" xfId="11307"/>
    <cellStyle name="40% - Accent2 2 12" xfId="11336"/>
    <cellStyle name="40% - Accent2 2 13" xfId="1222"/>
    <cellStyle name="40% - Accent2 2 14" xfId="1132"/>
    <cellStyle name="40% - Accent2 2 2" xfId="722"/>
    <cellStyle name="40% - Accent2 2 2 2" xfId="1751"/>
    <cellStyle name="40% - Accent2 2 2 3" xfId="1224"/>
    <cellStyle name="40% - Accent2 2 2 4" xfId="11679"/>
    <cellStyle name="40% - Accent2 2 2 5" xfId="1173"/>
    <cellStyle name="40% - Accent2 2 3" xfId="1102"/>
    <cellStyle name="40% - Accent2 2 3 2" xfId="2140"/>
    <cellStyle name="40% - Accent2 2 3 2 10" xfId="7078"/>
    <cellStyle name="40% - Accent2 2 3 2 2" xfId="2141"/>
    <cellStyle name="40% - Accent2 2 3 2 2 2" xfId="2142"/>
    <cellStyle name="40% - Accent2 2 3 2 2 2 2" xfId="3131"/>
    <cellStyle name="40% - Accent2 2 3 2 2 2 2 2" xfId="5400"/>
    <cellStyle name="40% - Accent2 2 3 2 2 2 2 2 2" xfId="9864"/>
    <cellStyle name="40% - Accent2 2 3 2 2 2 2 3" xfId="7636"/>
    <cellStyle name="40% - Accent2 2 3 2 2 2 3" xfId="3714"/>
    <cellStyle name="40% - Accent2 2 3 2 2 2 3 2" xfId="4844"/>
    <cellStyle name="40% - Accent2 2 3 2 2 2 3 2 2" xfId="9308"/>
    <cellStyle name="40% - Accent2 2 3 2 2 2 3 3" xfId="8193"/>
    <cellStyle name="40% - Accent2 2 3 2 2 2 4" xfId="4287"/>
    <cellStyle name="40% - Accent2 2 3 2 2 2 4 2" xfId="8751"/>
    <cellStyle name="40% - Accent2 2 3 2 2 2 5" xfId="5957"/>
    <cellStyle name="40% - Accent2 2 3 2 2 2 5 2" xfId="10421"/>
    <cellStyle name="40% - Accent2 2 3 2 2 2 6" xfId="6523"/>
    <cellStyle name="40% - Accent2 2 3 2 2 2 6 2" xfId="10978"/>
    <cellStyle name="40% - Accent2 2 3 2 2 2 7" xfId="7080"/>
    <cellStyle name="40% - Accent2 2 3 2 2 3" xfId="2143"/>
    <cellStyle name="40% - Accent2 2 3 2 2 3 2" xfId="3132"/>
    <cellStyle name="40% - Accent2 2 3 2 2 3 2 2" xfId="5401"/>
    <cellStyle name="40% - Accent2 2 3 2 2 3 2 2 2" xfId="9865"/>
    <cellStyle name="40% - Accent2 2 3 2 2 3 2 3" xfId="7637"/>
    <cellStyle name="40% - Accent2 2 3 2 2 3 3" xfId="3715"/>
    <cellStyle name="40% - Accent2 2 3 2 2 3 3 2" xfId="4845"/>
    <cellStyle name="40% - Accent2 2 3 2 2 3 3 2 2" xfId="9309"/>
    <cellStyle name="40% - Accent2 2 3 2 2 3 3 3" xfId="8194"/>
    <cellStyle name="40% - Accent2 2 3 2 2 3 4" xfId="4288"/>
    <cellStyle name="40% - Accent2 2 3 2 2 3 4 2" xfId="8752"/>
    <cellStyle name="40% - Accent2 2 3 2 2 3 5" xfId="5958"/>
    <cellStyle name="40% - Accent2 2 3 2 2 3 5 2" xfId="10422"/>
    <cellStyle name="40% - Accent2 2 3 2 2 3 6" xfId="6524"/>
    <cellStyle name="40% - Accent2 2 3 2 2 3 6 2" xfId="10979"/>
    <cellStyle name="40% - Accent2 2 3 2 2 3 7" xfId="7081"/>
    <cellStyle name="40% - Accent2 2 3 2 2 4" xfId="3130"/>
    <cellStyle name="40% - Accent2 2 3 2 2 4 2" xfId="5399"/>
    <cellStyle name="40% - Accent2 2 3 2 2 4 2 2" xfId="9863"/>
    <cellStyle name="40% - Accent2 2 3 2 2 4 3" xfId="7635"/>
    <cellStyle name="40% - Accent2 2 3 2 2 5" xfId="3713"/>
    <cellStyle name="40% - Accent2 2 3 2 2 5 2" xfId="4843"/>
    <cellStyle name="40% - Accent2 2 3 2 2 5 2 2" xfId="9307"/>
    <cellStyle name="40% - Accent2 2 3 2 2 5 3" xfId="8192"/>
    <cellStyle name="40% - Accent2 2 3 2 2 6" xfId="4286"/>
    <cellStyle name="40% - Accent2 2 3 2 2 6 2" xfId="8750"/>
    <cellStyle name="40% - Accent2 2 3 2 2 7" xfId="5956"/>
    <cellStyle name="40% - Accent2 2 3 2 2 7 2" xfId="10420"/>
    <cellStyle name="40% - Accent2 2 3 2 2 8" xfId="6522"/>
    <cellStyle name="40% - Accent2 2 3 2 2 8 2" xfId="10977"/>
    <cellStyle name="40% - Accent2 2 3 2 2 9" xfId="7079"/>
    <cellStyle name="40% - Accent2 2 3 2 3" xfId="2144"/>
    <cellStyle name="40% - Accent2 2 3 2 3 2" xfId="3133"/>
    <cellStyle name="40% - Accent2 2 3 2 3 2 2" xfId="5402"/>
    <cellStyle name="40% - Accent2 2 3 2 3 2 2 2" xfId="9866"/>
    <cellStyle name="40% - Accent2 2 3 2 3 2 3" xfId="7638"/>
    <cellStyle name="40% - Accent2 2 3 2 3 3" xfId="3716"/>
    <cellStyle name="40% - Accent2 2 3 2 3 3 2" xfId="4846"/>
    <cellStyle name="40% - Accent2 2 3 2 3 3 2 2" xfId="9310"/>
    <cellStyle name="40% - Accent2 2 3 2 3 3 3" xfId="8195"/>
    <cellStyle name="40% - Accent2 2 3 2 3 4" xfId="4289"/>
    <cellStyle name="40% - Accent2 2 3 2 3 4 2" xfId="8753"/>
    <cellStyle name="40% - Accent2 2 3 2 3 5" xfId="5959"/>
    <cellStyle name="40% - Accent2 2 3 2 3 5 2" xfId="10423"/>
    <cellStyle name="40% - Accent2 2 3 2 3 6" xfId="6525"/>
    <cellStyle name="40% - Accent2 2 3 2 3 6 2" xfId="10980"/>
    <cellStyle name="40% - Accent2 2 3 2 3 7" xfId="7082"/>
    <cellStyle name="40% - Accent2 2 3 2 4" xfId="2145"/>
    <cellStyle name="40% - Accent2 2 3 2 4 2" xfId="3134"/>
    <cellStyle name="40% - Accent2 2 3 2 4 2 2" xfId="5403"/>
    <cellStyle name="40% - Accent2 2 3 2 4 2 2 2" xfId="9867"/>
    <cellStyle name="40% - Accent2 2 3 2 4 2 3" xfId="7639"/>
    <cellStyle name="40% - Accent2 2 3 2 4 3" xfId="3717"/>
    <cellStyle name="40% - Accent2 2 3 2 4 3 2" xfId="4847"/>
    <cellStyle name="40% - Accent2 2 3 2 4 3 2 2" xfId="9311"/>
    <cellStyle name="40% - Accent2 2 3 2 4 3 3" xfId="8196"/>
    <cellStyle name="40% - Accent2 2 3 2 4 4" xfId="4290"/>
    <cellStyle name="40% - Accent2 2 3 2 4 4 2" xfId="8754"/>
    <cellStyle name="40% - Accent2 2 3 2 4 5" xfId="5960"/>
    <cellStyle name="40% - Accent2 2 3 2 4 5 2" xfId="10424"/>
    <cellStyle name="40% - Accent2 2 3 2 4 6" xfId="6526"/>
    <cellStyle name="40% - Accent2 2 3 2 4 6 2" xfId="10981"/>
    <cellStyle name="40% - Accent2 2 3 2 4 7" xfId="7083"/>
    <cellStyle name="40% - Accent2 2 3 2 5" xfId="3129"/>
    <cellStyle name="40% - Accent2 2 3 2 5 2" xfId="5398"/>
    <cellStyle name="40% - Accent2 2 3 2 5 2 2" xfId="9862"/>
    <cellStyle name="40% - Accent2 2 3 2 5 3" xfId="7634"/>
    <cellStyle name="40% - Accent2 2 3 2 6" xfId="3712"/>
    <cellStyle name="40% - Accent2 2 3 2 6 2" xfId="4842"/>
    <cellStyle name="40% - Accent2 2 3 2 6 2 2" xfId="9306"/>
    <cellStyle name="40% - Accent2 2 3 2 6 3" xfId="8191"/>
    <cellStyle name="40% - Accent2 2 3 2 7" xfId="4285"/>
    <cellStyle name="40% - Accent2 2 3 2 7 2" xfId="8749"/>
    <cellStyle name="40% - Accent2 2 3 2 8" xfId="5955"/>
    <cellStyle name="40% - Accent2 2 3 2 8 2" xfId="10419"/>
    <cellStyle name="40% - Accent2 2 3 2 9" xfId="6521"/>
    <cellStyle name="40% - Accent2 2 3 2 9 2" xfId="10976"/>
    <cellStyle name="40% - Accent2 2 3 3" xfId="2146"/>
    <cellStyle name="40% - Accent2 2 3 3 2" xfId="2147"/>
    <cellStyle name="40% - Accent2 2 3 3 2 2" xfId="3136"/>
    <cellStyle name="40% - Accent2 2 3 3 2 2 2" xfId="5405"/>
    <cellStyle name="40% - Accent2 2 3 3 2 2 2 2" xfId="9869"/>
    <cellStyle name="40% - Accent2 2 3 3 2 2 3" xfId="7641"/>
    <cellStyle name="40% - Accent2 2 3 3 2 3" xfId="3719"/>
    <cellStyle name="40% - Accent2 2 3 3 2 3 2" xfId="4849"/>
    <cellStyle name="40% - Accent2 2 3 3 2 3 2 2" xfId="9313"/>
    <cellStyle name="40% - Accent2 2 3 3 2 3 3" xfId="8198"/>
    <cellStyle name="40% - Accent2 2 3 3 2 4" xfId="4292"/>
    <cellStyle name="40% - Accent2 2 3 3 2 4 2" xfId="8756"/>
    <cellStyle name="40% - Accent2 2 3 3 2 5" xfId="5962"/>
    <cellStyle name="40% - Accent2 2 3 3 2 5 2" xfId="10426"/>
    <cellStyle name="40% - Accent2 2 3 3 2 6" xfId="6528"/>
    <cellStyle name="40% - Accent2 2 3 3 2 6 2" xfId="10983"/>
    <cellStyle name="40% - Accent2 2 3 3 2 7" xfId="7085"/>
    <cellStyle name="40% - Accent2 2 3 3 3" xfId="2148"/>
    <cellStyle name="40% - Accent2 2 3 3 3 2" xfId="3137"/>
    <cellStyle name="40% - Accent2 2 3 3 3 2 2" xfId="5406"/>
    <cellStyle name="40% - Accent2 2 3 3 3 2 2 2" xfId="9870"/>
    <cellStyle name="40% - Accent2 2 3 3 3 2 3" xfId="7642"/>
    <cellStyle name="40% - Accent2 2 3 3 3 3" xfId="3720"/>
    <cellStyle name="40% - Accent2 2 3 3 3 3 2" xfId="4850"/>
    <cellStyle name="40% - Accent2 2 3 3 3 3 2 2" xfId="9314"/>
    <cellStyle name="40% - Accent2 2 3 3 3 3 3" xfId="8199"/>
    <cellStyle name="40% - Accent2 2 3 3 3 4" xfId="4293"/>
    <cellStyle name="40% - Accent2 2 3 3 3 4 2" xfId="8757"/>
    <cellStyle name="40% - Accent2 2 3 3 3 5" xfId="5963"/>
    <cellStyle name="40% - Accent2 2 3 3 3 5 2" xfId="10427"/>
    <cellStyle name="40% - Accent2 2 3 3 3 6" xfId="6529"/>
    <cellStyle name="40% - Accent2 2 3 3 3 6 2" xfId="10984"/>
    <cellStyle name="40% - Accent2 2 3 3 3 7" xfId="7086"/>
    <cellStyle name="40% - Accent2 2 3 3 4" xfId="3135"/>
    <cellStyle name="40% - Accent2 2 3 3 4 2" xfId="5404"/>
    <cellStyle name="40% - Accent2 2 3 3 4 2 2" xfId="9868"/>
    <cellStyle name="40% - Accent2 2 3 3 4 3" xfId="7640"/>
    <cellStyle name="40% - Accent2 2 3 3 5" xfId="3718"/>
    <cellStyle name="40% - Accent2 2 3 3 5 2" xfId="4848"/>
    <cellStyle name="40% - Accent2 2 3 3 5 2 2" xfId="9312"/>
    <cellStyle name="40% - Accent2 2 3 3 5 3" xfId="8197"/>
    <cellStyle name="40% - Accent2 2 3 3 6" xfId="4291"/>
    <cellStyle name="40% - Accent2 2 3 3 6 2" xfId="8755"/>
    <cellStyle name="40% - Accent2 2 3 3 7" xfId="5961"/>
    <cellStyle name="40% - Accent2 2 3 3 7 2" xfId="10425"/>
    <cellStyle name="40% - Accent2 2 3 3 8" xfId="6527"/>
    <cellStyle name="40% - Accent2 2 3 3 8 2" xfId="10982"/>
    <cellStyle name="40% - Accent2 2 3 3 9" xfId="7084"/>
    <cellStyle name="40% - Accent2 2 3 4" xfId="2149"/>
    <cellStyle name="40% - Accent2 2 3 4 2" xfId="3138"/>
    <cellStyle name="40% - Accent2 2 3 4 2 2" xfId="5407"/>
    <cellStyle name="40% - Accent2 2 3 4 2 2 2" xfId="9871"/>
    <cellStyle name="40% - Accent2 2 3 4 2 3" xfId="7643"/>
    <cellStyle name="40% - Accent2 2 3 4 3" xfId="3721"/>
    <cellStyle name="40% - Accent2 2 3 4 3 2" xfId="4851"/>
    <cellStyle name="40% - Accent2 2 3 4 3 2 2" xfId="9315"/>
    <cellStyle name="40% - Accent2 2 3 4 3 3" xfId="8200"/>
    <cellStyle name="40% - Accent2 2 3 4 4" xfId="4294"/>
    <cellStyle name="40% - Accent2 2 3 4 4 2" xfId="8758"/>
    <cellStyle name="40% - Accent2 2 3 4 5" xfId="5964"/>
    <cellStyle name="40% - Accent2 2 3 4 5 2" xfId="10428"/>
    <cellStyle name="40% - Accent2 2 3 4 6" xfId="6530"/>
    <cellStyle name="40% - Accent2 2 3 4 6 2" xfId="10985"/>
    <cellStyle name="40% - Accent2 2 3 4 7" xfId="7087"/>
    <cellStyle name="40% - Accent2 2 3 5" xfId="2150"/>
    <cellStyle name="40% - Accent2 2 3 5 2" xfId="3139"/>
    <cellStyle name="40% - Accent2 2 3 5 2 2" xfId="5408"/>
    <cellStyle name="40% - Accent2 2 3 5 2 2 2" xfId="9872"/>
    <cellStyle name="40% - Accent2 2 3 5 2 3" xfId="7644"/>
    <cellStyle name="40% - Accent2 2 3 5 3" xfId="3722"/>
    <cellStyle name="40% - Accent2 2 3 5 3 2" xfId="4852"/>
    <cellStyle name="40% - Accent2 2 3 5 3 2 2" xfId="9316"/>
    <cellStyle name="40% - Accent2 2 3 5 3 3" xfId="8201"/>
    <cellStyle name="40% - Accent2 2 3 5 4" xfId="4295"/>
    <cellStyle name="40% - Accent2 2 3 5 4 2" xfId="8759"/>
    <cellStyle name="40% - Accent2 2 3 5 5" xfId="5965"/>
    <cellStyle name="40% - Accent2 2 3 5 5 2" xfId="10429"/>
    <cellStyle name="40% - Accent2 2 3 5 6" xfId="6531"/>
    <cellStyle name="40% - Accent2 2 3 5 6 2" xfId="10986"/>
    <cellStyle name="40% - Accent2 2 3 5 7" xfId="7088"/>
    <cellStyle name="40% - Accent2 2 3 6" xfId="11967"/>
    <cellStyle name="40% - Accent2 2 3 7" xfId="1226"/>
    <cellStyle name="40% - Accent2 2 4" xfId="1228"/>
    <cellStyle name="40% - Accent2 2 4 2" xfId="2151"/>
    <cellStyle name="40% - Accent2 2 4 2 2" xfId="2152"/>
    <cellStyle name="40% - Accent2 2 4 2 2 2" xfId="3141"/>
    <cellStyle name="40% - Accent2 2 4 2 2 2 2" xfId="5410"/>
    <cellStyle name="40% - Accent2 2 4 2 2 2 2 2" xfId="9874"/>
    <cellStyle name="40% - Accent2 2 4 2 2 2 3" xfId="7646"/>
    <cellStyle name="40% - Accent2 2 4 2 2 3" xfId="3724"/>
    <cellStyle name="40% - Accent2 2 4 2 2 3 2" xfId="4854"/>
    <cellStyle name="40% - Accent2 2 4 2 2 3 2 2" xfId="9318"/>
    <cellStyle name="40% - Accent2 2 4 2 2 3 3" xfId="8203"/>
    <cellStyle name="40% - Accent2 2 4 2 2 4" xfId="4297"/>
    <cellStyle name="40% - Accent2 2 4 2 2 4 2" xfId="8761"/>
    <cellStyle name="40% - Accent2 2 4 2 2 5" xfId="5967"/>
    <cellStyle name="40% - Accent2 2 4 2 2 5 2" xfId="10431"/>
    <cellStyle name="40% - Accent2 2 4 2 2 6" xfId="6533"/>
    <cellStyle name="40% - Accent2 2 4 2 2 6 2" xfId="10988"/>
    <cellStyle name="40% - Accent2 2 4 2 2 7" xfId="7090"/>
    <cellStyle name="40% - Accent2 2 4 2 3" xfId="2153"/>
    <cellStyle name="40% - Accent2 2 4 2 3 2" xfId="3142"/>
    <cellStyle name="40% - Accent2 2 4 2 3 2 2" xfId="5411"/>
    <cellStyle name="40% - Accent2 2 4 2 3 2 2 2" xfId="9875"/>
    <cellStyle name="40% - Accent2 2 4 2 3 2 3" xfId="7647"/>
    <cellStyle name="40% - Accent2 2 4 2 3 3" xfId="3725"/>
    <cellStyle name="40% - Accent2 2 4 2 3 3 2" xfId="4855"/>
    <cellStyle name="40% - Accent2 2 4 2 3 3 2 2" xfId="9319"/>
    <cellStyle name="40% - Accent2 2 4 2 3 3 3" xfId="8204"/>
    <cellStyle name="40% - Accent2 2 4 2 3 4" xfId="4298"/>
    <cellStyle name="40% - Accent2 2 4 2 3 4 2" xfId="8762"/>
    <cellStyle name="40% - Accent2 2 4 2 3 5" xfId="5968"/>
    <cellStyle name="40% - Accent2 2 4 2 3 5 2" xfId="10432"/>
    <cellStyle name="40% - Accent2 2 4 2 3 6" xfId="6534"/>
    <cellStyle name="40% - Accent2 2 4 2 3 6 2" xfId="10989"/>
    <cellStyle name="40% - Accent2 2 4 2 3 7" xfId="7091"/>
    <cellStyle name="40% - Accent2 2 4 2 4" xfId="3140"/>
    <cellStyle name="40% - Accent2 2 4 2 4 2" xfId="5409"/>
    <cellStyle name="40% - Accent2 2 4 2 4 2 2" xfId="9873"/>
    <cellStyle name="40% - Accent2 2 4 2 4 3" xfId="7645"/>
    <cellStyle name="40% - Accent2 2 4 2 5" xfId="3723"/>
    <cellStyle name="40% - Accent2 2 4 2 5 2" xfId="4853"/>
    <cellStyle name="40% - Accent2 2 4 2 5 2 2" xfId="9317"/>
    <cellStyle name="40% - Accent2 2 4 2 5 3" xfId="8202"/>
    <cellStyle name="40% - Accent2 2 4 2 6" xfId="4296"/>
    <cellStyle name="40% - Accent2 2 4 2 6 2" xfId="8760"/>
    <cellStyle name="40% - Accent2 2 4 2 7" xfId="5966"/>
    <cellStyle name="40% - Accent2 2 4 2 7 2" xfId="10430"/>
    <cellStyle name="40% - Accent2 2 4 2 8" xfId="6532"/>
    <cellStyle name="40% - Accent2 2 4 2 8 2" xfId="10987"/>
    <cellStyle name="40% - Accent2 2 4 2 9" xfId="7089"/>
    <cellStyle name="40% - Accent2 2 4 3" xfId="2154"/>
    <cellStyle name="40% - Accent2 2 4 3 2" xfId="2155"/>
    <cellStyle name="40% - Accent2 2 4 3 2 2" xfId="3144"/>
    <cellStyle name="40% - Accent2 2 4 3 2 2 2" xfId="5413"/>
    <cellStyle name="40% - Accent2 2 4 3 2 2 2 2" xfId="9877"/>
    <cellStyle name="40% - Accent2 2 4 3 2 2 3" xfId="7649"/>
    <cellStyle name="40% - Accent2 2 4 3 2 3" xfId="3727"/>
    <cellStyle name="40% - Accent2 2 4 3 2 3 2" xfId="4857"/>
    <cellStyle name="40% - Accent2 2 4 3 2 3 2 2" xfId="9321"/>
    <cellStyle name="40% - Accent2 2 4 3 2 3 3" xfId="8206"/>
    <cellStyle name="40% - Accent2 2 4 3 2 4" xfId="4300"/>
    <cellStyle name="40% - Accent2 2 4 3 2 4 2" xfId="8764"/>
    <cellStyle name="40% - Accent2 2 4 3 2 5" xfId="5970"/>
    <cellStyle name="40% - Accent2 2 4 3 2 5 2" xfId="10434"/>
    <cellStyle name="40% - Accent2 2 4 3 2 6" xfId="6536"/>
    <cellStyle name="40% - Accent2 2 4 3 2 6 2" xfId="10991"/>
    <cellStyle name="40% - Accent2 2 4 3 2 7" xfId="7093"/>
    <cellStyle name="40% - Accent2 2 4 3 3" xfId="2156"/>
    <cellStyle name="40% - Accent2 2 4 3 3 2" xfId="3145"/>
    <cellStyle name="40% - Accent2 2 4 3 3 2 2" xfId="5414"/>
    <cellStyle name="40% - Accent2 2 4 3 3 2 2 2" xfId="9878"/>
    <cellStyle name="40% - Accent2 2 4 3 3 2 3" xfId="7650"/>
    <cellStyle name="40% - Accent2 2 4 3 3 3" xfId="3728"/>
    <cellStyle name="40% - Accent2 2 4 3 3 3 2" xfId="4858"/>
    <cellStyle name="40% - Accent2 2 4 3 3 3 2 2" xfId="9322"/>
    <cellStyle name="40% - Accent2 2 4 3 3 3 3" xfId="8207"/>
    <cellStyle name="40% - Accent2 2 4 3 3 4" xfId="4301"/>
    <cellStyle name="40% - Accent2 2 4 3 3 4 2" xfId="8765"/>
    <cellStyle name="40% - Accent2 2 4 3 3 5" xfId="5971"/>
    <cellStyle name="40% - Accent2 2 4 3 3 5 2" xfId="10435"/>
    <cellStyle name="40% - Accent2 2 4 3 3 6" xfId="6537"/>
    <cellStyle name="40% - Accent2 2 4 3 3 6 2" xfId="10992"/>
    <cellStyle name="40% - Accent2 2 4 3 3 7" xfId="7094"/>
    <cellStyle name="40% - Accent2 2 4 3 4" xfId="3143"/>
    <cellStyle name="40% - Accent2 2 4 3 4 2" xfId="5412"/>
    <cellStyle name="40% - Accent2 2 4 3 4 2 2" xfId="9876"/>
    <cellStyle name="40% - Accent2 2 4 3 4 3" xfId="7648"/>
    <cellStyle name="40% - Accent2 2 4 3 5" xfId="3726"/>
    <cellStyle name="40% - Accent2 2 4 3 5 2" xfId="4856"/>
    <cellStyle name="40% - Accent2 2 4 3 5 2 2" xfId="9320"/>
    <cellStyle name="40% - Accent2 2 4 3 5 3" xfId="8205"/>
    <cellStyle name="40% - Accent2 2 4 3 6" xfId="4299"/>
    <cellStyle name="40% - Accent2 2 4 3 6 2" xfId="8763"/>
    <cellStyle name="40% - Accent2 2 4 3 7" xfId="5969"/>
    <cellStyle name="40% - Accent2 2 4 3 7 2" xfId="10433"/>
    <cellStyle name="40% - Accent2 2 4 3 8" xfId="6535"/>
    <cellStyle name="40% - Accent2 2 4 3 8 2" xfId="10990"/>
    <cellStyle name="40% - Accent2 2 4 3 9" xfId="7092"/>
    <cellStyle name="40% - Accent2 2 4 4" xfId="2157"/>
    <cellStyle name="40% - Accent2 2 4 4 2" xfId="3146"/>
    <cellStyle name="40% - Accent2 2 4 4 2 2" xfId="5415"/>
    <cellStyle name="40% - Accent2 2 4 4 2 2 2" xfId="9879"/>
    <cellStyle name="40% - Accent2 2 4 4 2 3" xfId="7651"/>
    <cellStyle name="40% - Accent2 2 4 4 3" xfId="3729"/>
    <cellStyle name="40% - Accent2 2 4 4 3 2" xfId="4859"/>
    <cellStyle name="40% - Accent2 2 4 4 3 2 2" xfId="9323"/>
    <cellStyle name="40% - Accent2 2 4 4 3 3" xfId="8208"/>
    <cellStyle name="40% - Accent2 2 4 4 4" xfId="4302"/>
    <cellStyle name="40% - Accent2 2 4 4 4 2" xfId="8766"/>
    <cellStyle name="40% - Accent2 2 4 4 5" xfId="5972"/>
    <cellStyle name="40% - Accent2 2 4 4 5 2" xfId="10436"/>
    <cellStyle name="40% - Accent2 2 4 4 6" xfId="6538"/>
    <cellStyle name="40% - Accent2 2 4 4 6 2" xfId="10993"/>
    <cellStyle name="40% - Accent2 2 4 4 7" xfId="7095"/>
    <cellStyle name="40% - Accent2 2 4 5" xfId="2158"/>
    <cellStyle name="40% - Accent2 2 4 5 2" xfId="3147"/>
    <cellStyle name="40% - Accent2 2 4 5 2 2" xfId="5416"/>
    <cellStyle name="40% - Accent2 2 4 5 2 2 2" xfId="9880"/>
    <cellStyle name="40% - Accent2 2 4 5 2 3" xfId="7652"/>
    <cellStyle name="40% - Accent2 2 4 5 3" xfId="3730"/>
    <cellStyle name="40% - Accent2 2 4 5 3 2" xfId="4860"/>
    <cellStyle name="40% - Accent2 2 4 5 3 2 2" xfId="9324"/>
    <cellStyle name="40% - Accent2 2 4 5 3 3" xfId="8209"/>
    <cellStyle name="40% - Accent2 2 4 5 4" xfId="4303"/>
    <cellStyle name="40% - Accent2 2 4 5 4 2" xfId="8767"/>
    <cellStyle name="40% - Accent2 2 4 5 5" xfId="5973"/>
    <cellStyle name="40% - Accent2 2 4 5 5 2" xfId="10437"/>
    <cellStyle name="40% - Accent2 2 4 5 6" xfId="6539"/>
    <cellStyle name="40% - Accent2 2 4 5 6 2" xfId="10994"/>
    <cellStyle name="40% - Accent2 2 4 5 7" xfId="7096"/>
    <cellStyle name="40% - Accent2 2 5" xfId="1229"/>
    <cellStyle name="40% - Accent2 2 5 2" xfId="2159"/>
    <cellStyle name="40% - Accent2 2 5 2 2" xfId="2160"/>
    <cellStyle name="40% - Accent2 2 5 2 2 2" xfId="3149"/>
    <cellStyle name="40% - Accent2 2 5 2 2 2 2" xfId="5418"/>
    <cellStyle name="40% - Accent2 2 5 2 2 2 2 2" xfId="9882"/>
    <cellStyle name="40% - Accent2 2 5 2 2 2 3" xfId="7654"/>
    <cellStyle name="40% - Accent2 2 5 2 2 3" xfId="3732"/>
    <cellStyle name="40% - Accent2 2 5 2 2 3 2" xfId="4862"/>
    <cellStyle name="40% - Accent2 2 5 2 2 3 2 2" xfId="9326"/>
    <cellStyle name="40% - Accent2 2 5 2 2 3 3" xfId="8211"/>
    <cellStyle name="40% - Accent2 2 5 2 2 4" xfId="4305"/>
    <cellStyle name="40% - Accent2 2 5 2 2 4 2" xfId="8769"/>
    <cellStyle name="40% - Accent2 2 5 2 2 5" xfId="5975"/>
    <cellStyle name="40% - Accent2 2 5 2 2 5 2" xfId="10439"/>
    <cellStyle name="40% - Accent2 2 5 2 2 6" xfId="6541"/>
    <cellStyle name="40% - Accent2 2 5 2 2 6 2" xfId="10996"/>
    <cellStyle name="40% - Accent2 2 5 2 2 7" xfId="7098"/>
    <cellStyle name="40% - Accent2 2 5 2 3" xfId="2161"/>
    <cellStyle name="40% - Accent2 2 5 2 3 2" xfId="3150"/>
    <cellStyle name="40% - Accent2 2 5 2 3 2 2" xfId="5419"/>
    <cellStyle name="40% - Accent2 2 5 2 3 2 2 2" xfId="9883"/>
    <cellStyle name="40% - Accent2 2 5 2 3 2 3" xfId="7655"/>
    <cellStyle name="40% - Accent2 2 5 2 3 3" xfId="3733"/>
    <cellStyle name="40% - Accent2 2 5 2 3 3 2" xfId="4863"/>
    <cellStyle name="40% - Accent2 2 5 2 3 3 2 2" xfId="9327"/>
    <cellStyle name="40% - Accent2 2 5 2 3 3 3" xfId="8212"/>
    <cellStyle name="40% - Accent2 2 5 2 3 4" xfId="4306"/>
    <cellStyle name="40% - Accent2 2 5 2 3 4 2" xfId="8770"/>
    <cellStyle name="40% - Accent2 2 5 2 3 5" xfId="5976"/>
    <cellStyle name="40% - Accent2 2 5 2 3 5 2" xfId="10440"/>
    <cellStyle name="40% - Accent2 2 5 2 3 6" xfId="6542"/>
    <cellStyle name="40% - Accent2 2 5 2 3 6 2" xfId="10997"/>
    <cellStyle name="40% - Accent2 2 5 2 3 7" xfId="7099"/>
    <cellStyle name="40% - Accent2 2 5 2 4" xfId="3148"/>
    <cellStyle name="40% - Accent2 2 5 2 4 2" xfId="5417"/>
    <cellStyle name="40% - Accent2 2 5 2 4 2 2" xfId="9881"/>
    <cellStyle name="40% - Accent2 2 5 2 4 3" xfId="7653"/>
    <cellStyle name="40% - Accent2 2 5 2 5" xfId="3731"/>
    <cellStyle name="40% - Accent2 2 5 2 5 2" xfId="4861"/>
    <cellStyle name="40% - Accent2 2 5 2 5 2 2" xfId="9325"/>
    <cellStyle name="40% - Accent2 2 5 2 5 3" xfId="8210"/>
    <cellStyle name="40% - Accent2 2 5 2 6" xfId="4304"/>
    <cellStyle name="40% - Accent2 2 5 2 6 2" xfId="8768"/>
    <cellStyle name="40% - Accent2 2 5 2 7" xfId="5974"/>
    <cellStyle name="40% - Accent2 2 5 2 7 2" xfId="10438"/>
    <cellStyle name="40% - Accent2 2 5 2 8" xfId="6540"/>
    <cellStyle name="40% - Accent2 2 5 2 8 2" xfId="10995"/>
    <cellStyle name="40% - Accent2 2 5 2 9" xfId="7097"/>
    <cellStyle name="40% - Accent2 2 5 3" xfId="2162"/>
    <cellStyle name="40% - Accent2 2 5 3 2" xfId="3151"/>
    <cellStyle name="40% - Accent2 2 5 3 2 2" xfId="5420"/>
    <cellStyle name="40% - Accent2 2 5 3 2 2 2" xfId="9884"/>
    <cellStyle name="40% - Accent2 2 5 3 2 3" xfId="7656"/>
    <cellStyle name="40% - Accent2 2 5 3 3" xfId="3734"/>
    <cellStyle name="40% - Accent2 2 5 3 3 2" xfId="4864"/>
    <cellStyle name="40% - Accent2 2 5 3 3 2 2" xfId="9328"/>
    <cellStyle name="40% - Accent2 2 5 3 3 3" xfId="8213"/>
    <cellStyle name="40% - Accent2 2 5 3 4" xfId="4307"/>
    <cellStyle name="40% - Accent2 2 5 3 4 2" xfId="8771"/>
    <cellStyle name="40% - Accent2 2 5 3 5" xfId="5977"/>
    <cellStyle name="40% - Accent2 2 5 3 5 2" xfId="10441"/>
    <cellStyle name="40% - Accent2 2 5 3 6" xfId="6543"/>
    <cellStyle name="40% - Accent2 2 5 3 6 2" xfId="10998"/>
    <cellStyle name="40% - Accent2 2 5 3 7" xfId="7100"/>
    <cellStyle name="40% - Accent2 2 5 4" xfId="2163"/>
    <cellStyle name="40% - Accent2 2 5 4 2" xfId="3152"/>
    <cellStyle name="40% - Accent2 2 5 4 2 2" xfId="5421"/>
    <cellStyle name="40% - Accent2 2 5 4 2 2 2" xfId="9885"/>
    <cellStyle name="40% - Accent2 2 5 4 2 3" xfId="7657"/>
    <cellStyle name="40% - Accent2 2 5 4 3" xfId="3735"/>
    <cellStyle name="40% - Accent2 2 5 4 3 2" xfId="4865"/>
    <cellStyle name="40% - Accent2 2 5 4 3 2 2" xfId="9329"/>
    <cellStyle name="40% - Accent2 2 5 4 3 3" xfId="8214"/>
    <cellStyle name="40% - Accent2 2 5 4 4" xfId="4308"/>
    <cellStyle name="40% - Accent2 2 5 4 4 2" xfId="8772"/>
    <cellStyle name="40% - Accent2 2 5 4 5" xfId="5978"/>
    <cellStyle name="40% - Accent2 2 5 4 5 2" xfId="10442"/>
    <cellStyle name="40% - Accent2 2 5 4 6" xfId="6544"/>
    <cellStyle name="40% - Accent2 2 5 4 6 2" xfId="10999"/>
    <cellStyle name="40% - Accent2 2 5 4 7" xfId="7101"/>
    <cellStyle name="40% - Accent2 2 6" xfId="1231"/>
    <cellStyle name="40% - Accent2 2 6 2" xfId="2164"/>
    <cellStyle name="40% - Accent2 2 6 2 2" xfId="3153"/>
    <cellStyle name="40% - Accent2 2 6 2 2 2" xfId="5422"/>
    <cellStyle name="40% - Accent2 2 6 2 2 2 2" xfId="9886"/>
    <cellStyle name="40% - Accent2 2 6 2 2 3" xfId="7658"/>
    <cellStyle name="40% - Accent2 2 6 2 3" xfId="3736"/>
    <cellStyle name="40% - Accent2 2 6 2 3 2" xfId="4866"/>
    <cellStyle name="40% - Accent2 2 6 2 3 2 2" xfId="9330"/>
    <cellStyle name="40% - Accent2 2 6 2 3 3" xfId="8215"/>
    <cellStyle name="40% - Accent2 2 6 2 4" xfId="4309"/>
    <cellStyle name="40% - Accent2 2 6 2 4 2" xfId="8773"/>
    <cellStyle name="40% - Accent2 2 6 2 5" xfId="5979"/>
    <cellStyle name="40% - Accent2 2 6 2 5 2" xfId="10443"/>
    <cellStyle name="40% - Accent2 2 6 2 6" xfId="6545"/>
    <cellStyle name="40% - Accent2 2 6 2 6 2" xfId="11000"/>
    <cellStyle name="40% - Accent2 2 6 2 7" xfId="7102"/>
    <cellStyle name="40% - Accent2 2 6 3" xfId="2165"/>
    <cellStyle name="40% - Accent2 2 6 3 2" xfId="3154"/>
    <cellStyle name="40% - Accent2 2 6 3 2 2" xfId="5423"/>
    <cellStyle name="40% - Accent2 2 6 3 2 2 2" xfId="9887"/>
    <cellStyle name="40% - Accent2 2 6 3 2 3" xfId="7659"/>
    <cellStyle name="40% - Accent2 2 6 3 3" xfId="3737"/>
    <cellStyle name="40% - Accent2 2 6 3 3 2" xfId="4867"/>
    <cellStyle name="40% - Accent2 2 6 3 3 2 2" xfId="9331"/>
    <cellStyle name="40% - Accent2 2 6 3 3 3" xfId="8216"/>
    <cellStyle name="40% - Accent2 2 6 3 4" xfId="4310"/>
    <cellStyle name="40% - Accent2 2 6 3 4 2" xfId="8774"/>
    <cellStyle name="40% - Accent2 2 6 3 5" xfId="5980"/>
    <cellStyle name="40% - Accent2 2 6 3 5 2" xfId="10444"/>
    <cellStyle name="40% - Accent2 2 6 3 6" xfId="6546"/>
    <cellStyle name="40% - Accent2 2 6 3 6 2" xfId="11001"/>
    <cellStyle name="40% - Accent2 2 6 3 7" xfId="7103"/>
    <cellStyle name="40% - Accent2 2 7" xfId="1726"/>
    <cellStyle name="40% - Accent2 2 7 2" xfId="2896"/>
    <cellStyle name="40% - Accent2 2 7 2 2" xfId="5165"/>
    <cellStyle name="40% - Accent2 2 7 2 2 2" xfId="9629"/>
    <cellStyle name="40% - Accent2 2 7 2 3" xfId="7401"/>
    <cellStyle name="40% - Accent2 2 7 3" xfId="3479"/>
    <cellStyle name="40% - Accent2 2 7 3 2" xfId="4609"/>
    <cellStyle name="40% - Accent2 2 7 3 2 2" xfId="9073"/>
    <cellStyle name="40% - Accent2 2 7 3 3" xfId="7958"/>
    <cellStyle name="40% - Accent2 2 7 4" xfId="4052"/>
    <cellStyle name="40% - Accent2 2 7 4 2" xfId="8516"/>
    <cellStyle name="40% - Accent2 2 7 5" xfId="5722"/>
    <cellStyle name="40% - Accent2 2 7 5 2" xfId="10186"/>
    <cellStyle name="40% - Accent2 2 7 6" xfId="6288"/>
    <cellStyle name="40% - Accent2 2 7 6 2" xfId="10743"/>
    <cellStyle name="40% - Accent2 2 7 7" xfId="6845"/>
    <cellStyle name="40% - Accent2 2 8" xfId="1838"/>
    <cellStyle name="40% - Accent2 2 8 2" xfId="2914"/>
    <cellStyle name="40% - Accent2 2 8 2 2" xfId="5183"/>
    <cellStyle name="40% - Accent2 2 8 2 2 2" xfId="9647"/>
    <cellStyle name="40% - Accent2 2 8 2 3" xfId="7419"/>
    <cellStyle name="40% - Accent2 2 8 3" xfId="3497"/>
    <cellStyle name="40% - Accent2 2 8 3 2" xfId="4627"/>
    <cellStyle name="40% - Accent2 2 8 3 2 2" xfId="9091"/>
    <cellStyle name="40% - Accent2 2 8 3 3" xfId="7976"/>
    <cellStyle name="40% - Accent2 2 8 4" xfId="4070"/>
    <cellStyle name="40% - Accent2 2 8 4 2" xfId="8534"/>
    <cellStyle name="40% - Accent2 2 8 5" xfId="5740"/>
    <cellStyle name="40% - Accent2 2 8 5 2" xfId="10204"/>
    <cellStyle name="40% - Accent2 2 8 6" xfId="6306"/>
    <cellStyle name="40% - Accent2 2 8 6 2" xfId="10761"/>
    <cellStyle name="40% - Accent2 2 8 7" xfId="6863"/>
    <cellStyle name="40% - Accent2 2 9" xfId="2166"/>
    <cellStyle name="40% - Accent2 20" xfId="1082"/>
    <cellStyle name="40% - Accent2 20 2" xfId="11953"/>
    <cellStyle name="40% - Accent2 21" xfId="11836"/>
    <cellStyle name="40% - Accent2 3" xfId="106"/>
    <cellStyle name="40% - Accent2 3 2" xfId="2167"/>
    <cellStyle name="40% - Accent2 3 3" xfId="2611"/>
    <cellStyle name="40% - Accent2 3 4" xfId="11399"/>
    <cellStyle name="40% - Accent2 3 5" xfId="1233"/>
    <cellStyle name="40% - Accent2 4" xfId="107"/>
    <cellStyle name="40% - Accent2 4 2" xfId="2777"/>
    <cellStyle name="40% - Accent2 4 3" xfId="11400"/>
    <cellStyle name="40% - Accent2 4 4" xfId="1235"/>
    <cellStyle name="40% - Accent2 5" xfId="108"/>
    <cellStyle name="40% - Accent2 5 2" xfId="11401"/>
    <cellStyle name="40% - Accent2 5 3" xfId="1669"/>
    <cellStyle name="40% - Accent2 6" xfId="109"/>
    <cellStyle name="40% - Accent2 6 2" xfId="11402"/>
    <cellStyle name="40% - Accent2 6 3" xfId="1837"/>
    <cellStyle name="40% - Accent2 7" xfId="110"/>
    <cellStyle name="40% - Accent2 8" xfId="111"/>
    <cellStyle name="40% - Accent2 9" xfId="112"/>
    <cellStyle name="40% - Accent3" xfId="950" builtinId="39" customBuiltin="1"/>
    <cellStyle name="40% - Accent3 10" xfId="113"/>
    <cellStyle name="40% - Accent3 11" xfId="114"/>
    <cellStyle name="40% - Accent3 12" xfId="115"/>
    <cellStyle name="40% - Accent3 13" xfId="116"/>
    <cellStyle name="40% - Accent3 14" xfId="117"/>
    <cellStyle name="40% - Accent3 15" xfId="118"/>
    <cellStyle name="40% - Accent3 16" xfId="678"/>
    <cellStyle name="40% - Accent3 17" xfId="994"/>
    <cellStyle name="40% - Accent3 17 2" xfId="11865"/>
    <cellStyle name="40% - Accent3 18" xfId="1022"/>
    <cellStyle name="40% - Accent3 18 2" xfId="11893"/>
    <cellStyle name="40% - Accent3 19" xfId="1069"/>
    <cellStyle name="40% - Accent3 19 2" xfId="11940"/>
    <cellStyle name="40% - Accent3 2" xfId="119"/>
    <cellStyle name="40% - Accent3 2 10" xfId="2168"/>
    <cellStyle name="40% - Accent3 2 10 2" xfId="3155"/>
    <cellStyle name="40% - Accent3 2 10 2 2" xfId="5424"/>
    <cellStyle name="40% - Accent3 2 10 2 2 2" xfId="9888"/>
    <cellStyle name="40% - Accent3 2 10 2 3" xfId="7660"/>
    <cellStyle name="40% - Accent3 2 10 3" xfId="3738"/>
    <cellStyle name="40% - Accent3 2 10 3 2" xfId="4868"/>
    <cellStyle name="40% - Accent3 2 10 3 2 2" xfId="9332"/>
    <cellStyle name="40% - Accent3 2 10 3 3" xfId="8217"/>
    <cellStyle name="40% - Accent3 2 10 4" xfId="4311"/>
    <cellStyle name="40% - Accent3 2 10 4 2" xfId="8775"/>
    <cellStyle name="40% - Accent3 2 10 5" xfId="5981"/>
    <cellStyle name="40% - Accent3 2 10 5 2" xfId="10445"/>
    <cellStyle name="40% - Accent3 2 10 6" xfId="6547"/>
    <cellStyle name="40% - Accent3 2 10 6 2" xfId="11002"/>
    <cellStyle name="40% - Accent3 2 10 7" xfId="7104"/>
    <cellStyle name="40% - Accent3 2 11" xfId="2581"/>
    <cellStyle name="40% - Accent3 2 12" xfId="11309"/>
    <cellStyle name="40% - Accent3 2 13" xfId="11338"/>
    <cellStyle name="40% - Accent3 2 14" xfId="1239"/>
    <cellStyle name="40% - Accent3 2 15" xfId="1134"/>
    <cellStyle name="40% - Accent3 2 2" xfId="726"/>
    <cellStyle name="40% - Accent3 2 2 2" xfId="1752"/>
    <cellStyle name="40% - Accent3 2 2 3" xfId="1241"/>
    <cellStyle name="40% - Accent3 2 2 4" xfId="11683"/>
    <cellStyle name="40% - Accent3 2 2 5" xfId="1175"/>
    <cellStyle name="40% - Accent3 2 3" xfId="1104"/>
    <cellStyle name="40% - Accent3 2 3 2" xfId="2169"/>
    <cellStyle name="40% - Accent3 2 3 2 10" xfId="7105"/>
    <cellStyle name="40% - Accent3 2 3 2 2" xfId="2170"/>
    <cellStyle name="40% - Accent3 2 3 2 2 2" xfId="2171"/>
    <cellStyle name="40% - Accent3 2 3 2 2 2 2" xfId="3158"/>
    <cellStyle name="40% - Accent3 2 3 2 2 2 2 2" xfId="5427"/>
    <cellStyle name="40% - Accent3 2 3 2 2 2 2 2 2" xfId="9891"/>
    <cellStyle name="40% - Accent3 2 3 2 2 2 2 3" xfId="7663"/>
    <cellStyle name="40% - Accent3 2 3 2 2 2 3" xfId="3741"/>
    <cellStyle name="40% - Accent3 2 3 2 2 2 3 2" xfId="4871"/>
    <cellStyle name="40% - Accent3 2 3 2 2 2 3 2 2" xfId="9335"/>
    <cellStyle name="40% - Accent3 2 3 2 2 2 3 3" xfId="8220"/>
    <cellStyle name="40% - Accent3 2 3 2 2 2 4" xfId="4314"/>
    <cellStyle name="40% - Accent3 2 3 2 2 2 4 2" xfId="8778"/>
    <cellStyle name="40% - Accent3 2 3 2 2 2 5" xfId="5984"/>
    <cellStyle name="40% - Accent3 2 3 2 2 2 5 2" xfId="10448"/>
    <cellStyle name="40% - Accent3 2 3 2 2 2 6" xfId="6550"/>
    <cellStyle name="40% - Accent3 2 3 2 2 2 6 2" xfId="11005"/>
    <cellStyle name="40% - Accent3 2 3 2 2 2 7" xfId="7107"/>
    <cellStyle name="40% - Accent3 2 3 2 2 3" xfId="2172"/>
    <cellStyle name="40% - Accent3 2 3 2 2 3 2" xfId="3159"/>
    <cellStyle name="40% - Accent3 2 3 2 2 3 2 2" xfId="5428"/>
    <cellStyle name="40% - Accent3 2 3 2 2 3 2 2 2" xfId="9892"/>
    <cellStyle name="40% - Accent3 2 3 2 2 3 2 3" xfId="7664"/>
    <cellStyle name="40% - Accent3 2 3 2 2 3 3" xfId="3742"/>
    <cellStyle name="40% - Accent3 2 3 2 2 3 3 2" xfId="4872"/>
    <cellStyle name="40% - Accent3 2 3 2 2 3 3 2 2" xfId="9336"/>
    <cellStyle name="40% - Accent3 2 3 2 2 3 3 3" xfId="8221"/>
    <cellStyle name="40% - Accent3 2 3 2 2 3 4" xfId="4315"/>
    <cellStyle name="40% - Accent3 2 3 2 2 3 4 2" xfId="8779"/>
    <cellStyle name="40% - Accent3 2 3 2 2 3 5" xfId="5985"/>
    <cellStyle name="40% - Accent3 2 3 2 2 3 5 2" xfId="10449"/>
    <cellStyle name="40% - Accent3 2 3 2 2 3 6" xfId="6551"/>
    <cellStyle name="40% - Accent3 2 3 2 2 3 6 2" xfId="11006"/>
    <cellStyle name="40% - Accent3 2 3 2 2 3 7" xfId="7108"/>
    <cellStyle name="40% - Accent3 2 3 2 2 4" xfId="3157"/>
    <cellStyle name="40% - Accent3 2 3 2 2 4 2" xfId="5426"/>
    <cellStyle name="40% - Accent3 2 3 2 2 4 2 2" xfId="9890"/>
    <cellStyle name="40% - Accent3 2 3 2 2 4 3" xfId="7662"/>
    <cellStyle name="40% - Accent3 2 3 2 2 5" xfId="3740"/>
    <cellStyle name="40% - Accent3 2 3 2 2 5 2" xfId="4870"/>
    <cellStyle name="40% - Accent3 2 3 2 2 5 2 2" xfId="9334"/>
    <cellStyle name="40% - Accent3 2 3 2 2 5 3" xfId="8219"/>
    <cellStyle name="40% - Accent3 2 3 2 2 6" xfId="4313"/>
    <cellStyle name="40% - Accent3 2 3 2 2 6 2" xfId="8777"/>
    <cellStyle name="40% - Accent3 2 3 2 2 7" xfId="5983"/>
    <cellStyle name="40% - Accent3 2 3 2 2 7 2" xfId="10447"/>
    <cellStyle name="40% - Accent3 2 3 2 2 8" xfId="6549"/>
    <cellStyle name="40% - Accent3 2 3 2 2 8 2" xfId="11004"/>
    <cellStyle name="40% - Accent3 2 3 2 2 9" xfId="7106"/>
    <cellStyle name="40% - Accent3 2 3 2 3" xfId="2173"/>
    <cellStyle name="40% - Accent3 2 3 2 3 2" xfId="3160"/>
    <cellStyle name="40% - Accent3 2 3 2 3 2 2" xfId="5429"/>
    <cellStyle name="40% - Accent3 2 3 2 3 2 2 2" xfId="9893"/>
    <cellStyle name="40% - Accent3 2 3 2 3 2 3" xfId="7665"/>
    <cellStyle name="40% - Accent3 2 3 2 3 3" xfId="3743"/>
    <cellStyle name="40% - Accent3 2 3 2 3 3 2" xfId="4873"/>
    <cellStyle name="40% - Accent3 2 3 2 3 3 2 2" xfId="9337"/>
    <cellStyle name="40% - Accent3 2 3 2 3 3 3" xfId="8222"/>
    <cellStyle name="40% - Accent3 2 3 2 3 4" xfId="4316"/>
    <cellStyle name="40% - Accent3 2 3 2 3 4 2" xfId="8780"/>
    <cellStyle name="40% - Accent3 2 3 2 3 5" xfId="5986"/>
    <cellStyle name="40% - Accent3 2 3 2 3 5 2" xfId="10450"/>
    <cellStyle name="40% - Accent3 2 3 2 3 6" xfId="6552"/>
    <cellStyle name="40% - Accent3 2 3 2 3 6 2" xfId="11007"/>
    <cellStyle name="40% - Accent3 2 3 2 3 7" xfId="7109"/>
    <cellStyle name="40% - Accent3 2 3 2 4" xfId="2174"/>
    <cellStyle name="40% - Accent3 2 3 2 4 2" xfId="3161"/>
    <cellStyle name="40% - Accent3 2 3 2 4 2 2" xfId="5430"/>
    <cellStyle name="40% - Accent3 2 3 2 4 2 2 2" xfId="9894"/>
    <cellStyle name="40% - Accent3 2 3 2 4 2 3" xfId="7666"/>
    <cellStyle name="40% - Accent3 2 3 2 4 3" xfId="3744"/>
    <cellStyle name="40% - Accent3 2 3 2 4 3 2" xfId="4874"/>
    <cellStyle name="40% - Accent3 2 3 2 4 3 2 2" xfId="9338"/>
    <cellStyle name="40% - Accent3 2 3 2 4 3 3" xfId="8223"/>
    <cellStyle name="40% - Accent3 2 3 2 4 4" xfId="4317"/>
    <cellStyle name="40% - Accent3 2 3 2 4 4 2" xfId="8781"/>
    <cellStyle name="40% - Accent3 2 3 2 4 5" xfId="5987"/>
    <cellStyle name="40% - Accent3 2 3 2 4 5 2" xfId="10451"/>
    <cellStyle name="40% - Accent3 2 3 2 4 6" xfId="6553"/>
    <cellStyle name="40% - Accent3 2 3 2 4 6 2" xfId="11008"/>
    <cellStyle name="40% - Accent3 2 3 2 4 7" xfId="7110"/>
    <cellStyle name="40% - Accent3 2 3 2 5" xfId="3156"/>
    <cellStyle name="40% - Accent3 2 3 2 5 2" xfId="5425"/>
    <cellStyle name="40% - Accent3 2 3 2 5 2 2" xfId="9889"/>
    <cellStyle name="40% - Accent3 2 3 2 5 3" xfId="7661"/>
    <cellStyle name="40% - Accent3 2 3 2 6" xfId="3739"/>
    <cellStyle name="40% - Accent3 2 3 2 6 2" xfId="4869"/>
    <cellStyle name="40% - Accent3 2 3 2 6 2 2" xfId="9333"/>
    <cellStyle name="40% - Accent3 2 3 2 6 3" xfId="8218"/>
    <cellStyle name="40% - Accent3 2 3 2 7" xfId="4312"/>
    <cellStyle name="40% - Accent3 2 3 2 7 2" xfId="8776"/>
    <cellStyle name="40% - Accent3 2 3 2 8" xfId="5982"/>
    <cellStyle name="40% - Accent3 2 3 2 8 2" xfId="10446"/>
    <cellStyle name="40% - Accent3 2 3 2 9" xfId="6548"/>
    <cellStyle name="40% - Accent3 2 3 2 9 2" xfId="11003"/>
    <cellStyle name="40% - Accent3 2 3 3" xfId="2175"/>
    <cellStyle name="40% - Accent3 2 3 3 2" xfId="2176"/>
    <cellStyle name="40% - Accent3 2 3 3 2 2" xfId="3163"/>
    <cellStyle name="40% - Accent3 2 3 3 2 2 2" xfId="5432"/>
    <cellStyle name="40% - Accent3 2 3 3 2 2 2 2" xfId="9896"/>
    <cellStyle name="40% - Accent3 2 3 3 2 2 3" xfId="7668"/>
    <cellStyle name="40% - Accent3 2 3 3 2 3" xfId="3746"/>
    <cellStyle name="40% - Accent3 2 3 3 2 3 2" xfId="4876"/>
    <cellStyle name="40% - Accent3 2 3 3 2 3 2 2" xfId="9340"/>
    <cellStyle name="40% - Accent3 2 3 3 2 3 3" xfId="8225"/>
    <cellStyle name="40% - Accent3 2 3 3 2 4" xfId="4319"/>
    <cellStyle name="40% - Accent3 2 3 3 2 4 2" xfId="8783"/>
    <cellStyle name="40% - Accent3 2 3 3 2 5" xfId="5989"/>
    <cellStyle name="40% - Accent3 2 3 3 2 5 2" xfId="10453"/>
    <cellStyle name="40% - Accent3 2 3 3 2 6" xfId="6555"/>
    <cellStyle name="40% - Accent3 2 3 3 2 6 2" xfId="11010"/>
    <cellStyle name="40% - Accent3 2 3 3 2 7" xfId="7112"/>
    <cellStyle name="40% - Accent3 2 3 3 3" xfId="2177"/>
    <cellStyle name="40% - Accent3 2 3 3 3 2" xfId="3164"/>
    <cellStyle name="40% - Accent3 2 3 3 3 2 2" xfId="5433"/>
    <cellStyle name="40% - Accent3 2 3 3 3 2 2 2" xfId="9897"/>
    <cellStyle name="40% - Accent3 2 3 3 3 2 3" xfId="7669"/>
    <cellStyle name="40% - Accent3 2 3 3 3 3" xfId="3747"/>
    <cellStyle name="40% - Accent3 2 3 3 3 3 2" xfId="4877"/>
    <cellStyle name="40% - Accent3 2 3 3 3 3 2 2" xfId="9341"/>
    <cellStyle name="40% - Accent3 2 3 3 3 3 3" xfId="8226"/>
    <cellStyle name="40% - Accent3 2 3 3 3 4" xfId="4320"/>
    <cellStyle name="40% - Accent3 2 3 3 3 4 2" xfId="8784"/>
    <cellStyle name="40% - Accent3 2 3 3 3 5" xfId="5990"/>
    <cellStyle name="40% - Accent3 2 3 3 3 5 2" xfId="10454"/>
    <cellStyle name="40% - Accent3 2 3 3 3 6" xfId="6556"/>
    <cellStyle name="40% - Accent3 2 3 3 3 6 2" xfId="11011"/>
    <cellStyle name="40% - Accent3 2 3 3 3 7" xfId="7113"/>
    <cellStyle name="40% - Accent3 2 3 3 4" xfId="3162"/>
    <cellStyle name="40% - Accent3 2 3 3 4 2" xfId="5431"/>
    <cellStyle name="40% - Accent3 2 3 3 4 2 2" xfId="9895"/>
    <cellStyle name="40% - Accent3 2 3 3 4 3" xfId="7667"/>
    <cellStyle name="40% - Accent3 2 3 3 5" xfId="3745"/>
    <cellStyle name="40% - Accent3 2 3 3 5 2" xfId="4875"/>
    <cellStyle name="40% - Accent3 2 3 3 5 2 2" xfId="9339"/>
    <cellStyle name="40% - Accent3 2 3 3 5 3" xfId="8224"/>
    <cellStyle name="40% - Accent3 2 3 3 6" xfId="4318"/>
    <cellStyle name="40% - Accent3 2 3 3 6 2" xfId="8782"/>
    <cellStyle name="40% - Accent3 2 3 3 7" xfId="5988"/>
    <cellStyle name="40% - Accent3 2 3 3 7 2" xfId="10452"/>
    <cellStyle name="40% - Accent3 2 3 3 8" xfId="6554"/>
    <cellStyle name="40% - Accent3 2 3 3 8 2" xfId="11009"/>
    <cellStyle name="40% - Accent3 2 3 3 9" xfId="7111"/>
    <cellStyle name="40% - Accent3 2 3 4" xfId="2178"/>
    <cellStyle name="40% - Accent3 2 3 4 2" xfId="3165"/>
    <cellStyle name="40% - Accent3 2 3 4 2 2" xfId="5434"/>
    <cellStyle name="40% - Accent3 2 3 4 2 2 2" xfId="9898"/>
    <cellStyle name="40% - Accent3 2 3 4 2 3" xfId="7670"/>
    <cellStyle name="40% - Accent3 2 3 4 3" xfId="3748"/>
    <cellStyle name="40% - Accent3 2 3 4 3 2" xfId="4878"/>
    <cellStyle name="40% - Accent3 2 3 4 3 2 2" xfId="9342"/>
    <cellStyle name="40% - Accent3 2 3 4 3 3" xfId="8227"/>
    <cellStyle name="40% - Accent3 2 3 4 4" xfId="4321"/>
    <cellStyle name="40% - Accent3 2 3 4 4 2" xfId="8785"/>
    <cellStyle name="40% - Accent3 2 3 4 5" xfId="5991"/>
    <cellStyle name="40% - Accent3 2 3 4 5 2" xfId="10455"/>
    <cellStyle name="40% - Accent3 2 3 4 6" xfId="6557"/>
    <cellStyle name="40% - Accent3 2 3 4 6 2" xfId="11012"/>
    <cellStyle name="40% - Accent3 2 3 4 7" xfId="7114"/>
    <cellStyle name="40% - Accent3 2 3 5" xfId="2179"/>
    <cellStyle name="40% - Accent3 2 3 5 2" xfId="3166"/>
    <cellStyle name="40% - Accent3 2 3 5 2 2" xfId="5435"/>
    <cellStyle name="40% - Accent3 2 3 5 2 2 2" xfId="9899"/>
    <cellStyle name="40% - Accent3 2 3 5 2 3" xfId="7671"/>
    <cellStyle name="40% - Accent3 2 3 5 3" xfId="3749"/>
    <cellStyle name="40% - Accent3 2 3 5 3 2" xfId="4879"/>
    <cellStyle name="40% - Accent3 2 3 5 3 2 2" xfId="9343"/>
    <cellStyle name="40% - Accent3 2 3 5 3 3" xfId="8228"/>
    <cellStyle name="40% - Accent3 2 3 5 4" xfId="4322"/>
    <cellStyle name="40% - Accent3 2 3 5 4 2" xfId="8786"/>
    <cellStyle name="40% - Accent3 2 3 5 5" xfId="5992"/>
    <cellStyle name="40% - Accent3 2 3 5 5 2" xfId="10456"/>
    <cellStyle name="40% - Accent3 2 3 5 6" xfId="6558"/>
    <cellStyle name="40% - Accent3 2 3 5 6 2" xfId="11013"/>
    <cellStyle name="40% - Accent3 2 3 5 7" xfId="7115"/>
    <cellStyle name="40% - Accent3 2 3 6" xfId="11969"/>
    <cellStyle name="40% - Accent3 2 3 7" xfId="1243"/>
    <cellStyle name="40% - Accent3 2 4" xfId="1245"/>
    <cellStyle name="40% - Accent3 2 4 2" xfId="2180"/>
    <cellStyle name="40% - Accent3 2 4 2 2" xfId="2181"/>
    <cellStyle name="40% - Accent3 2 4 2 2 2" xfId="3168"/>
    <cellStyle name="40% - Accent3 2 4 2 2 2 2" xfId="5437"/>
    <cellStyle name="40% - Accent3 2 4 2 2 2 2 2" xfId="9901"/>
    <cellStyle name="40% - Accent3 2 4 2 2 2 3" xfId="7673"/>
    <cellStyle name="40% - Accent3 2 4 2 2 3" xfId="3751"/>
    <cellStyle name="40% - Accent3 2 4 2 2 3 2" xfId="4881"/>
    <cellStyle name="40% - Accent3 2 4 2 2 3 2 2" xfId="9345"/>
    <cellStyle name="40% - Accent3 2 4 2 2 3 3" xfId="8230"/>
    <cellStyle name="40% - Accent3 2 4 2 2 4" xfId="4324"/>
    <cellStyle name="40% - Accent3 2 4 2 2 4 2" xfId="8788"/>
    <cellStyle name="40% - Accent3 2 4 2 2 5" xfId="5994"/>
    <cellStyle name="40% - Accent3 2 4 2 2 5 2" xfId="10458"/>
    <cellStyle name="40% - Accent3 2 4 2 2 6" xfId="6560"/>
    <cellStyle name="40% - Accent3 2 4 2 2 6 2" xfId="11015"/>
    <cellStyle name="40% - Accent3 2 4 2 2 7" xfId="7117"/>
    <cellStyle name="40% - Accent3 2 4 2 3" xfId="2182"/>
    <cellStyle name="40% - Accent3 2 4 2 3 2" xfId="3169"/>
    <cellStyle name="40% - Accent3 2 4 2 3 2 2" xfId="5438"/>
    <cellStyle name="40% - Accent3 2 4 2 3 2 2 2" xfId="9902"/>
    <cellStyle name="40% - Accent3 2 4 2 3 2 3" xfId="7674"/>
    <cellStyle name="40% - Accent3 2 4 2 3 3" xfId="3752"/>
    <cellStyle name="40% - Accent3 2 4 2 3 3 2" xfId="4882"/>
    <cellStyle name="40% - Accent3 2 4 2 3 3 2 2" xfId="9346"/>
    <cellStyle name="40% - Accent3 2 4 2 3 3 3" xfId="8231"/>
    <cellStyle name="40% - Accent3 2 4 2 3 4" xfId="4325"/>
    <cellStyle name="40% - Accent3 2 4 2 3 4 2" xfId="8789"/>
    <cellStyle name="40% - Accent3 2 4 2 3 5" xfId="5995"/>
    <cellStyle name="40% - Accent3 2 4 2 3 5 2" xfId="10459"/>
    <cellStyle name="40% - Accent3 2 4 2 3 6" xfId="6561"/>
    <cellStyle name="40% - Accent3 2 4 2 3 6 2" xfId="11016"/>
    <cellStyle name="40% - Accent3 2 4 2 3 7" xfId="7118"/>
    <cellStyle name="40% - Accent3 2 4 2 4" xfId="3167"/>
    <cellStyle name="40% - Accent3 2 4 2 4 2" xfId="5436"/>
    <cellStyle name="40% - Accent3 2 4 2 4 2 2" xfId="9900"/>
    <cellStyle name="40% - Accent3 2 4 2 4 3" xfId="7672"/>
    <cellStyle name="40% - Accent3 2 4 2 5" xfId="3750"/>
    <cellStyle name="40% - Accent3 2 4 2 5 2" xfId="4880"/>
    <cellStyle name="40% - Accent3 2 4 2 5 2 2" xfId="9344"/>
    <cellStyle name="40% - Accent3 2 4 2 5 3" xfId="8229"/>
    <cellStyle name="40% - Accent3 2 4 2 6" xfId="4323"/>
    <cellStyle name="40% - Accent3 2 4 2 6 2" xfId="8787"/>
    <cellStyle name="40% - Accent3 2 4 2 7" xfId="5993"/>
    <cellStyle name="40% - Accent3 2 4 2 7 2" xfId="10457"/>
    <cellStyle name="40% - Accent3 2 4 2 8" xfId="6559"/>
    <cellStyle name="40% - Accent3 2 4 2 8 2" xfId="11014"/>
    <cellStyle name="40% - Accent3 2 4 2 9" xfId="7116"/>
    <cellStyle name="40% - Accent3 2 4 3" xfId="2183"/>
    <cellStyle name="40% - Accent3 2 4 3 2" xfId="2184"/>
    <cellStyle name="40% - Accent3 2 4 3 2 2" xfId="3171"/>
    <cellStyle name="40% - Accent3 2 4 3 2 2 2" xfId="5440"/>
    <cellStyle name="40% - Accent3 2 4 3 2 2 2 2" xfId="9904"/>
    <cellStyle name="40% - Accent3 2 4 3 2 2 3" xfId="7676"/>
    <cellStyle name="40% - Accent3 2 4 3 2 3" xfId="3754"/>
    <cellStyle name="40% - Accent3 2 4 3 2 3 2" xfId="4884"/>
    <cellStyle name="40% - Accent3 2 4 3 2 3 2 2" xfId="9348"/>
    <cellStyle name="40% - Accent3 2 4 3 2 3 3" xfId="8233"/>
    <cellStyle name="40% - Accent3 2 4 3 2 4" xfId="4327"/>
    <cellStyle name="40% - Accent3 2 4 3 2 4 2" xfId="8791"/>
    <cellStyle name="40% - Accent3 2 4 3 2 5" xfId="5997"/>
    <cellStyle name="40% - Accent3 2 4 3 2 5 2" xfId="10461"/>
    <cellStyle name="40% - Accent3 2 4 3 2 6" xfId="6563"/>
    <cellStyle name="40% - Accent3 2 4 3 2 6 2" xfId="11018"/>
    <cellStyle name="40% - Accent3 2 4 3 2 7" xfId="7120"/>
    <cellStyle name="40% - Accent3 2 4 3 3" xfId="2185"/>
    <cellStyle name="40% - Accent3 2 4 3 3 2" xfId="3172"/>
    <cellStyle name="40% - Accent3 2 4 3 3 2 2" xfId="5441"/>
    <cellStyle name="40% - Accent3 2 4 3 3 2 2 2" xfId="9905"/>
    <cellStyle name="40% - Accent3 2 4 3 3 2 3" xfId="7677"/>
    <cellStyle name="40% - Accent3 2 4 3 3 3" xfId="3755"/>
    <cellStyle name="40% - Accent3 2 4 3 3 3 2" xfId="4885"/>
    <cellStyle name="40% - Accent3 2 4 3 3 3 2 2" xfId="9349"/>
    <cellStyle name="40% - Accent3 2 4 3 3 3 3" xfId="8234"/>
    <cellStyle name="40% - Accent3 2 4 3 3 4" xfId="4328"/>
    <cellStyle name="40% - Accent3 2 4 3 3 4 2" xfId="8792"/>
    <cellStyle name="40% - Accent3 2 4 3 3 5" xfId="5998"/>
    <cellStyle name="40% - Accent3 2 4 3 3 5 2" xfId="10462"/>
    <cellStyle name="40% - Accent3 2 4 3 3 6" xfId="6564"/>
    <cellStyle name="40% - Accent3 2 4 3 3 6 2" xfId="11019"/>
    <cellStyle name="40% - Accent3 2 4 3 3 7" xfId="7121"/>
    <cellStyle name="40% - Accent3 2 4 3 4" xfId="3170"/>
    <cellStyle name="40% - Accent3 2 4 3 4 2" xfId="5439"/>
    <cellStyle name="40% - Accent3 2 4 3 4 2 2" xfId="9903"/>
    <cellStyle name="40% - Accent3 2 4 3 4 3" xfId="7675"/>
    <cellStyle name="40% - Accent3 2 4 3 5" xfId="3753"/>
    <cellStyle name="40% - Accent3 2 4 3 5 2" xfId="4883"/>
    <cellStyle name="40% - Accent3 2 4 3 5 2 2" xfId="9347"/>
    <cellStyle name="40% - Accent3 2 4 3 5 3" xfId="8232"/>
    <cellStyle name="40% - Accent3 2 4 3 6" xfId="4326"/>
    <cellStyle name="40% - Accent3 2 4 3 6 2" xfId="8790"/>
    <cellStyle name="40% - Accent3 2 4 3 7" xfId="5996"/>
    <cellStyle name="40% - Accent3 2 4 3 7 2" xfId="10460"/>
    <cellStyle name="40% - Accent3 2 4 3 8" xfId="6562"/>
    <cellStyle name="40% - Accent3 2 4 3 8 2" xfId="11017"/>
    <cellStyle name="40% - Accent3 2 4 3 9" xfId="7119"/>
    <cellStyle name="40% - Accent3 2 4 4" xfId="2186"/>
    <cellStyle name="40% - Accent3 2 4 4 2" xfId="3173"/>
    <cellStyle name="40% - Accent3 2 4 4 2 2" xfId="5442"/>
    <cellStyle name="40% - Accent3 2 4 4 2 2 2" xfId="9906"/>
    <cellStyle name="40% - Accent3 2 4 4 2 3" xfId="7678"/>
    <cellStyle name="40% - Accent3 2 4 4 3" xfId="3756"/>
    <cellStyle name="40% - Accent3 2 4 4 3 2" xfId="4886"/>
    <cellStyle name="40% - Accent3 2 4 4 3 2 2" xfId="9350"/>
    <cellStyle name="40% - Accent3 2 4 4 3 3" xfId="8235"/>
    <cellStyle name="40% - Accent3 2 4 4 4" xfId="4329"/>
    <cellStyle name="40% - Accent3 2 4 4 4 2" xfId="8793"/>
    <cellStyle name="40% - Accent3 2 4 4 5" xfId="5999"/>
    <cellStyle name="40% - Accent3 2 4 4 5 2" xfId="10463"/>
    <cellStyle name="40% - Accent3 2 4 4 6" xfId="6565"/>
    <cellStyle name="40% - Accent3 2 4 4 6 2" xfId="11020"/>
    <cellStyle name="40% - Accent3 2 4 4 7" xfId="7122"/>
    <cellStyle name="40% - Accent3 2 4 5" xfId="2187"/>
    <cellStyle name="40% - Accent3 2 4 5 2" xfId="3174"/>
    <cellStyle name="40% - Accent3 2 4 5 2 2" xfId="5443"/>
    <cellStyle name="40% - Accent3 2 4 5 2 2 2" xfId="9907"/>
    <cellStyle name="40% - Accent3 2 4 5 2 3" xfId="7679"/>
    <cellStyle name="40% - Accent3 2 4 5 3" xfId="3757"/>
    <cellStyle name="40% - Accent3 2 4 5 3 2" xfId="4887"/>
    <cellStyle name="40% - Accent3 2 4 5 3 2 2" xfId="9351"/>
    <cellStyle name="40% - Accent3 2 4 5 3 3" xfId="8236"/>
    <cellStyle name="40% - Accent3 2 4 5 4" xfId="4330"/>
    <cellStyle name="40% - Accent3 2 4 5 4 2" xfId="8794"/>
    <cellStyle name="40% - Accent3 2 4 5 5" xfId="6000"/>
    <cellStyle name="40% - Accent3 2 4 5 5 2" xfId="10464"/>
    <cellStyle name="40% - Accent3 2 4 5 6" xfId="6566"/>
    <cellStyle name="40% - Accent3 2 4 5 6 2" xfId="11021"/>
    <cellStyle name="40% - Accent3 2 4 5 7" xfId="7123"/>
    <cellStyle name="40% - Accent3 2 5" xfId="1289"/>
    <cellStyle name="40% - Accent3 2 5 2" xfId="2188"/>
    <cellStyle name="40% - Accent3 2 5 2 2" xfId="2189"/>
    <cellStyle name="40% - Accent3 2 5 2 2 2" xfId="3176"/>
    <cellStyle name="40% - Accent3 2 5 2 2 2 2" xfId="5445"/>
    <cellStyle name="40% - Accent3 2 5 2 2 2 2 2" xfId="9909"/>
    <cellStyle name="40% - Accent3 2 5 2 2 2 3" xfId="7681"/>
    <cellStyle name="40% - Accent3 2 5 2 2 3" xfId="3759"/>
    <cellStyle name="40% - Accent3 2 5 2 2 3 2" xfId="4889"/>
    <cellStyle name="40% - Accent3 2 5 2 2 3 2 2" xfId="9353"/>
    <cellStyle name="40% - Accent3 2 5 2 2 3 3" xfId="8238"/>
    <cellStyle name="40% - Accent3 2 5 2 2 4" xfId="4332"/>
    <cellStyle name="40% - Accent3 2 5 2 2 4 2" xfId="8796"/>
    <cellStyle name="40% - Accent3 2 5 2 2 5" xfId="6002"/>
    <cellStyle name="40% - Accent3 2 5 2 2 5 2" xfId="10466"/>
    <cellStyle name="40% - Accent3 2 5 2 2 6" xfId="6568"/>
    <cellStyle name="40% - Accent3 2 5 2 2 6 2" xfId="11023"/>
    <cellStyle name="40% - Accent3 2 5 2 2 7" xfId="7125"/>
    <cellStyle name="40% - Accent3 2 5 2 3" xfId="2190"/>
    <cellStyle name="40% - Accent3 2 5 2 3 2" xfId="3177"/>
    <cellStyle name="40% - Accent3 2 5 2 3 2 2" xfId="5446"/>
    <cellStyle name="40% - Accent3 2 5 2 3 2 2 2" xfId="9910"/>
    <cellStyle name="40% - Accent3 2 5 2 3 2 3" xfId="7682"/>
    <cellStyle name="40% - Accent3 2 5 2 3 3" xfId="3760"/>
    <cellStyle name="40% - Accent3 2 5 2 3 3 2" xfId="4890"/>
    <cellStyle name="40% - Accent3 2 5 2 3 3 2 2" xfId="9354"/>
    <cellStyle name="40% - Accent3 2 5 2 3 3 3" xfId="8239"/>
    <cellStyle name="40% - Accent3 2 5 2 3 4" xfId="4333"/>
    <cellStyle name="40% - Accent3 2 5 2 3 4 2" xfId="8797"/>
    <cellStyle name="40% - Accent3 2 5 2 3 5" xfId="6003"/>
    <cellStyle name="40% - Accent3 2 5 2 3 5 2" xfId="10467"/>
    <cellStyle name="40% - Accent3 2 5 2 3 6" xfId="6569"/>
    <cellStyle name="40% - Accent3 2 5 2 3 6 2" xfId="11024"/>
    <cellStyle name="40% - Accent3 2 5 2 3 7" xfId="7126"/>
    <cellStyle name="40% - Accent3 2 5 2 4" xfId="3175"/>
    <cellStyle name="40% - Accent3 2 5 2 4 2" xfId="5444"/>
    <cellStyle name="40% - Accent3 2 5 2 4 2 2" xfId="9908"/>
    <cellStyle name="40% - Accent3 2 5 2 4 3" xfId="7680"/>
    <cellStyle name="40% - Accent3 2 5 2 5" xfId="3758"/>
    <cellStyle name="40% - Accent3 2 5 2 5 2" xfId="4888"/>
    <cellStyle name="40% - Accent3 2 5 2 5 2 2" xfId="9352"/>
    <cellStyle name="40% - Accent3 2 5 2 5 3" xfId="8237"/>
    <cellStyle name="40% - Accent3 2 5 2 6" xfId="4331"/>
    <cellStyle name="40% - Accent3 2 5 2 6 2" xfId="8795"/>
    <cellStyle name="40% - Accent3 2 5 2 7" xfId="6001"/>
    <cellStyle name="40% - Accent3 2 5 2 7 2" xfId="10465"/>
    <cellStyle name="40% - Accent3 2 5 2 8" xfId="6567"/>
    <cellStyle name="40% - Accent3 2 5 2 8 2" xfId="11022"/>
    <cellStyle name="40% - Accent3 2 5 2 9" xfId="7124"/>
    <cellStyle name="40% - Accent3 2 5 3" xfId="2191"/>
    <cellStyle name="40% - Accent3 2 5 3 2" xfId="3178"/>
    <cellStyle name="40% - Accent3 2 5 3 2 2" xfId="5447"/>
    <cellStyle name="40% - Accent3 2 5 3 2 2 2" xfId="9911"/>
    <cellStyle name="40% - Accent3 2 5 3 2 3" xfId="7683"/>
    <cellStyle name="40% - Accent3 2 5 3 3" xfId="3761"/>
    <cellStyle name="40% - Accent3 2 5 3 3 2" xfId="4891"/>
    <cellStyle name="40% - Accent3 2 5 3 3 2 2" xfId="9355"/>
    <cellStyle name="40% - Accent3 2 5 3 3 3" xfId="8240"/>
    <cellStyle name="40% - Accent3 2 5 3 4" xfId="4334"/>
    <cellStyle name="40% - Accent3 2 5 3 4 2" xfId="8798"/>
    <cellStyle name="40% - Accent3 2 5 3 5" xfId="6004"/>
    <cellStyle name="40% - Accent3 2 5 3 5 2" xfId="10468"/>
    <cellStyle name="40% - Accent3 2 5 3 6" xfId="6570"/>
    <cellStyle name="40% - Accent3 2 5 3 6 2" xfId="11025"/>
    <cellStyle name="40% - Accent3 2 5 3 7" xfId="7127"/>
    <cellStyle name="40% - Accent3 2 5 4" xfId="2192"/>
    <cellStyle name="40% - Accent3 2 5 4 2" xfId="3179"/>
    <cellStyle name="40% - Accent3 2 5 4 2 2" xfId="5448"/>
    <cellStyle name="40% - Accent3 2 5 4 2 2 2" xfId="9912"/>
    <cellStyle name="40% - Accent3 2 5 4 2 3" xfId="7684"/>
    <cellStyle name="40% - Accent3 2 5 4 3" xfId="3762"/>
    <cellStyle name="40% - Accent3 2 5 4 3 2" xfId="4892"/>
    <cellStyle name="40% - Accent3 2 5 4 3 2 2" xfId="9356"/>
    <cellStyle name="40% - Accent3 2 5 4 3 3" xfId="8241"/>
    <cellStyle name="40% - Accent3 2 5 4 4" xfId="4335"/>
    <cellStyle name="40% - Accent3 2 5 4 4 2" xfId="8799"/>
    <cellStyle name="40% - Accent3 2 5 4 5" xfId="6005"/>
    <cellStyle name="40% - Accent3 2 5 4 5 2" xfId="10469"/>
    <cellStyle name="40% - Accent3 2 5 4 6" xfId="6571"/>
    <cellStyle name="40% - Accent3 2 5 4 6 2" xfId="11026"/>
    <cellStyle name="40% - Accent3 2 5 4 7" xfId="7128"/>
    <cellStyle name="40% - Accent3 2 6" xfId="1290"/>
    <cellStyle name="40% - Accent3 2 6 2" xfId="2193"/>
    <cellStyle name="40% - Accent3 2 6 2 2" xfId="3180"/>
    <cellStyle name="40% - Accent3 2 6 2 2 2" xfId="5449"/>
    <cellStyle name="40% - Accent3 2 6 2 2 2 2" xfId="9913"/>
    <cellStyle name="40% - Accent3 2 6 2 2 3" xfId="7685"/>
    <cellStyle name="40% - Accent3 2 6 2 3" xfId="3763"/>
    <cellStyle name="40% - Accent3 2 6 2 3 2" xfId="4893"/>
    <cellStyle name="40% - Accent3 2 6 2 3 2 2" xfId="9357"/>
    <cellStyle name="40% - Accent3 2 6 2 3 3" xfId="8242"/>
    <cellStyle name="40% - Accent3 2 6 2 4" xfId="4336"/>
    <cellStyle name="40% - Accent3 2 6 2 4 2" xfId="8800"/>
    <cellStyle name="40% - Accent3 2 6 2 5" xfId="6006"/>
    <cellStyle name="40% - Accent3 2 6 2 5 2" xfId="10470"/>
    <cellStyle name="40% - Accent3 2 6 2 6" xfId="6572"/>
    <cellStyle name="40% - Accent3 2 6 2 6 2" xfId="11027"/>
    <cellStyle name="40% - Accent3 2 6 2 7" xfId="7129"/>
    <cellStyle name="40% - Accent3 2 6 3" xfId="2194"/>
    <cellStyle name="40% - Accent3 2 6 3 2" xfId="3181"/>
    <cellStyle name="40% - Accent3 2 6 3 2 2" xfId="5450"/>
    <cellStyle name="40% - Accent3 2 6 3 2 2 2" xfId="9914"/>
    <cellStyle name="40% - Accent3 2 6 3 2 3" xfId="7686"/>
    <cellStyle name="40% - Accent3 2 6 3 3" xfId="3764"/>
    <cellStyle name="40% - Accent3 2 6 3 3 2" xfId="4894"/>
    <cellStyle name="40% - Accent3 2 6 3 3 2 2" xfId="9358"/>
    <cellStyle name="40% - Accent3 2 6 3 3 3" xfId="8243"/>
    <cellStyle name="40% - Accent3 2 6 3 4" xfId="4337"/>
    <cellStyle name="40% - Accent3 2 6 3 4 2" xfId="8801"/>
    <cellStyle name="40% - Accent3 2 6 3 5" xfId="6007"/>
    <cellStyle name="40% - Accent3 2 6 3 5 2" xfId="10471"/>
    <cellStyle name="40% - Accent3 2 6 3 6" xfId="6573"/>
    <cellStyle name="40% - Accent3 2 6 3 6 2" xfId="11028"/>
    <cellStyle name="40% - Accent3 2 6 3 7" xfId="7130"/>
    <cellStyle name="40% - Accent3 2 7" xfId="1730"/>
    <cellStyle name="40% - Accent3 2 7 2" xfId="2898"/>
    <cellStyle name="40% - Accent3 2 7 2 2" xfId="5167"/>
    <cellStyle name="40% - Accent3 2 7 2 2 2" xfId="9631"/>
    <cellStyle name="40% - Accent3 2 7 2 3" xfId="7403"/>
    <cellStyle name="40% - Accent3 2 7 3" xfId="3481"/>
    <cellStyle name="40% - Accent3 2 7 3 2" xfId="4611"/>
    <cellStyle name="40% - Accent3 2 7 3 2 2" xfId="9075"/>
    <cellStyle name="40% - Accent3 2 7 3 3" xfId="7960"/>
    <cellStyle name="40% - Accent3 2 7 4" xfId="4054"/>
    <cellStyle name="40% - Accent3 2 7 4 2" xfId="8518"/>
    <cellStyle name="40% - Accent3 2 7 5" xfId="5724"/>
    <cellStyle name="40% - Accent3 2 7 5 2" xfId="10188"/>
    <cellStyle name="40% - Accent3 2 7 6" xfId="6290"/>
    <cellStyle name="40% - Accent3 2 7 6 2" xfId="10745"/>
    <cellStyle name="40% - Accent3 2 7 7" xfId="6847"/>
    <cellStyle name="40% - Accent3 2 8" xfId="1840"/>
    <cellStyle name="40% - Accent3 2 8 2" xfId="2915"/>
    <cellStyle name="40% - Accent3 2 8 2 2" xfId="5184"/>
    <cellStyle name="40% - Accent3 2 8 2 2 2" xfId="9648"/>
    <cellStyle name="40% - Accent3 2 8 2 3" xfId="7420"/>
    <cellStyle name="40% - Accent3 2 8 3" xfId="3498"/>
    <cellStyle name="40% - Accent3 2 8 3 2" xfId="4628"/>
    <cellStyle name="40% - Accent3 2 8 3 2 2" xfId="9092"/>
    <cellStyle name="40% - Accent3 2 8 3 3" xfId="7977"/>
    <cellStyle name="40% - Accent3 2 8 4" xfId="4071"/>
    <cellStyle name="40% - Accent3 2 8 4 2" xfId="8535"/>
    <cellStyle name="40% - Accent3 2 8 5" xfId="5741"/>
    <cellStyle name="40% - Accent3 2 8 5 2" xfId="10205"/>
    <cellStyle name="40% - Accent3 2 8 6" xfId="6307"/>
    <cellStyle name="40% - Accent3 2 8 6 2" xfId="10762"/>
    <cellStyle name="40% - Accent3 2 8 7" xfId="6864"/>
    <cellStyle name="40% - Accent3 2 9" xfId="2195"/>
    <cellStyle name="40% - Accent3 20" xfId="1084"/>
    <cellStyle name="40% - Accent3 20 2" xfId="11955"/>
    <cellStyle name="40% - Accent3 21" xfId="11838"/>
    <cellStyle name="40% - Accent3 3" xfId="120"/>
    <cellStyle name="40% - Accent3 3 2" xfId="2196"/>
    <cellStyle name="40% - Accent3 3 3" xfId="2612"/>
    <cellStyle name="40% - Accent3 3 4" xfId="11403"/>
    <cellStyle name="40% - Accent3 3 5" xfId="1291"/>
    <cellStyle name="40% - Accent3 4" xfId="121"/>
    <cellStyle name="40% - Accent3 4 2" xfId="2778"/>
    <cellStyle name="40% - Accent3 4 3" xfId="11404"/>
    <cellStyle name="40% - Accent3 4 4" xfId="1292"/>
    <cellStyle name="40% - Accent3 5" xfId="122"/>
    <cellStyle name="40% - Accent3 5 2" xfId="11405"/>
    <cellStyle name="40% - Accent3 5 3" xfId="1670"/>
    <cellStyle name="40% - Accent3 6" xfId="123"/>
    <cellStyle name="40% - Accent3 6 2" xfId="11406"/>
    <cellStyle name="40% - Accent3 6 3" xfId="1839"/>
    <cellStyle name="40% - Accent3 7" xfId="124"/>
    <cellStyle name="40% - Accent3 8" xfId="125"/>
    <cellStyle name="40% - Accent3 9" xfId="126"/>
    <cellStyle name="40% - Accent4" xfId="954" builtinId="43" customBuiltin="1"/>
    <cellStyle name="40% - Accent4 10" xfId="127"/>
    <cellStyle name="40% - Accent4 11" xfId="128"/>
    <cellStyle name="40% - Accent4 12" xfId="129"/>
    <cellStyle name="40% - Accent4 13" xfId="130"/>
    <cellStyle name="40% - Accent4 14" xfId="131"/>
    <cellStyle name="40% - Accent4 15" xfId="132"/>
    <cellStyle name="40% - Accent4 16" xfId="679"/>
    <cellStyle name="40% - Accent4 17" xfId="996"/>
    <cellStyle name="40% - Accent4 17 2" xfId="11867"/>
    <cellStyle name="40% - Accent4 18" xfId="1025"/>
    <cellStyle name="40% - Accent4 18 2" xfId="11896"/>
    <cellStyle name="40% - Accent4 19" xfId="1071"/>
    <cellStyle name="40% - Accent4 19 2" xfId="11942"/>
    <cellStyle name="40% - Accent4 2" xfId="133"/>
    <cellStyle name="40% - Accent4 2 10" xfId="2197"/>
    <cellStyle name="40% - Accent4 2 10 2" xfId="3182"/>
    <cellStyle name="40% - Accent4 2 10 2 2" xfId="5451"/>
    <cellStyle name="40% - Accent4 2 10 2 2 2" xfId="9915"/>
    <cellStyle name="40% - Accent4 2 10 2 3" xfId="7687"/>
    <cellStyle name="40% - Accent4 2 10 3" xfId="3765"/>
    <cellStyle name="40% - Accent4 2 10 3 2" xfId="4895"/>
    <cellStyle name="40% - Accent4 2 10 3 2 2" xfId="9359"/>
    <cellStyle name="40% - Accent4 2 10 3 3" xfId="8244"/>
    <cellStyle name="40% - Accent4 2 10 4" xfId="4338"/>
    <cellStyle name="40% - Accent4 2 10 4 2" xfId="8802"/>
    <cellStyle name="40% - Accent4 2 10 5" xfId="6008"/>
    <cellStyle name="40% - Accent4 2 10 5 2" xfId="10472"/>
    <cellStyle name="40% - Accent4 2 10 6" xfId="6574"/>
    <cellStyle name="40% - Accent4 2 10 6 2" xfId="11029"/>
    <cellStyle name="40% - Accent4 2 10 7" xfId="7131"/>
    <cellStyle name="40% - Accent4 2 11" xfId="11311"/>
    <cellStyle name="40% - Accent4 2 12" xfId="11340"/>
    <cellStyle name="40% - Accent4 2 13" xfId="1293"/>
    <cellStyle name="40% - Accent4 2 14" xfId="1136"/>
    <cellStyle name="40% - Accent4 2 2" xfId="730"/>
    <cellStyle name="40% - Accent4 2 2 2" xfId="1753"/>
    <cellStyle name="40% - Accent4 2 2 3" xfId="1294"/>
    <cellStyle name="40% - Accent4 2 2 4" xfId="11687"/>
    <cellStyle name="40% - Accent4 2 2 5" xfId="1177"/>
    <cellStyle name="40% - Accent4 2 3" xfId="1106"/>
    <cellStyle name="40% - Accent4 2 3 2" xfId="2198"/>
    <cellStyle name="40% - Accent4 2 3 2 10" xfId="7132"/>
    <cellStyle name="40% - Accent4 2 3 2 2" xfId="2199"/>
    <cellStyle name="40% - Accent4 2 3 2 2 2" xfId="2200"/>
    <cellStyle name="40% - Accent4 2 3 2 2 2 2" xfId="3185"/>
    <cellStyle name="40% - Accent4 2 3 2 2 2 2 2" xfId="5454"/>
    <cellStyle name="40% - Accent4 2 3 2 2 2 2 2 2" xfId="9918"/>
    <cellStyle name="40% - Accent4 2 3 2 2 2 2 3" xfId="7690"/>
    <cellStyle name="40% - Accent4 2 3 2 2 2 3" xfId="3768"/>
    <cellStyle name="40% - Accent4 2 3 2 2 2 3 2" xfId="4898"/>
    <cellStyle name="40% - Accent4 2 3 2 2 2 3 2 2" xfId="9362"/>
    <cellStyle name="40% - Accent4 2 3 2 2 2 3 3" xfId="8247"/>
    <cellStyle name="40% - Accent4 2 3 2 2 2 4" xfId="4341"/>
    <cellStyle name="40% - Accent4 2 3 2 2 2 4 2" xfId="8805"/>
    <cellStyle name="40% - Accent4 2 3 2 2 2 5" xfId="6011"/>
    <cellStyle name="40% - Accent4 2 3 2 2 2 5 2" xfId="10475"/>
    <cellStyle name="40% - Accent4 2 3 2 2 2 6" xfId="6577"/>
    <cellStyle name="40% - Accent4 2 3 2 2 2 6 2" xfId="11032"/>
    <cellStyle name="40% - Accent4 2 3 2 2 2 7" xfId="7134"/>
    <cellStyle name="40% - Accent4 2 3 2 2 3" xfId="2201"/>
    <cellStyle name="40% - Accent4 2 3 2 2 3 2" xfId="3186"/>
    <cellStyle name="40% - Accent4 2 3 2 2 3 2 2" xfId="5455"/>
    <cellStyle name="40% - Accent4 2 3 2 2 3 2 2 2" xfId="9919"/>
    <cellStyle name="40% - Accent4 2 3 2 2 3 2 3" xfId="7691"/>
    <cellStyle name="40% - Accent4 2 3 2 2 3 3" xfId="3769"/>
    <cellStyle name="40% - Accent4 2 3 2 2 3 3 2" xfId="4899"/>
    <cellStyle name="40% - Accent4 2 3 2 2 3 3 2 2" xfId="9363"/>
    <cellStyle name="40% - Accent4 2 3 2 2 3 3 3" xfId="8248"/>
    <cellStyle name="40% - Accent4 2 3 2 2 3 4" xfId="4342"/>
    <cellStyle name="40% - Accent4 2 3 2 2 3 4 2" xfId="8806"/>
    <cellStyle name="40% - Accent4 2 3 2 2 3 5" xfId="6012"/>
    <cellStyle name="40% - Accent4 2 3 2 2 3 5 2" xfId="10476"/>
    <cellStyle name="40% - Accent4 2 3 2 2 3 6" xfId="6578"/>
    <cellStyle name="40% - Accent4 2 3 2 2 3 6 2" xfId="11033"/>
    <cellStyle name="40% - Accent4 2 3 2 2 3 7" xfId="7135"/>
    <cellStyle name="40% - Accent4 2 3 2 2 4" xfId="3184"/>
    <cellStyle name="40% - Accent4 2 3 2 2 4 2" xfId="5453"/>
    <cellStyle name="40% - Accent4 2 3 2 2 4 2 2" xfId="9917"/>
    <cellStyle name="40% - Accent4 2 3 2 2 4 3" xfId="7689"/>
    <cellStyle name="40% - Accent4 2 3 2 2 5" xfId="3767"/>
    <cellStyle name="40% - Accent4 2 3 2 2 5 2" xfId="4897"/>
    <cellStyle name="40% - Accent4 2 3 2 2 5 2 2" xfId="9361"/>
    <cellStyle name="40% - Accent4 2 3 2 2 5 3" xfId="8246"/>
    <cellStyle name="40% - Accent4 2 3 2 2 6" xfId="4340"/>
    <cellStyle name="40% - Accent4 2 3 2 2 6 2" xfId="8804"/>
    <cellStyle name="40% - Accent4 2 3 2 2 7" xfId="6010"/>
    <cellStyle name="40% - Accent4 2 3 2 2 7 2" xfId="10474"/>
    <cellStyle name="40% - Accent4 2 3 2 2 8" xfId="6576"/>
    <cellStyle name="40% - Accent4 2 3 2 2 8 2" xfId="11031"/>
    <cellStyle name="40% - Accent4 2 3 2 2 9" xfId="7133"/>
    <cellStyle name="40% - Accent4 2 3 2 3" xfId="2202"/>
    <cellStyle name="40% - Accent4 2 3 2 3 2" xfId="3187"/>
    <cellStyle name="40% - Accent4 2 3 2 3 2 2" xfId="5456"/>
    <cellStyle name="40% - Accent4 2 3 2 3 2 2 2" xfId="9920"/>
    <cellStyle name="40% - Accent4 2 3 2 3 2 3" xfId="7692"/>
    <cellStyle name="40% - Accent4 2 3 2 3 3" xfId="3770"/>
    <cellStyle name="40% - Accent4 2 3 2 3 3 2" xfId="4900"/>
    <cellStyle name="40% - Accent4 2 3 2 3 3 2 2" xfId="9364"/>
    <cellStyle name="40% - Accent4 2 3 2 3 3 3" xfId="8249"/>
    <cellStyle name="40% - Accent4 2 3 2 3 4" xfId="4343"/>
    <cellStyle name="40% - Accent4 2 3 2 3 4 2" xfId="8807"/>
    <cellStyle name="40% - Accent4 2 3 2 3 5" xfId="6013"/>
    <cellStyle name="40% - Accent4 2 3 2 3 5 2" xfId="10477"/>
    <cellStyle name="40% - Accent4 2 3 2 3 6" xfId="6579"/>
    <cellStyle name="40% - Accent4 2 3 2 3 6 2" xfId="11034"/>
    <cellStyle name="40% - Accent4 2 3 2 3 7" xfId="7136"/>
    <cellStyle name="40% - Accent4 2 3 2 4" xfId="2203"/>
    <cellStyle name="40% - Accent4 2 3 2 4 2" xfId="3188"/>
    <cellStyle name="40% - Accent4 2 3 2 4 2 2" xfId="5457"/>
    <cellStyle name="40% - Accent4 2 3 2 4 2 2 2" xfId="9921"/>
    <cellStyle name="40% - Accent4 2 3 2 4 2 3" xfId="7693"/>
    <cellStyle name="40% - Accent4 2 3 2 4 3" xfId="3771"/>
    <cellStyle name="40% - Accent4 2 3 2 4 3 2" xfId="4901"/>
    <cellStyle name="40% - Accent4 2 3 2 4 3 2 2" xfId="9365"/>
    <cellStyle name="40% - Accent4 2 3 2 4 3 3" xfId="8250"/>
    <cellStyle name="40% - Accent4 2 3 2 4 4" xfId="4344"/>
    <cellStyle name="40% - Accent4 2 3 2 4 4 2" xfId="8808"/>
    <cellStyle name="40% - Accent4 2 3 2 4 5" xfId="6014"/>
    <cellStyle name="40% - Accent4 2 3 2 4 5 2" xfId="10478"/>
    <cellStyle name="40% - Accent4 2 3 2 4 6" xfId="6580"/>
    <cellStyle name="40% - Accent4 2 3 2 4 6 2" xfId="11035"/>
    <cellStyle name="40% - Accent4 2 3 2 4 7" xfId="7137"/>
    <cellStyle name="40% - Accent4 2 3 2 5" xfId="3183"/>
    <cellStyle name="40% - Accent4 2 3 2 5 2" xfId="5452"/>
    <cellStyle name="40% - Accent4 2 3 2 5 2 2" xfId="9916"/>
    <cellStyle name="40% - Accent4 2 3 2 5 3" xfId="7688"/>
    <cellStyle name="40% - Accent4 2 3 2 6" xfId="3766"/>
    <cellStyle name="40% - Accent4 2 3 2 6 2" xfId="4896"/>
    <cellStyle name="40% - Accent4 2 3 2 6 2 2" xfId="9360"/>
    <cellStyle name="40% - Accent4 2 3 2 6 3" xfId="8245"/>
    <cellStyle name="40% - Accent4 2 3 2 7" xfId="4339"/>
    <cellStyle name="40% - Accent4 2 3 2 7 2" xfId="8803"/>
    <cellStyle name="40% - Accent4 2 3 2 8" xfId="6009"/>
    <cellStyle name="40% - Accent4 2 3 2 8 2" xfId="10473"/>
    <cellStyle name="40% - Accent4 2 3 2 9" xfId="6575"/>
    <cellStyle name="40% - Accent4 2 3 2 9 2" xfId="11030"/>
    <cellStyle name="40% - Accent4 2 3 3" xfId="2204"/>
    <cellStyle name="40% - Accent4 2 3 3 2" xfId="2205"/>
    <cellStyle name="40% - Accent4 2 3 3 2 2" xfId="3190"/>
    <cellStyle name="40% - Accent4 2 3 3 2 2 2" xfId="5459"/>
    <cellStyle name="40% - Accent4 2 3 3 2 2 2 2" xfId="9923"/>
    <cellStyle name="40% - Accent4 2 3 3 2 2 3" xfId="7695"/>
    <cellStyle name="40% - Accent4 2 3 3 2 3" xfId="3773"/>
    <cellStyle name="40% - Accent4 2 3 3 2 3 2" xfId="4903"/>
    <cellStyle name="40% - Accent4 2 3 3 2 3 2 2" xfId="9367"/>
    <cellStyle name="40% - Accent4 2 3 3 2 3 3" xfId="8252"/>
    <cellStyle name="40% - Accent4 2 3 3 2 4" xfId="4346"/>
    <cellStyle name="40% - Accent4 2 3 3 2 4 2" xfId="8810"/>
    <cellStyle name="40% - Accent4 2 3 3 2 5" xfId="6016"/>
    <cellStyle name="40% - Accent4 2 3 3 2 5 2" xfId="10480"/>
    <cellStyle name="40% - Accent4 2 3 3 2 6" xfId="6582"/>
    <cellStyle name="40% - Accent4 2 3 3 2 6 2" xfId="11037"/>
    <cellStyle name="40% - Accent4 2 3 3 2 7" xfId="7139"/>
    <cellStyle name="40% - Accent4 2 3 3 3" xfId="2206"/>
    <cellStyle name="40% - Accent4 2 3 3 3 2" xfId="3191"/>
    <cellStyle name="40% - Accent4 2 3 3 3 2 2" xfId="5460"/>
    <cellStyle name="40% - Accent4 2 3 3 3 2 2 2" xfId="9924"/>
    <cellStyle name="40% - Accent4 2 3 3 3 2 3" xfId="7696"/>
    <cellStyle name="40% - Accent4 2 3 3 3 3" xfId="3774"/>
    <cellStyle name="40% - Accent4 2 3 3 3 3 2" xfId="4904"/>
    <cellStyle name="40% - Accent4 2 3 3 3 3 2 2" xfId="9368"/>
    <cellStyle name="40% - Accent4 2 3 3 3 3 3" xfId="8253"/>
    <cellStyle name="40% - Accent4 2 3 3 3 4" xfId="4347"/>
    <cellStyle name="40% - Accent4 2 3 3 3 4 2" xfId="8811"/>
    <cellStyle name="40% - Accent4 2 3 3 3 5" xfId="6017"/>
    <cellStyle name="40% - Accent4 2 3 3 3 5 2" xfId="10481"/>
    <cellStyle name="40% - Accent4 2 3 3 3 6" xfId="6583"/>
    <cellStyle name="40% - Accent4 2 3 3 3 6 2" xfId="11038"/>
    <cellStyle name="40% - Accent4 2 3 3 3 7" xfId="7140"/>
    <cellStyle name="40% - Accent4 2 3 3 4" xfId="3189"/>
    <cellStyle name="40% - Accent4 2 3 3 4 2" xfId="5458"/>
    <cellStyle name="40% - Accent4 2 3 3 4 2 2" xfId="9922"/>
    <cellStyle name="40% - Accent4 2 3 3 4 3" xfId="7694"/>
    <cellStyle name="40% - Accent4 2 3 3 5" xfId="3772"/>
    <cellStyle name="40% - Accent4 2 3 3 5 2" xfId="4902"/>
    <cellStyle name="40% - Accent4 2 3 3 5 2 2" xfId="9366"/>
    <cellStyle name="40% - Accent4 2 3 3 5 3" xfId="8251"/>
    <cellStyle name="40% - Accent4 2 3 3 6" xfId="4345"/>
    <cellStyle name="40% - Accent4 2 3 3 6 2" xfId="8809"/>
    <cellStyle name="40% - Accent4 2 3 3 7" xfId="6015"/>
    <cellStyle name="40% - Accent4 2 3 3 7 2" xfId="10479"/>
    <cellStyle name="40% - Accent4 2 3 3 8" xfId="6581"/>
    <cellStyle name="40% - Accent4 2 3 3 8 2" xfId="11036"/>
    <cellStyle name="40% - Accent4 2 3 3 9" xfId="7138"/>
    <cellStyle name="40% - Accent4 2 3 4" xfId="2207"/>
    <cellStyle name="40% - Accent4 2 3 4 2" xfId="3192"/>
    <cellStyle name="40% - Accent4 2 3 4 2 2" xfId="5461"/>
    <cellStyle name="40% - Accent4 2 3 4 2 2 2" xfId="9925"/>
    <cellStyle name="40% - Accent4 2 3 4 2 3" xfId="7697"/>
    <cellStyle name="40% - Accent4 2 3 4 3" xfId="3775"/>
    <cellStyle name="40% - Accent4 2 3 4 3 2" xfId="4905"/>
    <cellStyle name="40% - Accent4 2 3 4 3 2 2" xfId="9369"/>
    <cellStyle name="40% - Accent4 2 3 4 3 3" xfId="8254"/>
    <cellStyle name="40% - Accent4 2 3 4 4" xfId="4348"/>
    <cellStyle name="40% - Accent4 2 3 4 4 2" xfId="8812"/>
    <cellStyle name="40% - Accent4 2 3 4 5" xfId="6018"/>
    <cellStyle name="40% - Accent4 2 3 4 5 2" xfId="10482"/>
    <cellStyle name="40% - Accent4 2 3 4 6" xfId="6584"/>
    <cellStyle name="40% - Accent4 2 3 4 6 2" xfId="11039"/>
    <cellStyle name="40% - Accent4 2 3 4 7" xfId="7141"/>
    <cellStyle name="40% - Accent4 2 3 5" xfId="2208"/>
    <cellStyle name="40% - Accent4 2 3 5 2" xfId="3193"/>
    <cellStyle name="40% - Accent4 2 3 5 2 2" xfId="5462"/>
    <cellStyle name="40% - Accent4 2 3 5 2 2 2" xfId="9926"/>
    <cellStyle name="40% - Accent4 2 3 5 2 3" xfId="7698"/>
    <cellStyle name="40% - Accent4 2 3 5 3" xfId="3776"/>
    <cellStyle name="40% - Accent4 2 3 5 3 2" xfId="4906"/>
    <cellStyle name="40% - Accent4 2 3 5 3 2 2" xfId="9370"/>
    <cellStyle name="40% - Accent4 2 3 5 3 3" xfId="8255"/>
    <cellStyle name="40% - Accent4 2 3 5 4" xfId="4349"/>
    <cellStyle name="40% - Accent4 2 3 5 4 2" xfId="8813"/>
    <cellStyle name="40% - Accent4 2 3 5 5" xfId="6019"/>
    <cellStyle name="40% - Accent4 2 3 5 5 2" xfId="10483"/>
    <cellStyle name="40% - Accent4 2 3 5 6" xfId="6585"/>
    <cellStyle name="40% - Accent4 2 3 5 6 2" xfId="11040"/>
    <cellStyle name="40% - Accent4 2 3 5 7" xfId="7142"/>
    <cellStyle name="40% - Accent4 2 3 6" xfId="11971"/>
    <cellStyle name="40% - Accent4 2 3 7" xfId="1295"/>
    <cellStyle name="40% - Accent4 2 4" xfId="1296"/>
    <cellStyle name="40% - Accent4 2 4 2" xfId="2209"/>
    <cellStyle name="40% - Accent4 2 4 2 2" xfId="2210"/>
    <cellStyle name="40% - Accent4 2 4 2 2 2" xfId="3195"/>
    <cellStyle name="40% - Accent4 2 4 2 2 2 2" xfId="5464"/>
    <cellStyle name="40% - Accent4 2 4 2 2 2 2 2" xfId="9928"/>
    <cellStyle name="40% - Accent4 2 4 2 2 2 3" xfId="7700"/>
    <cellStyle name="40% - Accent4 2 4 2 2 3" xfId="3778"/>
    <cellStyle name="40% - Accent4 2 4 2 2 3 2" xfId="4908"/>
    <cellStyle name="40% - Accent4 2 4 2 2 3 2 2" xfId="9372"/>
    <cellStyle name="40% - Accent4 2 4 2 2 3 3" xfId="8257"/>
    <cellStyle name="40% - Accent4 2 4 2 2 4" xfId="4351"/>
    <cellStyle name="40% - Accent4 2 4 2 2 4 2" xfId="8815"/>
    <cellStyle name="40% - Accent4 2 4 2 2 5" xfId="6021"/>
    <cellStyle name="40% - Accent4 2 4 2 2 5 2" xfId="10485"/>
    <cellStyle name="40% - Accent4 2 4 2 2 6" xfId="6587"/>
    <cellStyle name="40% - Accent4 2 4 2 2 6 2" xfId="11042"/>
    <cellStyle name="40% - Accent4 2 4 2 2 7" xfId="7144"/>
    <cellStyle name="40% - Accent4 2 4 2 3" xfId="2211"/>
    <cellStyle name="40% - Accent4 2 4 2 3 2" xfId="3196"/>
    <cellStyle name="40% - Accent4 2 4 2 3 2 2" xfId="5465"/>
    <cellStyle name="40% - Accent4 2 4 2 3 2 2 2" xfId="9929"/>
    <cellStyle name="40% - Accent4 2 4 2 3 2 3" xfId="7701"/>
    <cellStyle name="40% - Accent4 2 4 2 3 3" xfId="3779"/>
    <cellStyle name="40% - Accent4 2 4 2 3 3 2" xfId="4909"/>
    <cellStyle name="40% - Accent4 2 4 2 3 3 2 2" xfId="9373"/>
    <cellStyle name="40% - Accent4 2 4 2 3 3 3" xfId="8258"/>
    <cellStyle name="40% - Accent4 2 4 2 3 4" xfId="4352"/>
    <cellStyle name="40% - Accent4 2 4 2 3 4 2" xfId="8816"/>
    <cellStyle name="40% - Accent4 2 4 2 3 5" xfId="6022"/>
    <cellStyle name="40% - Accent4 2 4 2 3 5 2" xfId="10486"/>
    <cellStyle name="40% - Accent4 2 4 2 3 6" xfId="6588"/>
    <cellStyle name="40% - Accent4 2 4 2 3 6 2" xfId="11043"/>
    <cellStyle name="40% - Accent4 2 4 2 3 7" xfId="7145"/>
    <cellStyle name="40% - Accent4 2 4 2 4" xfId="3194"/>
    <cellStyle name="40% - Accent4 2 4 2 4 2" xfId="5463"/>
    <cellStyle name="40% - Accent4 2 4 2 4 2 2" xfId="9927"/>
    <cellStyle name="40% - Accent4 2 4 2 4 3" xfId="7699"/>
    <cellStyle name="40% - Accent4 2 4 2 5" xfId="3777"/>
    <cellStyle name="40% - Accent4 2 4 2 5 2" xfId="4907"/>
    <cellStyle name="40% - Accent4 2 4 2 5 2 2" xfId="9371"/>
    <cellStyle name="40% - Accent4 2 4 2 5 3" xfId="8256"/>
    <cellStyle name="40% - Accent4 2 4 2 6" xfId="4350"/>
    <cellStyle name="40% - Accent4 2 4 2 6 2" xfId="8814"/>
    <cellStyle name="40% - Accent4 2 4 2 7" xfId="6020"/>
    <cellStyle name="40% - Accent4 2 4 2 7 2" xfId="10484"/>
    <cellStyle name="40% - Accent4 2 4 2 8" xfId="6586"/>
    <cellStyle name="40% - Accent4 2 4 2 8 2" xfId="11041"/>
    <cellStyle name="40% - Accent4 2 4 2 9" xfId="7143"/>
    <cellStyle name="40% - Accent4 2 4 3" xfId="2212"/>
    <cellStyle name="40% - Accent4 2 4 3 2" xfId="2213"/>
    <cellStyle name="40% - Accent4 2 4 3 2 2" xfId="3198"/>
    <cellStyle name="40% - Accent4 2 4 3 2 2 2" xfId="5467"/>
    <cellStyle name="40% - Accent4 2 4 3 2 2 2 2" xfId="9931"/>
    <cellStyle name="40% - Accent4 2 4 3 2 2 3" xfId="7703"/>
    <cellStyle name="40% - Accent4 2 4 3 2 3" xfId="3781"/>
    <cellStyle name="40% - Accent4 2 4 3 2 3 2" xfId="4911"/>
    <cellStyle name="40% - Accent4 2 4 3 2 3 2 2" xfId="9375"/>
    <cellStyle name="40% - Accent4 2 4 3 2 3 3" xfId="8260"/>
    <cellStyle name="40% - Accent4 2 4 3 2 4" xfId="4354"/>
    <cellStyle name="40% - Accent4 2 4 3 2 4 2" xfId="8818"/>
    <cellStyle name="40% - Accent4 2 4 3 2 5" xfId="6024"/>
    <cellStyle name="40% - Accent4 2 4 3 2 5 2" xfId="10488"/>
    <cellStyle name="40% - Accent4 2 4 3 2 6" xfId="6590"/>
    <cellStyle name="40% - Accent4 2 4 3 2 6 2" xfId="11045"/>
    <cellStyle name="40% - Accent4 2 4 3 2 7" xfId="7147"/>
    <cellStyle name="40% - Accent4 2 4 3 3" xfId="2214"/>
    <cellStyle name="40% - Accent4 2 4 3 3 2" xfId="3199"/>
    <cellStyle name="40% - Accent4 2 4 3 3 2 2" xfId="5468"/>
    <cellStyle name="40% - Accent4 2 4 3 3 2 2 2" xfId="9932"/>
    <cellStyle name="40% - Accent4 2 4 3 3 2 3" xfId="7704"/>
    <cellStyle name="40% - Accent4 2 4 3 3 3" xfId="3782"/>
    <cellStyle name="40% - Accent4 2 4 3 3 3 2" xfId="4912"/>
    <cellStyle name="40% - Accent4 2 4 3 3 3 2 2" xfId="9376"/>
    <cellStyle name="40% - Accent4 2 4 3 3 3 3" xfId="8261"/>
    <cellStyle name="40% - Accent4 2 4 3 3 4" xfId="4355"/>
    <cellStyle name="40% - Accent4 2 4 3 3 4 2" xfId="8819"/>
    <cellStyle name="40% - Accent4 2 4 3 3 5" xfId="6025"/>
    <cellStyle name="40% - Accent4 2 4 3 3 5 2" xfId="10489"/>
    <cellStyle name="40% - Accent4 2 4 3 3 6" xfId="6591"/>
    <cellStyle name="40% - Accent4 2 4 3 3 6 2" xfId="11046"/>
    <cellStyle name="40% - Accent4 2 4 3 3 7" xfId="7148"/>
    <cellStyle name="40% - Accent4 2 4 3 4" xfId="3197"/>
    <cellStyle name="40% - Accent4 2 4 3 4 2" xfId="5466"/>
    <cellStyle name="40% - Accent4 2 4 3 4 2 2" xfId="9930"/>
    <cellStyle name="40% - Accent4 2 4 3 4 3" xfId="7702"/>
    <cellStyle name="40% - Accent4 2 4 3 5" xfId="3780"/>
    <cellStyle name="40% - Accent4 2 4 3 5 2" xfId="4910"/>
    <cellStyle name="40% - Accent4 2 4 3 5 2 2" xfId="9374"/>
    <cellStyle name="40% - Accent4 2 4 3 5 3" xfId="8259"/>
    <cellStyle name="40% - Accent4 2 4 3 6" xfId="4353"/>
    <cellStyle name="40% - Accent4 2 4 3 6 2" xfId="8817"/>
    <cellStyle name="40% - Accent4 2 4 3 7" xfId="6023"/>
    <cellStyle name="40% - Accent4 2 4 3 7 2" xfId="10487"/>
    <cellStyle name="40% - Accent4 2 4 3 8" xfId="6589"/>
    <cellStyle name="40% - Accent4 2 4 3 8 2" xfId="11044"/>
    <cellStyle name="40% - Accent4 2 4 3 9" xfId="7146"/>
    <cellStyle name="40% - Accent4 2 4 4" xfId="2215"/>
    <cellStyle name="40% - Accent4 2 4 4 2" xfId="3200"/>
    <cellStyle name="40% - Accent4 2 4 4 2 2" xfId="5469"/>
    <cellStyle name="40% - Accent4 2 4 4 2 2 2" xfId="9933"/>
    <cellStyle name="40% - Accent4 2 4 4 2 3" xfId="7705"/>
    <cellStyle name="40% - Accent4 2 4 4 3" xfId="3783"/>
    <cellStyle name="40% - Accent4 2 4 4 3 2" xfId="4913"/>
    <cellStyle name="40% - Accent4 2 4 4 3 2 2" xfId="9377"/>
    <cellStyle name="40% - Accent4 2 4 4 3 3" xfId="8262"/>
    <cellStyle name="40% - Accent4 2 4 4 4" xfId="4356"/>
    <cellStyle name="40% - Accent4 2 4 4 4 2" xfId="8820"/>
    <cellStyle name="40% - Accent4 2 4 4 5" xfId="6026"/>
    <cellStyle name="40% - Accent4 2 4 4 5 2" xfId="10490"/>
    <cellStyle name="40% - Accent4 2 4 4 6" xfId="6592"/>
    <cellStyle name="40% - Accent4 2 4 4 6 2" xfId="11047"/>
    <cellStyle name="40% - Accent4 2 4 4 7" xfId="7149"/>
    <cellStyle name="40% - Accent4 2 4 5" xfId="2216"/>
    <cellStyle name="40% - Accent4 2 4 5 2" xfId="3201"/>
    <cellStyle name="40% - Accent4 2 4 5 2 2" xfId="5470"/>
    <cellStyle name="40% - Accent4 2 4 5 2 2 2" xfId="9934"/>
    <cellStyle name="40% - Accent4 2 4 5 2 3" xfId="7706"/>
    <cellStyle name="40% - Accent4 2 4 5 3" xfId="3784"/>
    <cellStyle name="40% - Accent4 2 4 5 3 2" xfId="4914"/>
    <cellStyle name="40% - Accent4 2 4 5 3 2 2" xfId="9378"/>
    <cellStyle name="40% - Accent4 2 4 5 3 3" xfId="8263"/>
    <cellStyle name="40% - Accent4 2 4 5 4" xfId="4357"/>
    <cellStyle name="40% - Accent4 2 4 5 4 2" xfId="8821"/>
    <cellStyle name="40% - Accent4 2 4 5 5" xfId="6027"/>
    <cellStyle name="40% - Accent4 2 4 5 5 2" xfId="10491"/>
    <cellStyle name="40% - Accent4 2 4 5 6" xfId="6593"/>
    <cellStyle name="40% - Accent4 2 4 5 6 2" xfId="11048"/>
    <cellStyle name="40% - Accent4 2 4 5 7" xfId="7150"/>
    <cellStyle name="40% - Accent4 2 5" xfId="1297"/>
    <cellStyle name="40% - Accent4 2 5 2" xfId="2217"/>
    <cellStyle name="40% - Accent4 2 5 2 2" xfId="2218"/>
    <cellStyle name="40% - Accent4 2 5 2 2 2" xfId="3203"/>
    <cellStyle name="40% - Accent4 2 5 2 2 2 2" xfId="5472"/>
    <cellStyle name="40% - Accent4 2 5 2 2 2 2 2" xfId="9936"/>
    <cellStyle name="40% - Accent4 2 5 2 2 2 3" xfId="7708"/>
    <cellStyle name="40% - Accent4 2 5 2 2 3" xfId="3786"/>
    <cellStyle name="40% - Accent4 2 5 2 2 3 2" xfId="4916"/>
    <cellStyle name="40% - Accent4 2 5 2 2 3 2 2" xfId="9380"/>
    <cellStyle name="40% - Accent4 2 5 2 2 3 3" xfId="8265"/>
    <cellStyle name="40% - Accent4 2 5 2 2 4" xfId="4359"/>
    <cellStyle name="40% - Accent4 2 5 2 2 4 2" xfId="8823"/>
    <cellStyle name="40% - Accent4 2 5 2 2 5" xfId="6029"/>
    <cellStyle name="40% - Accent4 2 5 2 2 5 2" xfId="10493"/>
    <cellStyle name="40% - Accent4 2 5 2 2 6" xfId="6595"/>
    <cellStyle name="40% - Accent4 2 5 2 2 6 2" xfId="11050"/>
    <cellStyle name="40% - Accent4 2 5 2 2 7" xfId="7152"/>
    <cellStyle name="40% - Accent4 2 5 2 3" xfId="2219"/>
    <cellStyle name="40% - Accent4 2 5 2 3 2" xfId="3204"/>
    <cellStyle name="40% - Accent4 2 5 2 3 2 2" xfId="5473"/>
    <cellStyle name="40% - Accent4 2 5 2 3 2 2 2" xfId="9937"/>
    <cellStyle name="40% - Accent4 2 5 2 3 2 3" xfId="7709"/>
    <cellStyle name="40% - Accent4 2 5 2 3 3" xfId="3787"/>
    <cellStyle name="40% - Accent4 2 5 2 3 3 2" xfId="4917"/>
    <cellStyle name="40% - Accent4 2 5 2 3 3 2 2" xfId="9381"/>
    <cellStyle name="40% - Accent4 2 5 2 3 3 3" xfId="8266"/>
    <cellStyle name="40% - Accent4 2 5 2 3 4" xfId="4360"/>
    <cellStyle name="40% - Accent4 2 5 2 3 4 2" xfId="8824"/>
    <cellStyle name="40% - Accent4 2 5 2 3 5" xfId="6030"/>
    <cellStyle name="40% - Accent4 2 5 2 3 5 2" xfId="10494"/>
    <cellStyle name="40% - Accent4 2 5 2 3 6" xfId="6596"/>
    <cellStyle name="40% - Accent4 2 5 2 3 6 2" xfId="11051"/>
    <cellStyle name="40% - Accent4 2 5 2 3 7" xfId="7153"/>
    <cellStyle name="40% - Accent4 2 5 2 4" xfId="3202"/>
    <cellStyle name="40% - Accent4 2 5 2 4 2" xfId="5471"/>
    <cellStyle name="40% - Accent4 2 5 2 4 2 2" xfId="9935"/>
    <cellStyle name="40% - Accent4 2 5 2 4 3" xfId="7707"/>
    <cellStyle name="40% - Accent4 2 5 2 5" xfId="3785"/>
    <cellStyle name="40% - Accent4 2 5 2 5 2" xfId="4915"/>
    <cellStyle name="40% - Accent4 2 5 2 5 2 2" xfId="9379"/>
    <cellStyle name="40% - Accent4 2 5 2 5 3" xfId="8264"/>
    <cellStyle name="40% - Accent4 2 5 2 6" xfId="4358"/>
    <cellStyle name="40% - Accent4 2 5 2 6 2" xfId="8822"/>
    <cellStyle name="40% - Accent4 2 5 2 7" xfId="6028"/>
    <cellStyle name="40% - Accent4 2 5 2 7 2" xfId="10492"/>
    <cellStyle name="40% - Accent4 2 5 2 8" xfId="6594"/>
    <cellStyle name="40% - Accent4 2 5 2 8 2" xfId="11049"/>
    <cellStyle name="40% - Accent4 2 5 2 9" xfId="7151"/>
    <cellStyle name="40% - Accent4 2 5 3" xfId="2220"/>
    <cellStyle name="40% - Accent4 2 5 3 2" xfId="3205"/>
    <cellStyle name="40% - Accent4 2 5 3 2 2" xfId="5474"/>
    <cellStyle name="40% - Accent4 2 5 3 2 2 2" xfId="9938"/>
    <cellStyle name="40% - Accent4 2 5 3 2 3" xfId="7710"/>
    <cellStyle name="40% - Accent4 2 5 3 3" xfId="3788"/>
    <cellStyle name="40% - Accent4 2 5 3 3 2" xfId="4918"/>
    <cellStyle name="40% - Accent4 2 5 3 3 2 2" xfId="9382"/>
    <cellStyle name="40% - Accent4 2 5 3 3 3" xfId="8267"/>
    <cellStyle name="40% - Accent4 2 5 3 4" xfId="4361"/>
    <cellStyle name="40% - Accent4 2 5 3 4 2" xfId="8825"/>
    <cellStyle name="40% - Accent4 2 5 3 5" xfId="6031"/>
    <cellStyle name="40% - Accent4 2 5 3 5 2" xfId="10495"/>
    <cellStyle name="40% - Accent4 2 5 3 6" xfId="6597"/>
    <cellStyle name="40% - Accent4 2 5 3 6 2" xfId="11052"/>
    <cellStyle name="40% - Accent4 2 5 3 7" xfId="7154"/>
    <cellStyle name="40% - Accent4 2 5 4" xfId="2221"/>
    <cellStyle name="40% - Accent4 2 5 4 2" xfId="3206"/>
    <cellStyle name="40% - Accent4 2 5 4 2 2" xfId="5475"/>
    <cellStyle name="40% - Accent4 2 5 4 2 2 2" xfId="9939"/>
    <cellStyle name="40% - Accent4 2 5 4 2 3" xfId="7711"/>
    <cellStyle name="40% - Accent4 2 5 4 3" xfId="3789"/>
    <cellStyle name="40% - Accent4 2 5 4 3 2" xfId="4919"/>
    <cellStyle name="40% - Accent4 2 5 4 3 2 2" xfId="9383"/>
    <cellStyle name="40% - Accent4 2 5 4 3 3" xfId="8268"/>
    <cellStyle name="40% - Accent4 2 5 4 4" xfId="4362"/>
    <cellStyle name="40% - Accent4 2 5 4 4 2" xfId="8826"/>
    <cellStyle name="40% - Accent4 2 5 4 5" xfId="6032"/>
    <cellStyle name="40% - Accent4 2 5 4 5 2" xfId="10496"/>
    <cellStyle name="40% - Accent4 2 5 4 6" xfId="6598"/>
    <cellStyle name="40% - Accent4 2 5 4 6 2" xfId="11053"/>
    <cellStyle name="40% - Accent4 2 5 4 7" xfId="7155"/>
    <cellStyle name="40% - Accent4 2 6" xfId="1298"/>
    <cellStyle name="40% - Accent4 2 6 2" xfId="2222"/>
    <cellStyle name="40% - Accent4 2 6 2 2" xfId="3207"/>
    <cellStyle name="40% - Accent4 2 6 2 2 2" xfId="5476"/>
    <cellStyle name="40% - Accent4 2 6 2 2 2 2" xfId="9940"/>
    <cellStyle name="40% - Accent4 2 6 2 2 3" xfId="7712"/>
    <cellStyle name="40% - Accent4 2 6 2 3" xfId="3790"/>
    <cellStyle name="40% - Accent4 2 6 2 3 2" xfId="4920"/>
    <cellStyle name="40% - Accent4 2 6 2 3 2 2" xfId="9384"/>
    <cellStyle name="40% - Accent4 2 6 2 3 3" xfId="8269"/>
    <cellStyle name="40% - Accent4 2 6 2 4" xfId="4363"/>
    <cellStyle name="40% - Accent4 2 6 2 4 2" xfId="8827"/>
    <cellStyle name="40% - Accent4 2 6 2 5" xfId="6033"/>
    <cellStyle name="40% - Accent4 2 6 2 5 2" xfId="10497"/>
    <cellStyle name="40% - Accent4 2 6 2 6" xfId="6599"/>
    <cellStyle name="40% - Accent4 2 6 2 6 2" xfId="11054"/>
    <cellStyle name="40% - Accent4 2 6 2 7" xfId="7156"/>
    <cellStyle name="40% - Accent4 2 6 3" xfId="2223"/>
    <cellStyle name="40% - Accent4 2 6 3 2" xfId="3208"/>
    <cellStyle name="40% - Accent4 2 6 3 2 2" xfId="5477"/>
    <cellStyle name="40% - Accent4 2 6 3 2 2 2" xfId="9941"/>
    <cellStyle name="40% - Accent4 2 6 3 2 3" xfId="7713"/>
    <cellStyle name="40% - Accent4 2 6 3 3" xfId="3791"/>
    <cellStyle name="40% - Accent4 2 6 3 3 2" xfId="4921"/>
    <cellStyle name="40% - Accent4 2 6 3 3 2 2" xfId="9385"/>
    <cellStyle name="40% - Accent4 2 6 3 3 3" xfId="8270"/>
    <cellStyle name="40% - Accent4 2 6 3 4" xfId="4364"/>
    <cellStyle name="40% - Accent4 2 6 3 4 2" xfId="8828"/>
    <cellStyle name="40% - Accent4 2 6 3 5" xfId="6034"/>
    <cellStyle name="40% - Accent4 2 6 3 5 2" xfId="10498"/>
    <cellStyle name="40% - Accent4 2 6 3 6" xfId="6600"/>
    <cellStyle name="40% - Accent4 2 6 3 6 2" xfId="11055"/>
    <cellStyle name="40% - Accent4 2 6 3 7" xfId="7157"/>
    <cellStyle name="40% - Accent4 2 7" xfId="1734"/>
    <cellStyle name="40% - Accent4 2 7 2" xfId="2900"/>
    <cellStyle name="40% - Accent4 2 7 2 2" xfId="5169"/>
    <cellStyle name="40% - Accent4 2 7 2 2 2" xfId="9633"/>
    <cellStyle name="40% - Accent4 2 7 2 3" xfId="7405"/>
    <cellStyle name="40% - Accent4 2 7 3" xfId="3483"/>
    <cellStyle name="40% - Accent4 2 7 3 2" xfId="4613"/>
    <cellStyle name="40% - Accent4 2 7 3 2 2" xfId="9077"/>
    <cellStyle name="40% - Accent4 2 7 3 3" xfId="7962"/>
    <cellStyle name="40% - Accent4 2 7 4" xfId="4056"/>
    <cellStyle name="40% - Accent4 2 7 4 2" xfId="8520"/>
    <cellStyle name="40% - Accent4 2 7 5" xfId="5726"/>
    <cellStyle name="40% - Accent4 2 7 5 2" xfId="10190"/>
    <cellStyle name="40% - Accent4 2 7 6" xfId="6292"/>
    <cellStyle name="40% - Accent4 2 7 6 2" xfId="10747"/>
    <cellStyle name="40% - Accent4 2 7 7" xfId="6849"/>
    <cellStyle name="40% - Accent4 2 8" xfId="1842"/>
    <cellStyle name="40% - Accent4 2 8 2" xfId="2916"/>
    <cellStyle name="40% - Accent4 2 8 2 2" xfId="5185"/>
    <cellStyle name="40% - Accent4 2 8 2 2 2" xfId="9649"/>
    <cellStyle name="40% - Accent4 2 8 2 3" xfId="7421"/>
    <cellStyle name="40% - Accent4 2 8 3" xfId="3499"/>
    <cellStyle name="40% - Accent4 2 8 3 2" xfId="4629"/>
    <cellStyle name="40% - Accent4 2 8 3 2 2" xfId="9093"/>
    <cellStyle name="40% - Accent4 2 8 3 3" xfId="7978"/>
    <cellStyle name="40% - Accent4 2 8 4" xfId="4072"/>
    <cellStyle name="40% - Accent4 2 8 4 2" xfId="8536"/>
    <cellStyle name="40% - Accent4 2 8 5" xfId="5742"/>
    <cellStyle name="40% - Accent4 2 8 5 2" xfId="10206"/>
    <cellStyle name="40% - Accent4 2 8 6" xfId="6308"/>
    <cellStyle name="40% - Accent4 2 8 6 2" xfId="10763"/>
    <cellStyle name="40% - Accent4 2 8 7" xfId="6865"/>
    <cellStyle name="40% - Accent4 2 9" xfId="2224"/>
    <cellStyle name="40% - Accent4 20" xfId="1086"/>
    <cellStyle name="40% - Accent4 20 2" xfId="11957"/>
    <cellStyle name="40% - Accent4 21" xfId="11840"/>
    <cellStyle name="40% - Accent4 3" xfId="134"/>
    <cellStyle name="40% - Accent4 3 2" xfId="2225"/>
    <cellStyle name="40% - Accent4 3 3" xfId="2613"/>
    <cellStyle name="40% - Accent4 3 4" xfId="11407"/>
    <cellStyle name="40% - Accent4 3 5" xfId="1299"/>
    <cellStyle name="40% - Accent4 4" xfId="135"/>
    <cellStyle name="40% - Accent4 4 2" xfId="2779"/>
    <cellStyle name="40% - Accent4 4 3" xfId="11408"/>
    <cellStyle name="40% - Accent4 4 4" xfId="1300"/>
    <cellStyle name="40% - Accent4 5" xfId="136"/>
    <cellStyle name="40% - Accent4 5 2" xfId="11409"/>
    <cellStyle name="40% - Accent4 5 3" xfId="1671"/>
    <cellStyle name="40% - Accent4 6" xfId="137"/>
    <cellStyle name="40% - Accent4 6 2" xfId="11410"/>
    <cellStyle name="40% - Accent4 6 3" xfId="1841"/>
    <cellStyle name="40% - Accent4 7" xfId="138"/>
    <cellStyle name="40% - Accent4 8" xfId="139"/>
    <cellStyle name="40% - Accent4 9" xfId="140"/>
    <cellStyle name="40% - Accent5" xfId="958" builtinId="47" customBuiltin="1"/>
    <cellStyle name="40% - Accent5 10" xfId="141"/>
    <cellStyle name="40% - Accent5 11" xfId="142"/>
    <cellStyle name="40% - Accent5 12" xfId="143"/>
    <cellStyle name="40% - Accent5 13" xfId="144"/>
    <cellStyle name="40% - Accent5 14" xfId="145"/>
    <cellStyle name="40% - Accent5 15" xfId="146"/>
    <cellStyle name="40% - Accent5 16" xfId="680"/>
    <cellStyle name="40% - Accent5 17" xfId="998"/>
    <cellStyle name="40% - Accent5 17 2" xfId="11869"/>
    <cellStyle name="40% - Accent5 18" xfId="1028"/>
    <cellStyle name="40% - Accent5 18 2" xfId="11899"/>
    <cellStyle name="40% - Accent5 19" xfId="1073"/>
    <cellStyle name="40% - Accent5 19 2" xfId="11944"/>
    <cellStyle name="40% - Accent5 2" xfId="147"/>
    <cellStyle name="40% - Accent5 2 10" xfId="2226"/>
    <cellStyle name="40% - Accent5 2 10 2" xfId="3209"/>
    <cellStyle name="40% - Accent5 2 10 2 2" xfId="5478"/>
    <cellStyle name="40% - Accent5 2 10 2 2 2" xfId="9942"/>
    <cellStyle name="40% - Accent5 2 10 2 3" xfId="7714"/>
    <cellStyle name="40% - Accent5 2 10 3" xfId="3792"/>
    <cellStyle name="40% - Accent5 2 10 3 2" xfId="4922"/>
    <cellStyle name="40% - Accent5 2 10 3 2 2" xfId="9386"/>
    <cellStyle name="40% - Accent5 2 10 3 3" xfId="8271"/>
    <cellStyle name="40% - Accent5 2 10 4" xfId="4365"/>
    <cellStyle name="40% - Accent5 2 10 4 2" xfId="8829"/>
    <cellStyle name="40% - Accent5 2 10 5" xfId="6035"/>
    <cellStyle name="40% - Accent5 2 10 5 2" xfId="10499"/>
    <cellStyle name="40% - Accent5 2 10 6" xfId="6601"/>
    <cellStyle name="40% - Accent5 2 10 6 2" xfId="11056"/>
    <cellStyle name="40% - Accent5 2 10 7" xfId="7158"/>
    <cellStyle name="40% - Accent5 2 11" xfId="11313"/>
    <cellStyle name="40% - Accent5 2 12" xfId="11342"/>
    <cellStyle name="40% - Accent5 2 13" xfId="1301"/>
    <cellStyle name="40% - Accent5 2 14" xfId="1138"/>
    <cellStyle name="40% - Accent5 2 2" xfId="734"/>
    <cellStyle name="40% - Accent5 2 2 2" xfId="1754"/>
    <cellStyle name="40% - Accent5 2 2 3" xfId="1302"/>
    <cellStyle name="40% - Accent5 2 2 4" xfId="11691"/>
    <cellStyle name="40% - Accent5 2 2 5" xfId="1179"/>
    <cellStyle name="40% - Accent5 2 3" xfId="1108"/>
    <cellStyle name="40% - Accent5 2 3 2" xfId="2227"/>
    <cellStyle name="40% - Accent5 2 3 2 10" xfId="7159"/>
    <cellStyle name="40% - Accent5 2 3 2 2" xfId="2228"/>
    <cellStyle name="40% - Accent5 2 3 2 2 2" xfId="2229"/>
    <cellStyle name="40% - Accent5 2 3 2 2 2 2" xfId="3212"/>
    <cellStyle name="40% - Accent5 2 3 2 2 2 2 2" xfId="5481"/>
    <cellStyle name="40% - Accent5 2 3 2 2 2 2 2 2" xfId="9945"/>
    <cellStyle name="40% - Accent5 2 3 2 2 2 2 3" xfId="7717"/>
    <cellStyle name="40% - Accent5 2 3 2 2 2 3" xfId="3795"/>
    <cellStyle name="40% - Accent5 2 3 2 2 2 3 2" xfId="4925"/>
    <cellStyle name="40% - Accent5 2 3 2 2 2 3 2 2" xfId="9389"/>
    <cellStyle name="40% - Accent5 2 3 2 2 2 3 3" xfId="8274"/>
    <cellStyle name="40% - Accent5 2 3 2 2 2 4" xfId="4368"/>
    <cellStyle name="40% - Accent5 2 3 2 2 2 4 2" xfId="8832"/>
    <cellStyle name="40% - Accent5 2 3 2 2 2 5" xfId="6038"/>
    <cellStyle name="40% - Accent5 2 3 2 2 2 5 2" xfId="10502"/>
    <cellStyle name="40% - Accent5 2 3 2 2 2 6" xfId="6604"/>
    <cellStyle name="40% - Accent5 2 3 2 2 2 6 2" xfId="11059"/>
    <cellStyle name="40% - Accent5 2 3 2 2 2 7" xfId="7161"/>
    <cellStyle name="40% - Accent5 2 3 2 2 3" xfId="2230"/>
    <cellStyle name="40% - Accent5 2 3 2 2 3 2" xfId="3213"/>
    <cellStyle name="40% - Accent5 2 3 2 2 3 2 2" xfId="5482"/>
    <cellStyle name="40% - Accent5 2 3 2 2 3 2 2 2" xfId="9946"/>
    <cellStyle name="40% - Accent5 2 3 2 2 3 2 3" xfId="7718"/>
    <cellStyle name="40% - Accent5 2 3 2 2 3 3" xfId="3796"/>
    <cellStyle name="40% - Accent5 2 3 2 2 3 3 2" xfId="4926"/>
    <cellStyle name="40% - Accent5 2 3 2 2 3 3 2 2" xfId="9390"/>
    <cellStyle name="40% - Accent5 2 3 2 2 3 3 3" xfId="8275"/>
    <cellStyle name="40% - Accent5 2 3 2 2 3 4" xfId="4369"/>
    <cellStyle name="40% - Accent5 2 3 2 2 3 4 2" xfId="8833"/>
    <cellStyle name="40% - Accent5 2 3 2 2 3 5" xfId="6039"/>
    <cellStyle name="40% - Accent5 2 3 2 2 3 5 2" xfId="10503"/>
    <cellStyle name="40% - Accent5 2 3 2 2 3 6" xfId="6605"/>
    <cellStyle name="40% - Accent5 2 3 2 2 3 6 2" xfId="11060"/>
    <cellStyle name="40% - Accent5 2 3 2 2 3 7" xfId="7162"/>
    <cellStyle name="40% - Accent5 2 3 2 2 4" xfId="3211"/>
    <cellStyle name="40% - Accent5 2 3 2 2 4 2" xfId="5480"/>
    <cellStyle name="40% - Accent5 2 3 2 2 4 2 2" xfId="9944"/>
    <cellStyle name="40% - Accent5 2 3 2 2 4 3" xfId="7716"/>
    <cellStyle name="40% - Accent5 2 3 2 2 5" xfId="3794"/>
    <cellStyle name="40% - Accent5 2 3 2 2 5 2" xfId="4924"/>
    <cellStyle name="40% - Accent5 2 3 2 2 5 2 2" xfId="9388"/>
    <cellStyle name="40% - Accent5 2 3 2 2 5 3" xfId="8273"/>
    <cellStyle name="40% - Accent5 2 3 2 2 6" xfId="4367"/>
    <cellStyle name="40% - Accent5 2 3 2 2 6 2" xfId="8831"/>
    <cellStyle name="40% - Accent5 2 3 2 2 7" xfId="6037"/>
    <cellStyle name="40% - Accent5 2 3 2 2 7 2" xfId="10501"/>
    <cellStyle name="40% - Accent5 2 3 2 2 8" xfId="6603"/>
    <cellStyle name="40% - Accent5 2 3 2 2 8 2" xfId="11058"/>
    <cellStyle name="40% - Accent5 2 3 2 2 9" xfId="7160"/>
    <cellStyle name="40% - Accent5 2 3 2 3" xfId="2231"/>
    <cellStyle name="40% - Accent5 2 3 2 3 2" xfId="3214"/>
    <cellStyle name="40% - Accent5 2 3 2 3 2 2" xfId="5483"/>
    <cellStyle name="40% - Accent5 2 3 2 3 2 2 2" xfId="9947"/>
    <cellStyle name="40% - Accent5 2 3 2 3 2 3" xfId="7719"/>
    <cellStyle name="40% - Accent5 2 3 2 3 3" xfId="3797"/>
    <cellStyle name="40% - Accent5 2 3 2 3 3 2" xfId="4927"/>
    <cellStyle name="40% - Accent5 2 3 2 3 3 2 2" xfId="9391"/>
    <cellStyle name="40% - Accent5 2 3 2 3 3 3" xfId="8276"/>
    <cellStyle name="40% - Accent5 2 3 2 3 4" xfId="4370"/>
    <cellStyle name="40% - Accent5 2 3 2 3 4 2" xfId="8834"/>
    <cellStyle name="40% - Accent5 2 3 2 3 5" xfId="6040"/>
    <cellStyle name="40% - Accent5 2 3 2 3 5 2" xfId="10504"/>
    <cellStyle name="40% - Accent5 2 3 2 3 6" xfId="6606"/>
    <cellStyle name="40% - Accent5 2 3 2 3 6 2" xfId="11061"/>
    <cellStyle name="40% - Accent5 2 3 2 3 7" xfId="7163"/>
    <cellStyle name="40% - Accent5 2 3 2 4" xfId="2232"/>
    <cellStyle name="40% - Accent5 2 3 2 4 2" xfId="3215"/>
    <cellStyle name="40% - Accent5 2 3 2 4 2 2" xfId="5484"/>
    <cellStyle name="40% - Accent5 2 3 2 4 2 2 2" xfId="9948"/>
    <cellStyle name="40% - Accent5 2 3 2 4 2 3" xfId="7720"/>
    <cellStyle name="40% - Accent5 2 3 2 4 3" xfId="3798"/>
    <cellStyle name="40% - Accent5 2 3 2 4 3 2" xfId="4928"/>
    <cellStyle name="40% - Accent5 2 3 2 4 3 2 2" xfId="9392"/>
    <cellStyle name="40% - Accent5 2 3 2 4 3 3" xfId="8277"/>
    <cellStyle name="40% - Accent5 2 3 2 4 4" xfId="4371"/>
    <cellStyle name="40% - Accent5 2 3 2 4 4 2" xfId="8835"/>
    <cellStyle name="40% - Accent5 2 3 2 4 5" xfId="6041"/>
    <cellStyle name="40% - Accent5 2 3 2 4 5 2" xfId="10505"/>
    <cellStyle name="40% - Accent5 2 3 2 4 6" xfId="6607"/>
    <cellStyle name="40% - Accent5 2 3 2 4 6 2" xfId="11062"/>
    <cellStyle name="40% - Accent5 2 3 2 4 7" xfId="7164"/>
    <cellStyle name="40% - Accent5 2 3 2 5" xfId="3210"/>
    <cellStyle name="40% - Accent5 2 3 2 5 2" xfId="5479"/>
    <cellStyle name="40% - Accent5 2 3 2 5 2 2" xfId="9943"/>
    <cellStyle name="40% - Accent5 2 3 2 5 3" xfId="7715"/>
    <cellStyle name="40% - Accent5 2 3 2 6" xfId="3793"/>
    <cellStyle name="40% - Accent5 2 3 2 6 2" xfId="4923"/>
    <cellStyle name="40% - Accent5 2 3 2 6 2 2" xfId="9387"/>
    <cellStyle name="40% - Accent5 2 3 2 6 3" xfId="8272"/>
    <cellStyle name="40% - Accent5 2 3 2 7" xfId="4366"/>
    <cellStyle name="40% - Accent5 2 3 2 7 2" xfId="8830"/>
    <cellStyle name="40% - Accent5 2 3 2 8" xfId="6036"/>
    <cellStyle name="40% - Accent5 2 3 2 8 2" xfId="10500"/>
    <cellStyle name="40% - Accent5 2 3 2 9" xfId="6602"/>
    <cellStyle name="40% - Accent5 2 3 2 9 2" xfId="11057"/>
    <cellStyle name="40% - Accent5 2 3 3" xfId="2233"/>
    <cellStyle name="40% - Accent5 2 3 3 2" xfId="2234"/>
    <cellStyle name="40% - Accent5 2 3 3 2 2" xfId="3217"/>
    <cellStyle name="40% - Accent5 2 3 3 2 2 2" xfId="5486"/>
    <cellStyle name="40% - Accent5 2 3 3 2 2 2 2" xfId="9950"/>
    <cellStyle name="40% - Accent5 2 3 3 2 2 3" xfId="7722"/>
    <cellStyle name="40% - Accent5 2 3 3 2 3" xfId="3800"/>
    <cellStyle name="40% - Accent5 2 3 3 2 3 2" xfId="4930"/>
    <cellStyle name="40% - Accent5 2 3 3 2 3 2 2" xfId="9394"/>
    <cellStyle name="40% - Accent5 2 3 3 2 3 3" xfId="8279"/>
    <cellStyle name="40% - Accent5 2 3 3 2 4" xfId="4373"/>
    <cellStyle name="40% - Accent5 2 3 3 2 4 2" xfId="8837"/>
    <cellStyle name="40% - Accent5 2 3 3 2 5" xfId="6043"/>
    <cellStyle name="40% - Accent5 2 3 3 2 5 2" xfId="10507"/>
    <cellStyle name="40% - Accent5 2 3 3 2 6" xfId="6609"/>
    <cellStyle name="40% - Accent5 2 3 3 2 6 2" xfId="11064"/>
    <cellStyle name="40% - Accent5 2 3 3 2 7" xfId="7166"/>
    <cellStyle name="40% - Accent5 2 3 3 3" xfId="2235"/>
    <cellStyle name="40% - Accent5 2 3 3 3 2" xfId="3218"/>
    <cellStyle name="40% - Accent5 2 3 3 3 2 2" xfId="5487"/>
    <cellStyle name="40% - Accent5 2 3 3 3 2 2 2" xfId="9951"/>
    <cellStyle name="40% - Accent5 2 3 3 3 2 3" xfId="7723"/>
    <cellStyle name="40% - Accent5 2 3 3 3 3" xfId="3801"/>
    <cellStyle name="40% - Accent5 2 3 3 3 3 2" xfId="4931"/>
    <cellStyle name="40% - Accent5 2 3 3 3 3 2 2" xfId="9395"/>
    <cellStyle name="40% - Accent5 2 3 3 3 3 3" xfId="8280"/>
    <cellStyle name="40% - Accent5 2 3 3 3 4" xfId="4374"/>
    <cellStyle name="40% - Accent5 2 3 3 3 4 2" xfId="8838"/>
    <cellStyle name="40% - Accent5 2 3 3 3 5" xfId="6044"/>
    <cellStyle name="40% - Accent5 2 3 3 3 5 2" xfId="10508"/>
    <cellStyle name="40% - Accent5 2 3 3 3 6" xfId="6610"/>
    <cellStyle name="40% - Accent5 2 3 3 3 6 2" xfId="11065"/>
    <cellStyle name="40% - Accent5 2 3 3 3 7" xfId="7167"/>
    <cellStyle name="40% - Accent5 2 3 3 4" xfId="3216"/>
    <cellStyle name="40% - Accent5 2 3 3 4 2" xfId="5485"/>
    <cellStyle name="40% - Accent5 2 3 3 4 2 2" xfId="9949"/>
    <cellStyle name="40% - Accent5 2 3 3 4 3" xfId="7721"/>
    <cellStyle name="40% - Accent5 2 3 3 5" xfId="3799"/>
    <cellStyle name="40% - Accent5 2 3 3 5 2" xfId="4929"/>
    <cellStyle name="40% - Accent5 2 3 3 5 2 2" xfId="9393"/>
    <cellStyle name="40% - Accent5 2 3 3 5 3" xfId="8278"/>
    <cellStyle name="40% - Accent5 2 3 3 6" xfId="4372"/>
    <cellStyle name="40% - Accent5 2 3 3 6 2" xfId="8836"/>
    <cellStyle name="40% - Accent5 2 3 3 7" xfId="6042"/>
    <cellStyle name="40% - Accent5 2 3 3 7 2" xfId="10506"/>
    <cellStyle name="40% - Accent5 2 3 3 8" xfId="6608"/>
    <cellStyle name="40% - Accent5 2 3 3 8 2" xfId="11063"/>
    <cellStyle name="40% - Accent5 2 3 3 9" xfId="7165"/>
    <cellStyle name="40% - Accent5 2 3 4" xfId="2236"/>
    <cellStyle name="40% - Accent5 2 3 4 2" xfId="3219"/>
    <cellStyle name="40% - Accent5 2 3 4 2 2" xfId="5488"/>
    <cellStyle name="40% - Accent5 2 3 4 2 2 2" xfId="9952"/>
    <cellStyle name="40% - Accent5 2 3 4 2 3" xfId="7724"/>
    <cellStyle name="40% - Accent5 2 3 4 3" xfId="3802"/>
    <cellStyle name="40% - Accent5 2 3 4 3 2" xfId="4932"/>
    <cellStyle name="40% - Accent5 2 3 4 3 2 2" xfId="9396"/>
    <cellStyle name="40% - Accent5 2 3 4 3 3" xfId="8281"/>
    <cellStyle name="40% - Accent5 2 3 4 4" xfId="4375"/>
    <cellStyle name="40% - Accent5 2 3 4 4 2" xfId="8839"/>
    <cellStyle name="40% - Accent5 2 3 4 5" xfId="6045"/>
    <cellStyle name="40% - Accent5 2 3 4 5 2" xfId="10509"/>
    <cellStyle name="40% - Accent5 2 3 4 6" xfId="6611"/>
    <cellStyle name="40% - Accent5 2 3 4 6 2" xfId="11066"/>
    <cellStyle name="40% - Accent5 2 3 4 7" xfId="7168"/>
    <cellStyle name="40% - Accent5 2 3 5" xfId="2237"/>
    <cellStyle name="40% - Accent5 2 3 5 2" xfId="3220"/>
    <cellStyle name="40% - Accent5 2 3 5 2 2" xfId="5489"/>
    <cellStyle name="40% - Accent5 2 3 5 2 2 2" xfId="9953"/>
    <cellStyle name="40% - Accent5 2 3 5 2 3" xfId="7725"/>
    <cellStyle name="40% - Accent5 2 3 5 3" xfId="3803"/>
    <cellStyle name="40% - Accent5 2 3 5 3 2" xfId="4933"/>
    <cellStyle name="40% - Accent5 2 3 5 3 2 2" xfId="9397"/>
    <cellStyle name="40% - Accent5 2 3 5 3 3" xfId="8282"/>
    <cellStyle name="40% - Accent5 2 3 5 4" xfId="4376"/>
    <cellStyle name="40% - Accent5 2 3 5 4 2" xfId="8840"/>
    <cellStyle name="40% - Accent5 2 3 5 5" xfId="6046"/>
    <cellStyle name="40% - Accent5 2 3 5 5 2" xfId="10510"/>
    <cellStyle name="40% - Accent5 2 3 5 6" xfId="6612"/>
    <cellStyle name="40% - Accent5 2 3 5 6 2" xfId="11067"/>
    <cellStyle name="40% - Accent5 2 3 5 7" xfId="7169"/>
    <cellStyle name="40% - Accent5 2 3 6" xfId="11973"/>
    <cellStyle name="40% - Accent5 2 3 7" xfId="1303"/>
    <cellStyle name="40% - Accent5 2 4" xfId="1304"/>
    <cellStyle name="40% - Accent5 2 4 2" xfId="2238"/>
    <cellStyle name="40% - Accent5 2 4 2 2" xfId="2239"/>
    <cellStyle name="40% - Accent5 2 4 2 2 2" xfId="3222"/>
    <cellStyle name="40% - Accent5 2 4 2 2 2 2" xfId="5491"/>
    <cellStyle name="40% - Accent5 2 4 2 2 2 2 2" xfId="9955"/>
    <cellStyle name="40% - Accent5 2 4 2 2 2 3" xfId="7727"/>
    <cellStyle name="40% - Accent5 2 4 2 2 3" xfId="3805"/>
    <cellStyle name="40% - Accent5 2 4 2 2 3 2" xfId="4935"/>
    <cellStyle name="40% - Accent5 2 4 2 2 3 2 2" xfId="9399"/>
    <cellStyle name="40% - Accent5 2 4 2 2 3 3" xfId="8284"/>
    <cellStyle name="40% - Accent5 2 4 2 2 4" xfId="4378"/>
    <cellStyle name="40% - Accent5 2 4 2 2 4 2" xfId="8842"/>
    <cellStyle name="40% - Accent5 2 4 2 2 5" xfId="6048"/>
    <cellStyle name="40% - Accent5 2 4 2 2 5 2" xfId="10512"/>
    <cellStyle name="40% - Accent5 2 4 2 2 6" xfId="6614"/>
    <cellStyle name="40% - Accent5 2 4 2 2 6 2" xfId="11069"/>
    <cellStyle name="40% - Accent5 2 4 2 2 7" xfId="7171"/>
    <cellStyle name="40% - Accent5 2 4 2 3" xfId="2240"/>
    <cellStyle name="40% - Accent5 2 4 2 3 2" xfId="3223"/>
    <cellStyle name="40% - Accent5 2 4 2 3 2 2" xfId="5492"/>
    <cellStyle name="40% - Accent5 2 4 2 3 2 2 2" xfId="9956"/>
    <cellStyle name="40% - Accent5 2 4 2 3 2 3" xfId="7728"/>
    <cellStyle name="40% - Accent5 2 4 2 3 3" xfId="3806"/>
    <cellStyle name="40% - Accent5 2 4 2 3 3 2" xfId="4936"/>
    <cellStyle name="40% - Accent5 2 4 2 3 3 2 2" xfId="9400"/>
    <cellStyle name="40% - Accent5 2 4 2 3 3 3" xfId="8285"/>
    <cellStyle name="40% - Accent5 2 4 2 3 4" xfId="4379"/>
    <cellStyle name="40% - Accent5 2 4 2 3 4 2" xfId="8843"/>
    <cellStyle name="40% - Accent5 2 4 2 3 5" xfId="6049"/>
    <cellStyle name="40% - Accent5 2 4 2 3 5 2" xfId="10513"/>
    <cellStyle name="40% - Accent5 2 4 2 3 6" xfId="6615"/>
    <cellStyle name="40% - Accent5 2 4 2 3 6 2" xfId="11070"/>
    <cellStyle name="40% - Accent5 2 4 2 3 7" xfId="7172"/>
    <cellStyle name="40% - Accent5 2 4 2 4" xfId="3221"/>
    <cellStyle name="40% - Accent5 2 4 2 4 2" xfId="5490"/>
    <cellStyle name="40% - Accent5 2 4 2 4 2 2" xfId="9954"/>
    <cellStyle name="40% - Accent5 2 4 2 4 3" xfId="7726"/>
    <cellStyle name="40% - Accent5 2 4 2 5" xfId="3804"/>
    <cellStyle name="40% - Accent5 2 4 2 5 2" xfId="4934"/>
    <cellStyle name="40% - Accent5 2 4 2 5 2 2" xfId="9398"/>
    <cellStyle name="40% - Accent5 2 4 2 5 3" xfId="8283"/>
    <cellStyle name="40% - Accent5 2 4 2 6" xfId="4377"/>
    <cellStyle name="40% - Accent5 2 4 2 6 2" xfId="8841"/>
    <cellStyle name="40% - Accent5 2 4 2 7" xfId="6047"/>
    <cellStyle name="40% - Accent5 2 4 2 7 2" xfId="10511"/>
    <cellStyle name="40% - Accent5 2 4 2 8" xfId="6613"/>
    <cellStyle name="40% - Accent5 2 4 2 8 2" xfId="11068"/>
    <cellStyle name="40% - Accent5 2 4 2 9" xfId="7170"/>
    <cellStyle name="40% - Accent5 2 4 3" xfId="2241"/>
    <cellStyle name="40% - Accent5 2 4 3 2" xfId="2242"/>
    <cellStyle name="40% - Accent5 2 4 3 2 2" xfId="3225"/>
    <cellStyle name="40% - Accent5 2 4 3 2 2 2" xfId="5494"/>
    <cellStyle name="40% - Accent5 2 4 3 2 2 2 2" xfId="9958"/>
    <cellStyle name="40% - Accent5 2 4 3 2 2 3" xfId="7730"/>
    <cellStyle name="40% - Accent5 2 4 3 2 3" xfId="3808"/>
    <cellStyle name="40% - Accent5 2 4 3 2 3 2" xfId="4938"/>
    <cellStyle name="40% - Accent5 2 4 3 2 3 2 2" xfId="9402"/>
    <cellStyle name="40% - Accent5 2 4 3 2 3 3" xfId="8287"/>
    <cellStyle name="40% - Accent5 2 4 3 2 4" xfId="4381"/>
    <cellStyle name="40% - Accent5 2 4 3 2 4 2" xfId="8845"/>
    <cellStyle name="40% - Accent5 2 4 3 2 5" xfId="6051"/>
    <cellStyle name="40% - Accent5 2 4 3 2 5 2" xfId="10515"/>
    <cellStyle name="40% - Accent5 2 4 3 2 6" xfId="6617"/>
    <cellStyle name="40% - Accent5 2 4 3 2 6 2" xfId="11072"/>
    <cellStyle name="40% - Accent5 2 4 3 2 7" xfId="7174"/>
    <cellStyle name="40% - Accent5 2 4 3 3" xfId="2243"/>
    <cellStyle name="40% - Accent5 2 4 3 3 2" xfId="3226"/>
    <cellStyle name="40% - Accent5 2 4 3 3 2 2" xfId="5495"/>
    <cellStyle name="40% - Accent5 2 4 3 3 2 2 2" xfId="9959"/>
    <cellStyle name="40% - Accent5 2 4 3 3 2 3" xfId="7731"/>
    <cellStyle name="40% - Accent5 2 4 3 3 3" xfId="3809"/>
    <cellStyle name="40% - Accent5 2 4 3 3 3 2" xfId="4939"/>
    <cellStyle name="40% - Accent5 2 4 3 3 3 2 2" xfId="9403"/>
    <cellStyle name="40% - Accent5 2 4 3 3 3 3" xfId="8288"/>
    <cellStyle name="40% - Accent5 2 4 3 3 4" xfId="4382"/>
    <cellStyle name="40% - Accent5 2 4 3 3 4 2" xfId="8846"/>
    <cellStyle name="40% - Accent5 2 4 3 3 5" xfId="6052"/>
    <cellStyle name="40% - Accent5 2 4 3 3 5 2" xfId="10516"/>
    <cellStyle name="40% - Accent5 2 4 3 3 6" xfId="6618"/>
    <cellStyle name="40% - Accent5 2 4 3 3 6 2" xfId="11073"/>
    <cellStyle name="40% - Accent5 2 4 3 3 7" xfId="7175"/>
    <cellStyle name="40% - Accent5 2 4 3 4" xfId="3224"/>
    <cellStyle name="40% - Accent5 2 4 3 4 2" xfId="5493"/>
    <cellStyle name="40% - Accent5 2 4 3 4 2 2" xfId="9957"/>
    <cellStyle name="40% - Accent5 2 4 3 4 3" xfId="7729"/>
    <cellStyle name="40% - Accent5 2 4 3 5" xfId="3807"/>
    <cellStyle name="40% - Accent5 2 4 3 5 2" xfId="4937"/>
    <cellStyle name="40% - Accent5 2 4 3 5 2 2" xfId="9401"/>
    <cellStyle name="40% - Accent5 2 4 3 5 3" xfId="8286"/>
    <cellStyle name="40% - Accent5 2 4 3 6" xfId="4380"/>
    <cellStyle name="40% - Accent5 2 4 3 6 2" xfId="8844"/>
    <cellStyle name="40% - Accent5 2 4 3 7" xfId="6050"/>
    <cellStyle name="40% - Accent5 2 4 3 7 2" xfId="10514"/>
    <cellStyle name="40% - Accent5 2 4 3 8" xfId="6616"/>
    <cellStyle name="40% - Accent5 2 4 3 8 2" xfId="11071"/>
    <cellStyle name="40% - Accent5 2 4 3 9" xfId="7173"/>
    <cellStyle name="40% - Accent5 2 4 4" xfId="2244"/>
    <cellStyle name="40% - Accent5 2 4 4 2" xfId="3227"/>
    <cellStyle name="40% - Accent5 2 4 4 2 2" xfId="5496"/>
    <cellStyle name="40% - Accent5 2 4 4 2 2 2" xfId="9960"/>
    <cellStyle name="40% - Accent5 2 4 4 2 3" xfId="7732"/>
    <cellStyle name="40% - Accent5 2 4 4 3" xfId="3810"/>
    <cellStyle name="40% - Accent5 2 4 4 3 2" xfId="4940"/>
    <cellStyle name="40% - Accent5 2 4 4 3 2 2" xfId="9404"/>
    <cellStyle name="40% - Accent5 2 4 4 3 3" xfId="8289"/>
    <cellStyle name="40% - Accent5 2 4 4 4" xfId="4383"/>
    <cellStyle name="40% - Accent5 2 4 4 4 2" xfId="8847"/>
    <cellStyle name="40% - Accent5 2 4 4 5" xfId="6053"/>
    <cellStyle name="40% - Accent5 2 4 4 5 2" xfId="10517"/>
    <cellStyle name="40% - Accent5 2 4 4 6" xfId="6619"/>
    <cellStyle name="40% - Accent5 2 4 4 6 2" xfId="11074"/>
    <cellStyle name="40% - Accent5 2 4 4 7" xfId="7176"/>
    <cellStyle name="40% - Accent5 2 4 5" xfId="2245"/>
    <cellStyle name="40% - Accent5 2 4 5 2" xfId="3228"/>
    <cellStyle name="40% - Accent5 2 4 5 2 2" xfId="5497"/>
    <cellStyle name="40% - Accent5 2 4 5 2 2 2" xfId="9961"/>
    <cellStyle name="40% - Accent5 2 4 5 2 3" xfId="7733"/>
    <cellStyle name="40% - Accent5 2 4 5 3" xfId="3811"/>
    <cellStyle name="40% - Accent5 2 4 5 3 2" xfId="4941"/>
    <cellStyle name="40% - Accent5 2 4 5 3 2 2" xfId="9405"/>
    <cellStyle name="40% - Accent5 2 4 5 3 3" xfId="8290"/>
    <cellStyle name="40% - Accent5 2 4 5 4" xfId="4384"/>
    <cellStyle name="40% - Accent5 2 4 5 4 2" xfId="8848"/>
    <cellStyle name="40% - Accent5 2 4 5 5" xfId="6054"/>
    <cellStyle name="40% - Accent5 2 4 5 5 2" xfId="10518"/>
    <cellStyle name="40% - Accent5 2 4 5 6" xfId="6620"/>
    <cellStyle name="40% - Accent5 2 4 5 6 2" xfId="11075"/>
    <cellStyle name="40% - Accent5 2 4 5 7" xfId="7177"/>
    <cellStyle name="40% - Accent5 2 5" xfId="1305"/>
    <cellStyle name="40% - Accent5 2 5 2" xfId="2246"/>
    <cellStyle name="40% - Accent5 2 5 2 2" xfId="2247"/>
    <cellStyle name="40% - Accent5 2 5 2 2 2" xfId="3230"/>
    <cellStyle name="40% - Accent5 2 5 2 2 2 2" xfId="5499"/>
    <cellStyle name="40% - Accent5 2 5 2 2 2 2 2" xfId="9963"/>
    <cellStyle name="40% - Accent5 2 5 2 2 2 3" xfId="7735"/>
    <cellStyle name="40% - Accent5 2 5 2 2 3" xfId="3813"/>
    <cellStyle name="40% - Accent5 2 5 2 2 3 2" xfId="4943"/>
    <cellStyle name="40% - Accent5 2 5 2 2 3 2 2" xfId="9407"/>
    <cellStyle name="40% - Accent5 2 5 2 2 3 3" xfId="8292"/>
    <cellStyle name="40% - Accent5 2 5 2 2 4" xfId="4386"/>
    <cellStyle name="40% - Accent5 2 5 2 2 4 2" xfId="8850"/>
    <cellStyle name="40% - Accent5 2 5 2 2 5" xfId="6056"/>
    <cellStyle name="40% - Accent5 2 5 2 2 5 2" xfId="10520"/>
    <cellStyle name="40% - Accent5 2 5 2 2 6" xfId="6622"/>
    <cellStyle name="40% - Accent5 2 5 2 2 6 2" xfId="11077"/>
    <cellStyle name="40% - Accent5 2 5 2 2 7" xfId="7179"/>
    <cellStyle name="40% - Accent5 2 5 2 3" xfId="2248"/>
    <cellStyle name="40% - Accent5 2 5 2 3 2" xfId="3231"/>
    <cellStyle name="40% - Accent5 2 5 2 3 2 2" xfId="5500"/>
    <cellStyle name="40% - Accent5 2 5 2 3 2 2 2" xfId="9964"/>
    <cellStyle name="40% - Accent5 2 5 2 3 2 3" xfId="7736"/>
    <cellStyle name="40% - Accent5 2 5 2 3 3" xfId="3814"/>
    <cellStyle name="40% - Accent5 2 5 2 3 3 2" xfId="4944"/>
    <cellStyle name="40% - Accent5 2 5 2 3 3 2 2" xfId="9408"/>
    <cellStyle name="40% - Accent5 2 5 2 3 3 3" xfId="8293"/>
    <cellStyle name="40% - Accent5 2 5 2 3 4" xfId="4387"/>
    <cellStyle name="40% - Accent5 2 5 2 3 4 2" xfId="8851"/>
    <cellStyle name="40% - Accent5 2 5 2 3 5" xfId="6057"/>
    <cellStyle name="40% - Accent5 2 5 2 3 5 2" xfId="10521"/>
    <cellStyle name="40% - Accent5 2 5 2 3 6" xfId="6623"/>
    <cellStyle name="40% - Accent5 2 5 2 3 6 2" xfId="11078"/>
    <cellStyle name="40% - Accent5 2 5 2 3 7" xfId="7180"/>
    <cellStyle name="40% - Accent5 2 5 2 4" xfId="3229"/>
    <cellStyle name="40% - Accent5 2 5 2 4 2" xfId="5498"/>
    <cellStyle name="40% - Accent5 2 5 2 4 2 2" xfId="9962"/>
    <cellStyle name="40% - Accent5 2 5 2 4 3" xfId="7734"/>
    <cellStyle name="40% - Accent5 2 5 2 5" xfId="3812"/>
    <cellStyle name="40% - Accent5 2 5 2 5 2" xfId="4942"/>
    <cellStyle name="40% - Accent5 2 5 2 5 2 2" xfId="9406"/>
    <cellStyle name="40% - Accent5 2 5 2 5 3" xfId="8291"/>
    <cellStyle name="40% - Accent5 2 5 2 6" xfId="4385"/>
    <cellStyle name="40% - Accent5 2 5 2 6 2" xfId="8849"/>
    <cellStyle name="40% - Accent5 2 5 2 7" xfId="6055"/>
    <cellStyle name="40% - Accent5 2 5 2 7 2" xfId="10519"/>
    <cellStyle name="40% - Accent5 2 5 2 8" xfId="6621"/>
    <cellStyle name="40% - Accent5 2 5 2 8 2" xfId="11076"/>
    <cellStyle name="40% - Accent5 2 5 2 9" xfId="7178"/>
    <cellStyle name="40% - Accent5 2 5 3" xfId="2249"/>
    <cellStyle name="40% - Accent5 2 5 3 2" xfId="3232"/>
    <cellStyle name="40% - Accent5 2 5 3 2 2" xfId="5501"/>
    <cellStyle name="40% - Accent5 2 5 3 2 2 2" xfId="9965"/>
    <cellStyle name="40% - Accent5 2 5 3 2 3" xfId="7737"/>
    <cellStyle name="40% - Accent5 2 5 3 3" xfId="3815"/>
    <cellStyle name="40% - Accent5 2 5 3 3 2" xfId="4945"/>
    <cellStyle name="40% - Accent5 2 5 3 3 2 2" xfId="9409"/>
    <cellStyle name="40% - Accent5 2 5 3 3 3" xfId="8294"/>
    <cellStyle name="40% - Accent5 2 5 3 4" xfId="4388"/>
    <cellStyle name="40% - Accent5 2 5 3 4 2" xfId="8852"/>
    <cellStyle name="40% - Accent5 2 5 3 5" xfId="6058"/>
    <cellStyle name="40% - Accent5 2 5 3 5 2" xfId="10522"/>
    <cellStyle name="40% - Accent5 2 5 3 6" xfId="6624"/>
    <cellStyle name="40% - Accent5 2 5 3 6 2" xfId="11079"/>
    <cellStyle name="40% - Accent5 2 5 3 7" xfId="7181"/>
    <cellStyle name="40% - Accent5 2 5 4" xfId="2250"/>
    <cellStyle name="40% - Accent5 2 5 4 2" xfId="3233"/>
    <cellStyle name="40% - Accent5 2 5 4 2 2" xfId="5502"/>
    <cellStyle name="40% - Accent5 2 5 4 2 2 2" xfId="9966"/>
    <cellStyle name="40% - Accent5 2 5 4 2 3" xfId="7738"/>
    <cellStyle name="40% - Accent5 2 5 4 3" xfId="3816"/>
    <cellStyle name="40% - Accent5 2 5 4 3 2" xfId="4946"/>
    <cellStyle name="40% - Accent5 2 5 4 3 2 2" xfId="9410"/>
    <cellStyle name="40% - Accent5 2 5 4 3 3" xfId="8295"/>
    <cellStyle name="40% - Accent5 2 5 4 4" xfId="4389"/>
    <cellStyle name="40% - Accent5 2 5 4 4 2" xfId="8853"/>
    <cellStyle name="40% - Accent5 2 5 4 5" xfId="6059"/>
    <cellStyle name="40% - Accent5 2 5 4 5 2" xfId="10523"/>
    <cellStyle name="40% - Accent5 2 5 4 6" xfId="6625"/>
    <cellStyle name="40% - Accent5 2 5 4 6 2" xfId="11080"/>
    <cellStyle name="40% - Accent5 2 5 4 7" xfId="7182"/>
    <cellStyle name="40% - Accent5 2 6" xfId="1306"/>
    <cellStyle name="40% - Accent5 2 6 2" xfId="2251"/>
    <cellStyle name="40% - Accent5 2 6 2 2" xfId="3234"/>
    <cellStyle name="40% - Accent5 2 6 2 2 2" xfId="5503"/>
    <cellStyle name="40% - Accent5 2 6 2 2 2 2" xfId="9967"/>
    <cellStyle name="40% - Accent5 2 6 2 2 3" xfId="7739"/>
    <cellStyle name="40% - Accent5 2 6 2 3" xfId="3817"/>
    <cellStyle name="40% - Accent5 2 6 2 3 2" xfId="4947"/>
    <cellStyle name="40% - Accent5 2 6 2 3 2 2" xfId="9411"/>
    <cellStyle name="40% - Accent5 2 6 2 3 3" xfId="8296"/>
    <cellStyle name="40% - Accent5 2 6 2 4" xfId="4390"/>
    <cellStyle name="40% - Accent5 2 6 2 4 2" xfId="8854"/>
    <cellStyle name="40% - Accent5 2 6 2 5" xfId="6060"/>
    <cellStyle name="40% - Accent5 2 6 2 5 2" xfId="10524"/>
    <cellStyle name="40% - Accent5 2 6 2 6" xfId="6626"/>
    <cellStyle name="40% - Accent5 2 6 2 6 2" xfId="11081"/>
    <cellStyle name="40% - Accent5 2 6 2 7" xfId="7183"/>
    <cellStyle name="40% - Accent5 2 6 3" xfId="2252"/>
    <cellStyle name="40% - Accent5 2 6 3 2" xfId="3235"/>
    <cellStyle name="40% - Accent5 2 6 3 2 2" xfId="5504"/>
    <cellStyle name="40% - Accent5 2 6 3 2 2 2" xfId="9968"/>
    <cellStyle name="40% - Accent5 2 6 3 2 3" xfId="7740"/>
    <cellStyle name="40% - Accent5 2 6 3 3" xfId="3818"/>
    <cellStyle name="40% - Accent5 2 6 3 3 2" xfId="4948"/>
    <cellStyle name="40% - Accent5 2 6 3 3 2 2" xfId="9412"/>
    <cellStyle name="40% - Accent5 2 6 3 3 3" xfId="8297"/>
    <cellStyle name="40% - Accent5 2 6 3 4" xfId="4391"/>
    <cellStyle name="40% - Accent5 2 6 3 4 2" xfId="8855"/>
    <cellStyle name="40% - Accent5 2 6 3 5" xfId="6061"/>
    <cellStyle name="40% - Accent5 2 6 3 5 2" xfId="10525"/>
    <cellStyle name="40% - Accent5 2 6 3 6" xfId="6627"/>
    <cellStyle name="40% - Accent5 2 6 3 6 2" xfId="11082"/>
    <cellStyle name="40% - Accent5 2 6 3 7" xfId="7184"/>
    <cellStyle name="40% - Accent5 2 7" xfId="1738"/>
    <cellStyle name="40% - Accent5 2 7 2" xfId="2902"/>
    <cellStyle name="40% - Accent5 2 7 2 2" xfId="5171"/>
    <cellStyle name="40% - Accent5 2 7 2 2 2" xfId="9635"/>
    <cellStyle name="40% - Accent5 2 7 2 3" xfId="7407"/>
    <cellStyle name="40% - Accent5 2 7 3" xfId="3485"/>
    <cellStyle name="40% - Accent5 2 7 3 2" xfId="4615"/>
    <cellStyle name="40% - Accent5 2 7 3 2 2" xfId="9079"/>
    <cellStyle name="40% - Accent5 2 7 3 3" xfId="7964"/>
    <cellStyle name="40% - Accent5 2 7 4" xfId="4058"/>
    <cellStyle name="40% - Accent5 2 7 4 2" xfId="8522"/>
    <cellStyle name="40% - Accent5 2 7 5" xfId="5728"/>
    <cellStyle name="40% - Accent5 2 7 5 2" xfId="10192"/>
    <cellStyle name="40% - Accent5 2 7 6" xfId="6294"/>
    <cellStyle name="40% - Accent5 2 7 6 2" xfId="10749"/>
    <cellStyle name="40% - Accent5 2 7 7" xfId="6851"/>
    <cellStyle name="40% - Accent5 2 8" xfId="1844"/>
    <cellStyle name="40% - Accent5 2 8 2" xfId="2917"/>
    <cellStyle name="40% - Accent5 2 8 2 2" xfId="5186"/>
    <cellStyle name="40% - Accent5 2 8 2 2 2" xfId="9650"/>
    <cellStyle name="40% - Accent5 2 8 2 3" xfId="7422"/>
    <cellStyle name="40% - Accent5 2 8 3" xfId="3500"/>
    <cellStyle name="40% - Accent5 2 8 3 2" xfId="4630"/>
    <cellStyle name="40% - Accent5 2 8 3 2 2" xfId="9094"/>
    <cellStyle name="40% - Accent5 2 8 3 3" xfId="7979"/>
    <cellStyle name="40% - Accent5 2 8 4" xfId="4073"/>
    <cellStyle name="40% - Accent5 2 8 4 2" xfId="8537"/>
    <cellStyle name="40% - Accent5 2 8 5" xfId="5743"/>
    <cellStyle name="40% - Accent5 2 8 5 2" xfId="10207"/>
    <cellStyle name="40% - Accent5 2 8 6" xfId="6309"/>
    <cellStyle name="40% - Accent5 2 8 6 2" xfId="10764"/>
    <cellStyle name="40% - Accent5 2 8 7" xfId="6866"/>
    <cellStyle name="40% - Accent5 2 9" xfId="2253"/>
    <cellStyle name="40% - Accent5 20" xfId="1088"/>
    <cellStyle name="40% - Accent5 20 2" xfId="11959"/>
    <cellStyle name="40% - Accent5 21" xfId="11842"/>
    <cellStyle name="40% - Accent5 3" xfId="148"/>
    <cellStyle name="40% - Accent5 3 2" xfId="2254"/>
    <cellStyle name="40% - Accent5 3 3" xfId="2614"/>
    <cellStyle name="40% - Accent5 3 4" xfId="11411"/>
    <cellStyle name="40% - Accent5 3 5" xfId="1307"/>
    <cellStyle name="40% - Accent5 4" xfId="149"/>
    <cellStyle name="40% - Accent5 4 2" xfId="2780"/>
    <cellStyle name="40% - Accent5 4 3" xfId="11412"/>
    <cellStyle name="40% - Accent5 4 4" xfId="1308"/>
    <cellStyle name="40% - Accent5 5" xfId="150"/>
    <cellStyle name="40% - Accent5 5 2" xfId="11413"/>
    <cellStyle name="40% - Accent5 5 3" xfId="1672"/>
    <cellStyle name="40% - Accent5 6" xfId="151"/>
    <cellStyle name="40% - Accent5 6 2" xfId="11414"/>
    <cellStyle name="40% - Accent5 6 3" xfId="1843"/>
    <cellStyle name="40% - Accent5 7" xfId="152"/>
    <cellStyle name="40% - Accent5 8" xfId="153"/>
    <cellStyle name="40% - Accent5 9" xfId="154"/>
    <cellStyle name="40% - Accent6" xfId="962" builtinId="51" customBuiltin="1"/>
    <cellStyle name="40% - Accent6 10" xfId="155"/>
    <cellStyle name="40% - Accent6 11" xfId="156"/>
    <cellStyle name="40% - Accent6 12" xfId="157"/>
    <cellStyle name="40% - Accent6 13" xfId="158"/>
    <cellStyle name="40% - Accent6 14" xfId="159"/>
    <cellStyle name="40% - Accent6 15" xfId="160"/>
    <cellStyle name="40% - Accent6 16" xfId="681"/>
    <cellStyle name="40% - Accent6 17" xfId="1000"/>
    <cellStyle name="40% - Accent6 17 2" xfId="11871"/>
    <cellStyle name="40% - Accent6 18" xfId="1032"/>
    <cellStyle name="40% - Accent6 18 2" xfId="11903"/>
    <cellStyle name="40% - Accent6 19" xfId="1075"/>
    <cellStyle name="40% - Accent6 19 2" xfId="11946"/>
    <cellStyle name="40% - Accent6 2" xfId="161"/>
    <cellStyle name="40% - Accent6 2 10" xfId="2255"/>
    <cellStyle name="40% - Accent6 2 10 2" xfId="3236"/>
    <cellStyle name="40% - Accent6 2 10 2 2" xfId="5505"/>
    <cellStyle name="40% - Accent6 2 10 2 2 2" xfId="9969"/>
    <cellStyle name="40% - Accent6 2 10 2 3" xfId="7741"/>
    <cellStyle name="40% - Accent6 2 10 3" xfId="3819"/>
    <cellStyle name="40% - Accent6 2 10 3 2" xfId="4949"/>
    <cellStyle name="40% - Accent6 2 10 3 2 2" xfId="9413"/>
    <cellStyle name="40% - Accent6 2 10 3 3" xfId="8298"/>
    <cellStyle name="40% - Accent6 2 10 4" xfId="4392"/>
    <cellStyle name="40% - Accent6 2 10 4 2" xfId="8856"/>
    <cellStyle name="40% - Accent6 2 10 5" xfId="6062"/>
    <cellStyle name="40% - Accent6 2 10 5 2" xfId="10526"/>
    <cellStyle name="40% - Accent6 2 10 6" xfId="6628"/>
    <cellStyle name="40% - Accent6 2 10 6 2" xfId="11083"/>
    <cellStyle name="40% - Accent6 2 10 7" xfId="7185"/>
    <cellStyle name="40% - Accent6 2 11" xfId="2582"/>
    <cellStyle name="40% - Accent6 2 12" xfId="11315"/>
    <cellStyle name="40% - Accent6 2 13" xfId="11344"/>
    <cellStyle name="40% - Accent6 2 14" xfId="1309"/>
    <cellStyle name="40% - Accent6 2 15" xfId="1140"/>
    <cellStyle name="40% - Accent6 2 2" xfId="738"/>
    <cellStyle name="40% - Accent6 2 2 2" xfId="1755"/>
    <cellStyle name="40% - Accent6 2 2 3" xfId="1310"/>
    <cellStyle name="40% - Accent6 2 2 4" xfId="11695"/>
    <cellStyle name="40% - Accent6 2 2 5" xfId="1181"/>
    <cellStyle name="40% - Accent6 2 3" xfId="1110"/>
    <cellStyle name="40% - Accent6 2 3 2" xfId="2256"/>
    <cellStyle name="40% - Accent6 2 3 2 10" xfId="7186"/>
    <cellStyle name="40% - Accent6 2 3 2 2" xfId="2257"/>
    <cellStyle name="40% - Accent6 2 3 2 2 2" xfId="2258"/>
    <cellStyle name="40% - Accent6 2 3 2 2 2 2" xfId="3239"/>
    <cellStyle name="40% - Accent6 2 3 2 2 2 2 2" xfId="5508"/>
    <cellStyle name="40% - Accent6 2 3 2 2 2 2 2 2" xfId="9972"/>
    <cellStyle name="40% - Accent6 2 3 2 2 2 2 3" xfId="7744"/>
    <cellStyle name="40% - Accent6 2 3 2 2 2 3" xfId="3822"/>
    <cellStyle name="40% - Accent6 2 3 2 2 2 3 2" xfId="4952"/>
    <cellStyle name="40% - Accent6 2 3 2 2 2 3 2 2" xfId="9416"/>
    <cellStyle name="40% - Accent6 2 3 2 2 2 3 3" xfId="8301"/>
    <cellStyle name="40% - Accent6 2 3 2 2 2 4" xfId="4395"/>
    <cellStyle name="40% - Accent6 2 3 2 2 2 4 2" xfId="8859"/>
    <cellStyle name="40% - Accent6 2 3 2 2 2 5" xfId="6065"/>
    <cellStyle name="40% - Accent6 2 3 2 2 2 5 2" xfId="10529"/>
    <cellStyle name="40% - Accent6 2 3 2 2 2 6" xfId="6631"/>
    <cellStyle name="40% - Accent6 2 3 2 2 2 6 2" xfId="11086"/>
    <cellStyle name="40% - Accent6 2 3 2 2 2 7" xfId="7188"/>
    <cellStyle name="40% - Accent6 2 3 2 2 3" xfId="2259"/>
    <cellStyle name="40% - Accent6 2 3 2 2 3 2" xfId="3240"/>
    <cellStyle name="40% - Accent6 2 3 2 2 3 2 2" xfId="5509"/>
    <cellStyle name="40% - Accent6 2 3 2 2 3 2 2 2" xfId="9973"/>
    <cellStyle name="40% - Accent6 2 3 2 2 3 2 3" xfId="7745"/>
    <cellStyle name="40% - Accent6 2 3 2 2 3 3" xfId="3823"/>
    <cellStyle name="40% - Accent6 2 3 2 2 3 3 2" xfId="4953"/>
    <cellStyle name="40% - Accent6 2 3 2 2 3 3 2 2" xfId="9417"/>
    <cellStyle name="40% - Accent6 2 3 2 2 3 3 3" xfId="8302"/>
    <cellStyle name="40% - Accent6 2 3 2 2 3 4" xfId="4396"/>
    <cellStyle name="40% - Accent6 2 3 2 2 3 4 2" xfId="8860"/>
    <cellStyle name="40% - Accent6 2 3 2 2 3 5" xfId="6066"/>
    <cellStyle name="40% - Accent6 2 3 2 2 3 5 2" xfId="10530"/>
    <cellStyle name="40% - Accent6 2 3 2 2 3 6" xfId="6632"/>
    <cellStyle name="40% - Accent6 2 3 2 2 3 6 2" xfId="11087"/>
    <cellStyle name="40% - Accent6 2 3 2 2 3 7" xfId="7189"/>
    <cellStyle name="40% - Accent6 2 3 2 2 4" xfId="3238"/>
    <cellStyle name="40% - Accent6 2 3 2 2 4 2" xfId="5507"/>
    <cellStyle name="40% - Accent6 2 3 2 2 4 2 2" xfId="9971"/>
    <cellStyle name="40% - Accent6 2 3 2 2 4 3" xfId="7743"/>
    <cellStyle name="40% - Accent6 2 3 2 2 5" xfId="3821"/>
    <cellStyle name="40% - Accent6 2 3 2 2 5 2" xfId="4951"/>
    <cellStyle name="40% - Accent6 2 3 2 2 5 2 2" xfId="9415"/>
    <cellStyle name="40% - Accent6 2 3 2 2 5 3" xfId="8300"/>
    <cellStyle name="40% - Accent6 2 3 2 2 6" xfId="4394"/>
    <cellStyle name="40% - Accent6 2 3 2 2 6 2" xfId="8858"/>
    <cellStyle name="40% - Accent6 2 3 2 2 7" xfId="6064"/>
    <cellStyle name="40% - Accent6 2 3 2 2 7 2" xfId="10528"/>
    <cellStyle name="40% - Accent6 2 3 2 2 8" xfId="6630"/>
    <cellStyle name="40% - Accent6 2 3 2 2 8 2" xfId="11085"/>
    <cellStyle name="40% - Accent6 2 3 2 2 9" xfId="7187"/>
    <cellStyle name="40% - Accent6 2 3 2 3" xfId="2260"/>
    <cellStyle name="40% - Accent6 2 3 2 3 2" xfId="3241"/>
    <cellStyle name="40% - Accent6 2 3 2 3 2 2" xfId="5510"/>
    <cellStyle name="40% - Accent6 2 3 2 3 2 2 2" xfId="9974"/>
    <cellStyle name="40% - Accent6 2 3 2 3 2 3" xfId="7746"/>
    <cellStyle name="40% - Accent6 2 3 2 3 3" xfId="3824"/>
    <cellStyle name="40% - Accent6 2 3 2 3 3 2" xfId="4954"/>
    <cellStyle name="40% - Accent6 2 3 2 3 3 2 2" xfId="9418"/>
    <cellStyle name="40% - Accent6 2 3 2 3 3 3" xfId="8303"/>
    <cellStyle name="40% - Accent6 2 3 2 3 4" xfId="4397"/>
    <cellStyle name="40% - Accent6 2 3 2 3 4 2" xfId="8861"/>
    <cellStyle name="40% - Accent6 2 3 2 3 5" xfId="6067"/>
    <cellStyle name="40% - Accent6 2 3 2 3 5 2" xfId="10531"/>
    <cellStyle name="40% - Accent6 2 3 2 3 6" xfId="6633"/>
    <cellStyle name="40% - Accent6 2 3 2 3 6 2" xfId="11088"/>
    <cellStyle name="40% - Accent6 2 3 2 3 7" xfId="7190"/>
    <cellStyle name="40% - Accent6 2 3 2 4" xfId="2261"/>
    <cellStyle name="40% - Accent6 2 3 2 4 2" xfId="3242"/>
    <cellStyle name="40% - Accent6 2 3 2 4 2 2" xfId="5511"/>
    <cellStyle name="40% - Accent6 2 3 2 4 2 2 2" xfId="9975"/>
    <cellStyle name="40% - Accent6 2 3 2 4 2 3" xfId="7747"/>
    <cellStyle name="40% - Accent6 2 3 2 4 3" xfId="3825"/>
    <cellStyle name="40% - Accent6 2 3 2 4 3 2" xfId="4955"/>
    <cellStyle name="40% - Accent6 2 3 2 4 3 2 2" xfId="9419"/>
    <cellStyle name="40% - Accent6 2 3 2 4 3 3" xfId="8304"/>
    <cellStyle name="40% - Accent6 2 3 2 4 4" xfId="4398"/>
    <cellStyle name="40% - Accent6 2 3 2 4 4 2" xfId="8862"/>
    <cellStyle name="40% - Accent6 2 3 2 4 5" xfId="6068"/>
    <cellStyle name="40% - Accent6 2 3 2 4 5 2" xfId="10532"/>
    <cellStyle name="40% - Accent6 2 3 2 4 6" xfId="6634"/>
    <cellStyle name="40% - Accent6 2 3 2 4 6 2" xfId="11089"/>
    <cellStyle name="40% - Accent6 2 3 2 4 7" xfId="7191"/>
    <cellStyle name="40% - Accent6 2 3 2 5" xfId="3237"/>
    <cellStyle name="40% - Accent6 2 3 2 5 2" xfId="5506"/>
    <cellStyle name="40% - Accent6 2 3 2 5 2 2" xfId="9970"/>
    <cellStyle name="40% - Accent6 2 3 2 5 3" xfId="7742"/>
    <cellStyle name="40% - Accent6 2 3 2 6" xfId="3820"/>
    <cellStyle name="40% - Accent6 2 3 2 6 2" xfId="4950"/>
    <cellStyle name="40% - Accent6 2 3 2 6 2 2" xfId="9414"/>
    <cellStyle name="40% - Accent6 2 3 2 6 3" xfId="8299"/>
    <cellStyle name="40% - Accent6 2 3 2 7" xfId="4393"/>
    <cellStyle name="40% - Accent6 2 3 2 7 2" xfId="8857"/>
    <cellStyle name="40% - Accent6 2 3 2 8" xfId="6063"/>
    <cellStyle name="40% - Accent6 2 3 2 8 2" xfId="10527"/>
    <cellStyle name="40% - Accent6 2 3 2 9" xfId="6629"/>
    <cellStyle name="40% - Accent6 2 3 2 9 2" xfId="11084"/>
    <cellStyle name="40% - Accent6 2 3 3" xfId="2262"/>
    <cellStyle name="40% - Accent6 2 3 3 2" xfId="2263"/>
    <cellStyle name="40% - Accent6 2 3 3 2 2" xfId="3244"/>
    <cellStyle name="40% - Accent6 2 3 3 2 2 2" xfId="5513"/>
    <cellStyle name="40% - Accent6 2 3 3 2 2 2 2" xfId="9977"/>
    <cellStyle name="40% - Accent6 2 3 3 2 2 3" xfId="7749"/>
    <cellStyle name="40% - Accent6 2 3 3 2 3" xfId="3827"/>
    <cellStyle name="40% - Accent6 2 3 3 2 3 2" xfId="4957"/>
    <cellStyle name="40% - Accent6 2 3 3 2 3 2 2" xfId="9421"/>
    <cellStyle name="40% - Accent6 2 3 3 2 3 3" xfId="8306"/>
    <cellStyle name="40% - Accent6 2 3 3 2 4" xfId="4400"/>
    <cellStyle name="40% - Accent6 2 3 3 2 4 2" xfId="8864"/>
    <cellStyle name="40% - Accent6 2 3 3 2 5" xfId="6070"/>
    <cellStyle name="40% - Accent6 2 3 3 2 5 2" xfId="10534"/>
    <cellStyle name="40% - Accent6 2 3 3 2 6" xfId="6636"/>
    <cellStyle name="40% - Accent6 2 3 3 2 6 2" xfId="11091"/>
    <cellStyle name="40% - Accent6 2 3 3 2 7" xfId="7193"/>
    <cellStyle name="40% - Accent6 2 3 3 3" xfId="2264"/>
    <cellStyle name="40% - Accent6 2 3 3 3 2" xfId="3245"/>
    <cellStyle name="40% - Accent6 2 3 3 3 2 2" xfId="5514"/>
    <cellStyle name="40% - Accent6 2 3 3 3 2 2 2" xfId="9978"/>
    <cellStyle name="40% - Accent6 2 3 3 3 2 3" xfId="7750"/>
    <cellStyle name="40% - Accent6 2 3 3 3 3" xfId="3828"/>
    <cellStyle name="40% - Accent6 2 3 3 3 3 2" xfId="4958"/>
    <cellStyle name="40% - Accent6 2 3 3 3 3 2 2" xfId="9422"/>
    <cellStyle name="40% - Accent6 2 3 3 3 3 3" xfId="8307"/>
    <cellStyle name="40% - Accent6 2 3 3 3 4" xfId="4401"/>
    <cellStyle name="40% - Accent6 2 3 3 3 4 2" xfId="8865"/>
    <cellStyle name="40% - Accent6 2 3 3 3 5" xfId="6071"/>
    <cellStyle name="40% - Accent6 2 3 3 3 5 2" xfId="10535"/>
    <cellStyle name="40% - Accent6 2 3 3 3 6" xfId="6637"/>
    <cellStyle name="40% - Accent6 2 3 3 3 6 2" xfId="11092"/>
    <cellStyle name="40% - Accent6 2 3 3 3 7" xfId="7194"/>
    <cellStyle name="40% - Accent6 2 3 3 4" xfId="3243"/>
    <cellStyle name="40% - Accent6 2 3 3 4 2" xfId="5512"/>
    <cellStyle name="40% - Accent6 2 3 3 4 2 2" xfId="9976"/>
    <cellStyle name="40% - Accent6 2 3 3 4 3" xfId="7748"/>
    <cellStyle name="40% - Accent6 2 3 3 5" xfId="3826"/>
    <cellStyle name="40% - Accent6 2 3 3 5 2" xfId="4956"/>
    <cellStyle name="40% - Accent6 2 3 3 5 2 2" xfId="9420"/>
    <cellStyle name="40% - Accent6 2 3 3 5 3" xfId="8305"/>
    <cellStyle name="40% - Accent6 2 3 3 6" xfId="4399"/>
    <cellStyle name="40% - Accent6 2 3 3 6 2" xfId="8863"/>
    <cellStyle name="40% - Accent6 2 3 3 7" xfId="6069"/>
    <cellStyle name="40% - Accent6 2 3 3 7 2" xfId="10533"/>
    <cellStyle name="40% - Accent6 2 3 3 8" xfId="6635"/>
    <cellStyle name="40% - Accent6 2 3 3 8 2" xfId="11090"/>
    <cellStyle name="40% - Accent6 2 3 3 9" xfId="7192"/>
    <cellStyle name="40% - Accent6 2 3 4" xfId="2265"/>
    <cellStyle name="40% - Accent6 2 3 4 2" xfId="3246"/>
    <cellStyle name="40% - Accent6 2 3 4 2 2" xfId="5515"/>
    <cellStyle name="40% - Accent6 2 3 4 2 2 2" xfId="9979"/>
    <cellStyle name="40% - Accent6 2 3 4 2 3" xfId="7751"/>
    <cellStyle name="40% - Accent6 2 3 4 3" xfId="3829"/>
    <cellStyle name="40% - Accent6 2 3 4 3 2" xfId="4959"/>
    <cellStyle name="40% - Accent6 2 3 4 3 2 2" xfId="9423"/>
    <cellStyle name="40% - Accent6 2 3 4 3 3" xfId="8308"/>
    <cellStyle name="40% - Accent6 2 3 4 4" xfId="4402"/>
    <cellStyle name="40% - Accent6 2 3 4 4 2" xfId="8866"/>
    <cellStyle name="40% - Accent6 2 3 4 5" xfId="6072"/>
    <cellStyle name="40% - Accent6 2 3 4 5 2" xfId="10536"/>
    <cellStyle name="40% - Accent6 2 3 4 6" xfId="6638"/>
    <cellStyle name="40% - Accent6 2 3 4 6 2" xfId="11093"/>
    <cellStyle name="40% - Accent6 2 3 4 7" xfId="7195"/>
    <cellStyle name="40% - Accent6 2 3 5" xfId="2266"/>
    <cellStyle name="40% - Accent6 2 3 5 2" xfId="3247"/>
    <cellStyle name="40% - Accent6 2 3 5 2 2" xfId="5516"/>
    <cellStyle name="40% - Accent6 2 3 5 2 2 2" xfId="9980"/>
    <cellStyle name="40% - Accent6 2 3 5 2 3" xfId="7752"/>
    <cellStyle name="40% - Accent6 2 3 5 3" xfId="3830"/>
    <cellStyle name="40% - Accent6 2 3 5 3 2" xfId="4960"/>
    <cellStyle name="40% - Accent6 2 3 5 3 2 2" xfId="9424"/>
    <cellStyle name="40% - Accent6 2 3 5 3 3" xfId="8309"/>
    <cellStyle name="40% - Accent6 2 3 5 4" xfId="4403"/>
    <cellStyle name="40% - Accent6 2 3 5 4 2" xfId="8867"/>
    <cellStyle name="40% - Accent6 2 3 5 5" xfId="6073"/>
    <cellStyle name="40% - Accent6 2 3 5 5 2" xfId="10537"/>
    <cellStyle name="40% - Accent6 2 3 5 6" xfId="6639"/>
    <cellStyle name="40% - Accent6 2 3 5 6 2" xfId="11094"/>
    <cellStyle name="40% - Accent6 2 3 5 7" xfId="7196"/>
    <cellStyle name="40% - Accent6 2 3 6" xfId="11975"/>
    <cellStyle name="40% - Accent6 2 3 7" xfId="1311"/>
    <cellStyle name="40% - Accent6 2 4" xfId="1312"/>
    <cellStyle name="40% - Accent6 2 4 2" xfId="2267"/>
    <cellStyle name="40% - Accent6 2 4 2 2" xfId="2268"/>
    <cellStyle name="40% - Accent6 2 4 2 2 2" xfId="3249"/>
    <cellStyle name="40% - Accent6 2 4 2 2 2 2" xfId="5518"/>
    <cellStyle name="40% - Accent6 2 4 2 2 2 2 2" xfId="9982"/>
    <cellStyle name="40% - Accent6 2 4 2 2 2 3" xfId="7754"/>
    <cellStyle name="40% - Accent6 2 4 2 2 3" xfId="3832"/>
    <cellStyle name="40% - Accent6 2 4 2 2 3 2" xfId="4962"/>
    <cellStyle name="40% - Accent6 2 4 2 2 3 2 2" xfId="9426"/>
    <cellStyle name="40% - Accent6 2 4 2 2 3 3" xfId="8311"/>
    <cellStyle name="40% - Accent6 2 4 2 2 4" xfId="4405"/>
    <cellStyle name="40% - Accent6 2 4 2 2 4 2" xfId="8869"/>
    <cellStyle name="40% - Accent6 2 4 2 2 5" xfId="6075"/>
    <cellStyle name="40% - Accent6 2 4 2 2 5 2" xfId="10539"/>
    <cellStyle name="40% - Accent6 2 4 2 2 6" xfId="6641"/>
    <cellStyle name="40% - Accent6 2 4 2 2 6 2" xfId="11096"/>
    <cellStyle name="40% - Accent6 2 4 2 2 7" xfId="7198"/>
    <cellStyle name="40% - Accent6 2 4 2 3" xfId="2269"/>
    <cellStyle name="40% - Accent6 2 4 2 3 2" xfId="3250"/>
    <cellStyle name="40% - Accent6 2 4 2 3 2 2" xfId="5519"/>
    <cellStyle name="40% - Accent6 2 4 2 3 2 2 2" xfId="9983"/>
    <cellStyle name="40% - Accent6 2 4 2 3 2 3" xfId="7755"/>
    <cellStyle name="40% - Accent6 2 4 2 3 3" xfId="3833"/>
    <cellStyle name="40% - Accent6 2 4 2 3 3 2" xfId="4963"/>
    <cellStyle name="40% - Accent6 2 4 2 3 3 2 2" xfId="9427"/>
    <cellStyle name="40% - Accent6 2 4 2 3 3 3" xfId="8312"/>
    <cellStyle name="40% - Accent6 2 4 2 3 4" xfId="4406"/>
    <cellStyle name="40% - Accent6 2 4 2 3 4 2" xfId="8870"/>
    <cellStyle name="40% - Accent6 2 4 2 3 5" xfId="6076"/>
    <cellStyle name="40% - Accent6 2 4 2 3 5 2" xfId="10540"/>
    <cellStyle name="40% - Accent6 2 4 2 3 6" xfId="6642"/>
    <cellStyle name="40% - Accent6 2 4 2 3 6 2" xfId="11097"/>
    <cellStyle name="40% - Accent6 2 4 2 3 7" xfId="7199"/>
    <cellStyle name="40% - Accent6 2 4 2 4" xfId="3248"/>
    <cellStyle name="40% - Accent6 2 4 2 4 2" xfId="5517"/>
    <cellStyle name="40% - Accent6 2 4 2 4 2 2" xfId="9981"/>
    <cellStyle name="40% - Accent6 2 4 2 4 3" xfId="7753"/>
    <cellStyle name="40% - Accent6 2 4 2 5" xfId="3831"/>
    <cellStyle name="40% - Accent6 2 4 2 5 2" xfId="4961"/>
    <cellStyle name="40% - Accent6 2 4 2 5 2 2" xfId="9425"/>
    <cellStyle name="40% - Accent6 2 4 2 5 3" xfId="8310"/>
    <cellStyle name="40% - Accent6 2 4 2 6" xfId="4404"/>
    <cellStyle name="40% - Accent6 2 4 2 6 2" xfId="8868"/>
    <cellStyle name="40% - Accent6 2 4 2 7" xfId="6074"/>
    <cellStyle name="40% - Accent6 2 4 2 7 2" xfId="10538"/>
    <cellStyle name="40% - Accent6 2 4 2 8" xfId="6640"/>
    <cellStyle name="40% - Accent6 2 4 2 8 2" xfId="11095"/>
    <cellStyle name="40% - Accent6 2 4 2 9" xfId="7197"/>
    <cellStyle name="40% - Accent6 2 4 3" xfId="2270"/>
    <cellStyle name="40% - Accent6 2 4 3 2" xfId="2271"/>
    <cellStyle name="40% - Accent6 2 4 3 2 2" xfId="3252"/>
    <cellStyle name="40% - Accent6 2 4 3 2 2 2" xfId="5521"/>
    <cellStyle name="40% - Accent6 2 4 3 2 2 2 2" xfId="9985"/>
    <cellStyle name="40% - Accent6 2 4 3 2 2 3" xfId="7757"/>
    <cellStyle name="40% - Accent6 2 4 3 2 3" xfId="3835"/>
    <cellStyle name="40% - Accent6 2 4 3 2 3 2" xfId="4965"/>
    <cellStyle name="40% - Accent6 2 4 3 2 3 2 2" xfId="9429"/>
    <cellStyle name="40% - Accent6 2 4 3 2 3 3" xfId="8314"/>
    <cellStyle name="40% - Accent6 2 4 3 2 4" xfId="4408"/>
    <cellStyle name="40% - Accent6 2 4 3 2 4 2" xfId="8872"/>
    <cellStyle name="40% - Accent6 2 4 3 2 5" xfId="6078"/>
    <cellStyle name="40% - Accent6 2 4 3 2 5 2" xfId="10542"/>
    <cellStyle name="40% - Accent6 2 4 3 2 6" xfId="6644"/>
    <cellStyle name="40% - Accent6 2 4 3 2 6 2" xfId="11099"/>
    <cellStyle name="40% - Accent6 2 4 3 2 7" xfId="7201"/>
    <cellStyle name="40% - Accent6 2 4 3 3" xfId="2272"/>
    <cellStyle name="40% - Accent6 2 4 3 3 2" xfId="3253"/>
    <cellStyle name="40% - Accent6 2 4 3 3 2 2" xfId="5522"/>
    <cellStyle name="40% - Accent6 2 4 3 3 2 2 2" xfId="9986"/>
    <cellStyle name="40% - Accent6 2 4 3 3 2 3" xfId="7758"/>
    <cellStyle name="40% - Accent6 2 4 3 3 3" xfId="3836"/>
    <cellStyle name="40% - Accent6 2 4 3 3 3 2" xfId="4966"/>
    <cellStyle name="40% - Accent6 2 4 3 3 3 2 2" xfId="9430"/>
    <cellStyle name="40% - Accent6 2 4 3 3 3 3" xfId="8315"/>
    <cellStyle name="40% - Accent6 2 4 3 3 4" xfId="4409"/>
    <cellStyle name="40% - Accent6 2 4 3 3 4 2" xfId="8873"/>
    <cellStyle name="40% - Accent6 2 4 3 3 5" xfId="6079"/>
    <cellStyle name="40% - Accent6 2 4 3 3 5 2" xfId="10543"/>
    <cellStyle name="40% - Accent6 2 4 3 3 6" xfId="6645"/>
    <cellStyle name="40% - Accent6 2 4 3 3 6 2" xfId="11100"/>
    <cellStyle name="40% - Accent6 2 4 3 3 7" xfId="7202"/>
    <cellStyle name="40% - Accent6 2 4 3 4" xfId="3251"/>
    <cellStyle name="40% - Accent6 2 4 3 4 2" xfId="5520"/>
    <cellStyle name="40% - Accent6 2 4 3 4 2 2" xfId="9984"/>
    <cellStyle name="40% - Accent6 2 4 3 4 3" xfId="7756"/>
    <cellStyle name="40% - Accent6 2 4 3 5" xfId="3834"/>
    <cellStyle name="40% - Accent6 2 4 3 5 2" xfId="4964"/>
    <cellStyle name="40% - Accent6 2 4 3 5 2 2" xfId="9428"/>
    <cellStyle name="40% - Accent6 2 4 3 5 3" xfId="8313"/>
    <cellStyle name="40% - Accent6 2 4 3 6" xfId="4407"/>
    <cellStyle name="40% - Accent6 2 4 3 6 2" xfId="8871"/>
    <cellStyle name="40% - Accent6 2 4 3 7" xfId="6077"/>
    <cellStyle name="40% - Accent6 2 4 3 7 2" xfId="10541"/>
    <cellStyle name="40% - Accent6 2 4 3 8" xfId="6643"/>
    <cellStyle name="40% - Accent6 2 4 3 8 2" xfId="11098"/>
    <cellStyle name="40% - Accent6 2 4 3 9" xfId="7200"/>
    <cellStyle name="40% - Accent6 2 4 4" xfId="2273"/>
    <cellStyle name="40% - Accent6 2 4 4 2" xfId="3254"/>
    <cellStyle name="40% - Accent6 2 4 4 2 2" xfId="5523"/>
    <cellStyle name="40% - Accent6 2 4 4 2 2 2" xfId="9987"/>
    <cellStyle name="40% - Accent6 2 4 4 2 3" xfId="7759"/>
    <cellStyle name="40% - Accent6 2 4 4 3" xfId="3837"/>
    <cellStyle name="40% - Accent6 2 4 4 3 2" xfId="4967"/>
    <cellStyle name="40% - Accent6 2 4 4 3 2 2" xfId="9431"/>
    <cellStyle name="40% - Accent6 2 4 4 3 3" xfId="8316"/>
    <cellStyle name="40% - Accent6 2 4 4 4" xfId="4410"/>
    <cellStyle name="40% - Accent6 2 4 4 4 2" xfId="8874"/>
    <cellStyle name="40% - Accent6 2 4 4 5" xfId="6080"/>
    <cellStyle name="40% - Accent6 2 4 4 5 2" xfId="10544"/>
    <cellStyle name="40% - Accent6 2 4 4 6" xfId="6646"/>
    <cellStyle name="40% - Accent6 2 4 4 6 2" xfId="11101"/>
    <cellStyle name="40% - Accent6 2 4 4 7" xfId="7203"/>
    <cellStyle name="40% - Accent6 2 4 5" xfId="2274"/>
    <cellStyle name="40% - Accent6 2 4 5 2" xfId="3255"/>
    <cellStyle name="40% - Accent6 2 4 5 2 2" xfId="5524"/>
    <cellStyle name="40% - Accent6 2 4 5 2 2 2" xfId="9988"/>
    <cellStyle name="40% - Accent6 2 4 5 2 3" xfId="7760"/>
    <cellStyle name="40% - Accent6 2 4 5 3" xfId="3838"/>
    <cellStyle name="40% - Accent6 2 4 5 3 2" xfId="4968"/>
    <cellStyle name="40% - Accent6 2 4 5 3 2 2" xfId="9432"/>
    <cellStyle name="40% - Accent6 2 4 5 3 3" xfId="8317"/>
    <cellStyle name="40% - Accent6 2 4 5 4" xfId="4411"/>
    <cellStyle name="40% - Accent6 2 4 5 4 2" xfId="8875"/>
    <cellStyle name="40% - Accent6 2 4 5 5" xfId="6081"/>
    <cellStyle name="40% - Accent6 2 4 5 5 2" xfId="10545"/>
    <cellStyle name="40% - Accent6 2 4 5 6" xfId="6647"/>
    <cellStyle name="40% - Accent6 2 4 5 6 2" xfId="11102"/>
    <cellStyle name="40% - Accent6 2 4 5 7" xfId="7204"/>
    <cellStyle name="40% - Accent6 2 5" xfId="1313"/>
    <cellStyle name="40% - Accent6 2 5 2" xfId="2275"/>
    <cellStyle name="40% - Accent6 2 5 2 2" xfId="2276"/>
    <cellStyle name="40% - Accent6 2 5 2 2 2" xfId="3257"/>
    <cellStyle name="40% - Accent6 2 5 2 2 2 2" xfId="5526"/>
    <cellStyle name="40% - Accent6 2 5 2 2 2 2 2" xfId="9990"/>
    <cellStyle name="40% - Accent6 2 5 2 2 2 3" xfId="7762"/>
    <cellStyle name="40% - Accent6 2 5 2 2 3" xfId="3840"/>
    <cellStyle name="40% - Accent6 2 5 2 2 3 2" xfId="4970"/>
    <cellStyle name="40% - Accent6 2 5 2 2 3 2 2" xfId="9434"/>
    <cellStyle name="40% - Accent6 2 5 2 2 3 3" xfId="8319"/>
    <cellStyle name="40% - Accent6 2 5 2 2 4" xfId="4413"/>
    <cellStyle name="40% - Accent6 2 5 2 2 4 2" xfId="8877"/>
    <cellStyle name="40% - Accent6 2 5 2 2 5" xfId="6083"/>
    <cellStyle name="40% - Accent6 2 5 2 2 5 2" xfId="10547"/>
    <cellStyle name="40% - Accent6 2 5 2 2 6" xfId="6649"/>
    <cellStyle name="40% - Accent6 2 5 2 2 6 2" xfId="11104"/>
    <cellStyle name="40% - Accent6 2 5 2 2 7" xfId="7206"/>
    <cellStyle name="40% - Accent6 2 5 2 3" xfId="2277"/>
    <cellStyle name="40% - Accent6 2 5 2 3 2" xfId="3258"/>
    <cellStyle name="40% - Accent6 2 5 2 3 2 2" xfId="5527"/>
    <cellStyle name="40% - Accent6 2 5 2 3 2 2 2" xfId="9991"/>
    <cellStyle name="40% - Accent6 2 5 2 3 2 3" xfId="7763"/>
    <cellStyle name="40% - Accent6 2 5 2 3 3" xfId="3841"/>
    <cellStyle name="40% - Accent6 2 5 2 3 3 2" xfId="4971"/>
    <cellStyle name="40% - Accent6 2 5 2 3 3 2 2" xfId="9435"/>
    <cellStyle name="40% - Accent6 2 5 2 3 3 3" xfId="8320"/>
    <cellStyle name="40% - Accent6 2 5 2 3 4" xfId="4414"/>
    <cellStyle name="40% - Accent6 2 5 2 3 4 2" xfId="8878"/>
    <cellStyle name="40% - Accent6 2 5 2 3 5" xfId="6084"/>
    <cellStyle name="40% - Accent6 2 5 2 3 5 2" xfId="10548"/>
    <cellStyle name="40% - Accent6 2 5 2 3 6" xfId="6650"/>
    <cellStyle name="40% - Accent6 2 5 2 3 6 2" xfId="11105"/>
    <cellStyle name="40% - Accent6 2 5 2 3 7" xfId="7207"/>
    <cellStyle name="40% - Accent6 2 5 2 4" xfId="3256"/>
    <cellStyle name="40% - Accent6 2 5 2 4 2" xfId="5525"/>
    <cellStyle name="40% - Accent6 2 5 2 4 2 2" xfId="9989"/>
    <cellStyle name="40% - Accent6 2 5 2 4 3" xfId="7761"/>
    <cellStyle name="40% - Accent6 2 5 2 5" xfId="3839"/>
    <cellStyle name="40% - Accent6 2 5 2 5 2" xfId="4969"/>
    <cellStyle name="40% - Accent6 2 5 2 5 2 2" xfId="9433"/>
    <cellStyle name="40% - Accent6 2 5 2 5 3" xfId="8318"/>
    <cellStyle name="40% - Accent6 2 5 2 6" xfId="4412"/>
    <cellStyle name="40% - Accent6 2 5 2 6 2" xfId="8876"/>
    <cellStyle name="40% - Accent6 2 5 2 7" xfId="6082"/>
    <cellStyle name="40% - Accent6 2 5 2 7 2" xfId="10546"/>
    <cellStyle name="40% - Accent6 2 5 2 8" xfId="6648"/>
    <cellStyle name="40% - Accent6 2 5 2 8 2" xfId="11103"/>
    <cellStyle name="40% - Accent6 2 5 2 9" xfId="7205"/>
    <cellStyle name="40% - Accent6 2 5 3" xfId="2278"/>
    <cellStyle name="40% - Accent6 2 5 3 2" xfId="3259"/>
    <cellStyle name="40% - Accent6 2 5 3 2 2" xfId="5528"/>
    <cellStyle name="40% - Accent6 2 5 3 2 2 2" xfId="9992"/>
    <cellStyle name="40% - Accent6 2 5 3 2 3" xfId="7764"/>
    <cellStyle name="40% - Accent6 2 5 3 3" xfId="3842"/>
    <cellStyle name="40% - Accent6 2 5 3 3 2" xfId="4972"/>
    <cellStyle name="40% - Accent6 2 5 3 3 2 2" xfId="9436"/>
    <cellStyle name="40% - Accent6 2 5 3 3 3" xfId="8321"/>
    <cellStyle name="40% - Accent6 2 5 3 4" xfId="4415"/>
    <cellStyle name="40% - Accent6 2 5 3 4 2" xfId="8879"/>
    <cellStyle name="40% - Accent6 2 5 3 5" xfId="6085"/>
    <cellStyle name="40% - Accent6 2 5 3 5 2" xfId="10549"/>
    <cellStyle name="40% - Accent6 2 5 3 6" xfId="6651"/>
    <cellStyle name="40% - Accent6 2 5 3 6 2" xfId="11106"/>
    <cellStyle name="40% - Accent6 2 5 3 7" xfId="7208"/>
    <cellStyle name="40% - Accent6 2 5 4" xfId="2279"/>
    <cellStyle name="40% - Accent6 2 5 4 2" xfId="3260"/>
    <cellStyle name="40% - Accent6 2 5 4 2 2" xfId="5529"/>
    <cellStyle name="40% - Accent6 2 5 4 2 2 2" xfId="9993"/>
    <cellStyle name="40% - Accent6 2 5 4 2 3" xfId="7765"/>
    <cellStyle name="40% - Accent6 2 5 4 3" xfId="3843"/>
    <cellStyle name="40% - Accent6 2 5 4 3 2" xfId="4973"/>
    <cellStyle name="40% - Accent6 2 5 4 3 2 2" xfId="9437"/>
    <cellStyle name="40% - Accent6 2 5 4 3 3" xfId="8322"/>
    <cellStyle name="40% - Accent6 2 5 4 4" xfId="4416"/>
    <cellStyle name="40% - Accent6 2 5 4 4 2" xfId="8880"/>
    <cellStyle name="40% - Accent6 2 5 4 5" xfId="6086"/>
    <cellStyle name="40% - Accent6 2 5 4 5 2" xfId="10550"/>
    <cellStyle name="40% - Accent6 2 5 4 6" xfId="6652"/>
    <cellStyle name="40% - Accent6 2 5 4 6 2" xfId="11107"/>
    <cellStyle name="40% - Accent6 2 5 4 7" xfId="7209"/>
    <cellStyle name="40% - Accent6 2 6" xfId="1314"/>
    <cellStyle name="40% - Accent6 2 6 2" xfId="2280"/>
    <cellStyle name="40% - Accent6 2 6 2 2" xfId="3261"/>
    <cellStyle name="40% - Accent6 2 6 2 2 2" xfId="5530"/>
    <cellStyle name="40% - Accent6 2 6 2 2 2 2" xfId="9994"/>
    <cellStyle name="40% - Accent6 2 6 2 2 3" xfId="7766"/>
    <cellStyle name="40% - Accent6 2 6 2 3" xfId="3844"/>
    <cellStyle name="40% - Accent6 2 6 2 3 2" xfId="4974"/>
    <cellStyle name="40% - Accent6 2 6 2 3 2 2" xfId="9438"/>
    <cellStyle name="40% - Accent6 2 6 2 3 3" xfId="8323"/>
    <cellStyle name="40% - Accent6 2 6 2 4" xfId="4417"/>
    <cellStyle name="40% - Accent6 2 6 2 4 2" xfId="8881"/>
    <cellStyle name="40% - Accent6 2 6 2 5" xfId="6087"/>
    <cellStyle name="40% - Accent6 2 6 2 5 2" xfId="10551"/>
    <cellStyle name="40% - Accent6 2 6 2 6" xfId="6653"/>
    <cellStyle name="40% - Accent6 2 6 2 6 2" xfId="11108"/>
    <cellStyle name="40% - Accent6 2 6 2 7" xfId="7210"/>
    <cellStyle name="40% - Accent6 2 6 3" xfId="2281"/>
    <cellStyle name="40% - Accent6 2 6 3 2" xfId="3262"/>
    <cellStyle name="40% - Accent6 2 6 3 2 2" xfId="5531"/>
    <cellStyle name="40% - Accent6 2 6 3 2 2 2" xfId="9995"/>
    <cellStyle name="40% - Accent6 2 6 3 2 3" xfId="7767"/>
    <cellStyle name="40% - Accent6 2 6 3 3" xfId="3845"/>
    <cellStyle name="40% - Accent6 2 6 3 3 2" xfId="4975"/>
    <cellStyle name="40% - Accent6 2 6 3 3 2 2" xfId="9439"/>
    <cellStyle name="40% - Accent6 2 6 3 3 3" xfId="8324"/>
    <cellStyle name="40% - Accent6 2 6 3 4" xfId="4418"/>
    <cellStyle name="40% - Accent6 2 6 3 4 2" xfId="8882"/>
    <cellStyle name="40% - Accent6 2 6 3 5" xfId="6088"/>
    <cellStyle name="40% - Accent6 2 6 3 5 2" xfId="10552"/>
    <cellStyle name="40% - Accent6 2 6 3 6" xfId="6654"/>
    <cellStyle name="40% - Accent6 2 6 3 6 2" xfId="11109"/>
    <cellStyle name="40% - Accent6 2 6 3 7" xfId="7211"/>
    <cellStyle name="40% - Accent6 2 7" xfId="1742"/>
    <cellStyle name="40% - Accent6 2 7 2" xfId="2904"/>
    <cellStyle name="40% - Accent6 2 7 2 2" xfId="5173"/>
    <cellStyle name="40% - Accent6 2 7 2 2 2" xfId="9637"/>
    <cellStyle name="40% - Accent6 2 7 2 3" xfId="7409"/>
    <cellStyle name="40% - Accent6 2 7 3" xfId="3487"/>
    <cellStyle name="40% - Accent6 2 7 3 2" xfId="4617"/>
    <cellStyle name="40% - Accent6 2 7 3 2 2" xfId="9081"/>
    <cellStyle name="40% - Accent6 2 7 3 3" xfId="7966"/>
    <cellStyle name="40% - Accent6 2 7 4" xfId="4060"/>
    <cellStyle name="40% - Accent6 2 7 4 2" xfId="8524"/>
    <cellStyle name="40% - Accent6 2 7 5" xfId="5730"/>
    <cellStyle name="40% - Accent6 2 7 5 2" xfId="10194"/>
    <cellStyle name="40% - Accent6 2 7 6" xfId="6296"/>
    <cellStyle name="40% - Accent6 2 7 6 2" xfId="10751"/>
    <cellStyle name="40% - Accent6 2 7 7" xfId="6853"/>
    <cellStyle name="40% - Accent6 2 8" xfId="1846"/>
    <cellStyle name="40% - Accent6 2 8 2" xfId="2918"/>
    <cellStyle name="40% - Accent6 2 8 2 2" xfId="5187"/>
    <cellStyle name="40% - Accent6 2 8 2 2 2" xfId="9651"/>
    <cellStyle name="40% - Accent6 2 8 2 3" xfId="7423"/>
    <cellStyle name="40% - Accent6 2 8 3" xfId="3501"/>
    <cellStyle name="40% - Accent6 2 8 3 2" xfId="4631"/>
    <cellStyle name="40% - Accent6 2 8 3 2 2" xfId="9095"/>
    <cellStyle name="40% - Accent6 2 8 3 3" xfId="7980"/>
    <cellStyle name="40% - Accent6 2 8 4" xfId="4074"/>
    <cellStyle name="40% - Accent6 2 8 4 2" xfId="8538"/>
    <cellStyle name="40% - Accent6 2 8 5" xfId="5744"/>
    <cellStyle name="40% - Accent6 2 8 5 2" xfId="10208"/>
    <cellStyle name="40% - Accent6 2 8 6" xfId="6310"/>
    <cellStyle name="40% - Accent6 2 8 6 2" xfId="10765"/>
    <cellStyle name="40% - Accent6 2 8 7" xfId="6867"/>
    <cellStyle name="40% - Accent6 2 9" xfId="2282"/>
    <cellStyle name="40% - Accent6 20" xfId="1090"/>
    <cellStyle name="40% - Accent6 20 2" xfId="11961"/>
    <cellStyle name="40% - Accent6 21" xfId="11844"/>
    <cellStyle name="40% - Accent6 3" xfId="162"/>
    <cellStyle name="40% - Accent6 3 2" xfId="2283"/>
    <cellStyle name="40% - Accent6 3 3" xfId="2615"/>
    <cellStyle name="40% - Accent6 3 4" xfId="11415"/>
    <cellStyle name="40% - Accent6 3 5" xfId="1315"/>
    <cellStyle name="40% - Accent6 4" xfId="163"/>
    <cellStyle name="40% - Accent6 4 2" xfId="2781"/>
    <cellStyle name="40% - Accent6 4 3" xfId="11416"/>
    <cellStyle name="40% - Accent6 4 4" xfId="1316"/>
    <cellStyle name="40% - Accent6 5" xfId="164"/>
    <cellStyle name="40% - Accent6 5 2" xfId="11417"/>
    <cellStyle name="40% - Accent6 5 3" xfId="1673"/>
    <cellStyle name="40% - Accent6 6" xfId="165"/>
    <cellStyle name="40% - Accent6 6 2" xfId="11418"/>
    <cellStyle name="40% - Accent6 6 3" xfId="1845"/>
    <cellStyle name="40% - Accent6 7" xfId="166"/>
    <cellStyle name="40% - Accent6 8" xfId="167"/>
    <cellStyle name="40% - Accent6 9" xfId="168"/>
    <cellStyle name="60% - Accent1" xfId="943" builtinId="32" customBuiltin="1"/>
    <cellStyle name="60% - Accent1 10" xfId="169"/>
    <cellStyle name="60% - Accent1 11" xfId="170"/>
    <cellStyle name="60% - Accent1 12" xfId="171"/>
    <cellStyle name="60% - Accent1 13" xfId="172"/>
    <cellStyle name="60% - Accent1 14" xfId="173"/>
    <cellStyle name="60% - Accent1 15" xfId="174"/>
    <cellStyle name="60% - Accent1 16" xfId="682"/>
    <cellStyle name="60% - Accent1 2" xfId="175"/>
    <cellStyle name="60% - Accent1 2 2" xfId="719"/>
    <cellStyle name="60% - Accent1 2 2 2" xfId="1756"/>
    <cellStyle name="60% - Accent1 2 2 3" xfId="1318"/>
    <cellStyle name="60% - Accent1 2 2 4" xfId="11676"/>
    <cellStyle name="60% - Accent1 2 2 5" xfId="1183"/>
    <cellStyle name="60% - Accent1 2 3" xfId="1319"/>
    <cellStyle name="60% - Accent1 2 3 2" xfId="2667"/>
    <cellStyle name="60% - Accent1 2 4" xfId="1723"/>
    <cellStyle name="60% - Accent1 2 5" xfId="1848"/>
    <cellStyle name="60% - Accent1 2 6" xfId="2866"/>
    <cellStyle name="60% - Accent1 2 7" xfId="1317"/>
    <cellStyle name="60% - Accent1 2 8" xfId="11419"/>
    <cellStyle name="60% - Accent1 3" xfId="176"/>
    <cellStyle name="60% - Accent1 3 2" xfId="2284"/>
    <cellStyle name="60% - Accent1 3 3" xfId="2616"/>
    <cellStyle name="60% - Accent1 3 4" xfId="11420"/>
    <cellStyle name="60% - Accent1 3 5" xfId="1320"/>
    <cellStyle name="60% - Accent1 4" xfId="177"/>
    <cellStyle name="60% - Accent1 4 2" xfId="2782"/>
    <cellStyle name="60% - Accent1 4 3" xfId="11421"/>
    <cellStyle name="60% - Accent1 4 4" xfId="1321"/>
    <cellStyle name="60% - Accent1 5" xfId="178"/>
    <cellStyle name="60% - Accent1 5 2" xfId="11422"/>
    <cellStyle name="60% - Accent1 5 3" xfId="1674"/>
    <cellStyle name="60% - Accent1 6" xfId="179"/>
    <cellStyle name="60% - Accent1 6 2" xfId="11423"/>
    <cellStyle name="60% - Accent1 6 3" xfId="1847"/>
    <cellStyle name="60% - Accent1 7" xfId="180"/>
    <cellStyle name="60% - Accent1 8" xfId="181"/>
    <cellStyle name="60% - Accent1 9" xfId="182"/>
    <cellStyle name="60% - Accent2" xfId="947" builtinId="36" customBuiltin="1"/>
    <cellStyle name="60% - Accent2 10" xfId="183"/>
    <cellStyle name="60% - Accent2 11" xfId="184"/>
    <cellStyle name="60% - Accent2 12" xfId="185"/>
    <cellStyle name="60% - Accent2 13" xfId="186"/>
    <cellStyle name="60% - Accent2 14" xfId="187"/>
    <cellStyle name="60% - Accent2 15" xfId="188"/>
    <cellStyle name="60% - Accent2 16" xfId="683"/>
    <cellStyle name="60% - Accent2 2" xfId="189"/>
    <cellStyle name="60% - Accent2 2 2" xfId="723"/>
    <cellStyle name="60% - Accent2 2 2 2" xfId="1757"/>
    <cellStyle name="60% - Accent2 2 2 3" xfId="1323"/>
    <cellStyle name="60% - Accent2 2 2 4" xfId="11680"/>
    <cellStyle name="60% - Accent2 2 2 5" xfId="1185"/>
    <cellStyle name="60% - Accent2 2 3" xfId="1324"/>
    <cellStyle name="60% - Accent2 2 3 2" xfId="2669"/>
    <cellStyle name="60% - Accent2 2 4" xfId="1727"/>
    <cellStyle name="60% - Accent2 2 5" xfId="1850"/>
    <cellStyle name="60% - Accent2 2 6" xfId="2867"/>
    <cellStyle name="60% - Accent2 2 7" xfId="1322"/>
    <cellStyle name="60% - Accent2 2 8" xfId="11424"/>
    <cellStyle name="60% - Accent2 3" xfId="190"/>
    <cellStyle name="60% - Accent2 3 2" xfId="2285"/>
    <cellStyle name="60% - Accent2 3 3" xfId="2617"/>
    <cellStyle name="60% - Accent2 3 4" xfId="11425"/>
    <cellStyle name="60% - Accent2 3 5" xfId="1325"/>
    <cellStyle name="60% - Accent2 4" xfId="191"/>
    <cellStyle name="60% - Accent2 4 2" xfId="2783"/>
    <cellStyle name="60% - Accent2 4 3" xfId="11426"/>
    <cellStyle name="60% - Accent2 4 4" xfId="1326"/>
    <cellStyle name="60% - Accent2 5" xfId="192"/>
    <cellStyle name="60% - Accent2 5 2" xfId="11427"/>
    <cellStyle name="60% - Accent2 5 3" xfId="1675"/>
    <cellStyle name="60% - Accent2 6" xfId="193"/>
    <cellStyle name="60% - Accent2 6 2" xfId="11428"/>
    <cellStyle name="60% - Accent2 6 3" xfId="1849"/>
    <cellStyle name="60% - Accent2 7" xfId="194"/>
    <cellStyle name="60% - Accent2 8" xfId="195"/>
    <cellStyle name="60% - Accent2 9" xfId="196"/>
    <cellStyle name="60% - Accent3" xfId="951" builtinId="40" customBuiltin="1"/>
    <cellStyle name="60% - Accent3 10" xfId="197"/>
    <cellStyle name="60% - Accent3 11" xfId="198"/>
    <cellStyle name="60% - Accent3 12" xfId="199"/>
    <cellStyle name="60% - Accent3 13" xfId="200"/>
    <cellStyle name="60% - Accent3 14" xfId="201"/>
    <cellStyle name="60% - Accent3 15" xfId="202"/>
    <cellStyle name="60% - Accent3 16" xfId="684"/>
    <cellStyle name="60% - Accent3 2" xfId="203"/>
    <cellStyle name="60% - Accent3 2 2" xfId="727"/>
    <cellStyle name="60% - Accent3 2 2 2" xfId="1758"/>
    <cellStyle name="60% - Accent3 2 2 3" xfId="1328"/>
    <cellStyle name="60% - Accent3 2 2 4" xfId="11684"/>
    <cellStyle name="60% - Accent3 2 2 5" xfId="1187"/>
    <cellStyle name="60% - Accent3 2 3" xfId="1329"/>
    <cellStyle name="60% - Accent3 2 3 2" xfId="2671"/>
    <cellStyle name="60% - Accent3 2 4" xfId="1731"/>
    <cellStyle name="60% - Accent3 2 5" xfId="1852"/>
    <cellStyle name="60% - Accent3 2 6" xfId="2583"/>
    <cellStyle name="60% - Accent3 2 7" xfId="2868"/>
    <cellStyle name="60% - Accent3 2 8" xfId="1327"/>
    <cellStyle name="60% - Accent3 2 9" xfId="11429"/>
    <cellStyle name="60% - Accent3 3" xfId="204"/>
    <cellStyle name="60% - Accent3 3 2" xfId="2286"/>
    <cellStyle name="60% - Accent3 3 3" xfId="2618"/>
    <cellStyle name="60% - Accent3 3 4" xfId="11430"/>
    <cellStyle name="60% - Accent3 3 5" xfId="1330"/>
    <cellStyle name="60% - Accent3 4" xfId="205"/>
    <cellStyle name="60% - Accent3 4 2" xfId="2784"/>
    <cellStyle name="60% - Accent3 4 3" xfId="11431"/>
    <cellStyle name="60% - Accent3 4 4" xfId="1331"/>
    <cellStyle name="60% - Accent3 5" xfId="206"/>
    <cellStyle name="60% - Accent3 5 2" xfId="11432"/>
    <cellStyle name="60% - Accent3 5 3" xfId="1676"/>
    <cellStyle name="60% - Accent3 6" xfId="207"/>
    <cellStyle name="60% - Accent3 6 2" xfId="11433"/>
    <cellStyle name="60% - Accent3 6 3" xfId="1851"/>
    <cellStyle name="60% - Accent3 7" xfId="208"/>
    <cellStyle name="60% - Accent3 8" xfId="209"/>
    <cellStyle name="60% - Accent3 9" xfId="210"/>
    <cellStyle name="60% - Accent4" xfId="955" builtinId="44" customBuiltin="1"/>
    <cellStyle name="60% - Accent4 10" xfId="211"/>
    <cellStyle name="60% - Accent4 11" xfId="212"/>
    <cellStyle name="60% - Accent4 12" xfId="213"/>
    <cellStyle name="60% - Accent4 13" xfId="214"/>
    <cellStyle name="60% - Accent4 14" xfId="215"/>
    <cellStyle name="60% - Accent4 15" xfId="216"/>
    <cellStyle name="60% - Accent4 16" xfId="685"/>
    <cellStyle name="60% - Accent4 2" xfId="217"/>
    <cellStyle name="60% - Accent4 2 2" xfId="731"/>
    <cellStyle name="60% - Accent4 2 2 2" xfId="1759"/>
    <cellStyle name="60% - Accent4 2 2 3" xfId="1333"/>
    <cellStyle name="60% - Accent4 2 2 4" xfId="11688"/>
    <cellStyle name="60% - Accent4 2 2 5" xfId="1189"/>
    <cellStyle name="60% - Accent4 2 3" xfId="1334"/>
    <cellStyle name="60% - Accent4 2 3 2" xfId="2673"/>
    <cellStyle name="60% - Accent4 2 4" xfId="1735"/>
    <cellStyle name="60% - Accent4 2 5" xfId="1854"/>
    <cellStyle name="60% - Accent4 2 6" xfId="2584"/>
    <cellStyle name="60% - Accent4 2 7" xfId="2869"/>
    <cellStyle name="60% - Accent4 2 8" xfId="1332"/>
    <cellStyle name="60% - Accent4 2 9" xfId="11434"/>
    <cellStyle name="60% - Accent4 3" xfId="218"/>
    <cellStyle name="60% - Accent4 3 2" xfId="2287"/>
    <cellStyle name="60% - Accent4 3 3" xfId="2619"/>
    <cellStyle name="60% - Accent4 3 4" xfId="11435"/>
    <cellStyle name="60% - Accent4 3 5" xfId="1335"/>
    <cellStyle name="60% - Accent4 4" xfId="219"/>
    <cellStyle name="60% - Accent4 4 2" xfId="2785"/>
    <cellStyle name="60% - Accent4 4 3" xfId="11436"/>
    <cellStyle name="60% - Accent4 4 4" xfId="1336"/>
    <cellStyle name="60% - Accent4 5" xfId="220"/>
    <cellStyle name="60% - Accent4 5 2" xfId="11437"/>
    <cellStyle name="60% - Accent4 5 3" xfId="1677"/>
    <cellStyle name="60% - Accent4 6" xfId="221"/>
    <cellStyle name="60% - Accent4 6 2" xfId="11438"/>
    <cellStyle name="60% - Accent4 6 3" xfId="1853"/>
    <cellStyle name="60% - Accent4 7" xfId="222"/>
    <cellStyle name="60% - Accent4 8" xfId="223"/>
    <cellStyle name="60% - Accent4 9" xfId="224"/>
    <cellStyle name="60% - Accent5" xfId="959" builtinId="48" customBuiltin="1"/>
    <cellStyle name="60% - Accent5 10" xfId="225"/>
    <cellStyle name="60% - Accent5 11" xfId="226"/>
    <cellStyle name="60% - Accent5 12" xfId="227"/>
    <cellStyle name="60% - Accent5 13" xfId="228"/>
    <cellStyle name="60% - Accent5 14" xfId="229"/>
    <cellStyle name="60% - Accent5 15" xfId="230"/>
    <cellStyle name="60% - Accent5 16" xfId="686"/>
    <cellStyle name="60% - Accent5 2" xfId="231"/>
    <cellStyle name="60% - Accent5 2 2" xfId="735"/>
    <cellStyle name="60% - Accent5 2 2 2" xfId="1760"/>
    <cellStyle name="60% - Accent5 2 2 3" xfId="1338"/>
    <cellStyle name="60% - Accent5 2 2 4" xfId="11692"/>
    <cellStyle name="60% - Accent5 2 2 5" xfId="1191"/>
    <cellStyle name="60% - Accent5 2 3" xfId="1339"/>
    <cellStyle name="60% - Accent5 2 3 2" xfId="2675"/>
    <cellStyle name="60% - Accent5 2 4" xfId="1739"/>
    <cellStyle name="60% - Accent5 2 5" xfId="1856"/>
    <cellStyle name="60% - Accent5 2 6" xfId="2870"/>
    <cellStyle name="60% - Accent5 2 7" xfId="1337"/>
    <cellStyle name="60% - Accent5 2 8" xfId="11439"/>
    <cellStyle name="60% - Accent5 3" xfId="232"/>
    <cellStyle name="60% - Accent5 3 2" xfId="2288"/>
    <cellStyle name="60% - Accent5 3 3" xfId="2620"/>
    <cellStyle name="60% - Accent5 3 4" xfId="11440"/>
    <cellStyle name="60% - Accent5 3 5" xfId="1340"/>
    <cellStyle name="60% - Accent5 4" xfId="233"/>
    <cellStyle name="60% - Accent5 4 2" xfId="2786"/>
    <cellStyle name="60% - Accent5 4 3" xfId="11441"/>
    <cellStyle name="60% - Accent5 4 4" xfId="1341"/>
    <cellStyle name="60% - Accent5 5" xfId="234"/>
    <cellStyle name="60% - Accent5 5 2" xfId="11442"/>
    <cellStyle name="60% - Accent5 5 3" xfId="1678"/>
    <cellStyle name="60% - Accent5 6" xfId="235"/>
    <cellStyle name="60% - Accent5 6 2" xfId="11443"/>
    <cellStyle name="60% - Accent5 6 3" xfId="1855"/>
    <cellStyle name="60% - Accent5 7" xfId="236"/>
    <cellStyle name="60% - Accent5 8" xfId="237"/>
    <cellStyle name="60% - Accent5 9" xfId="238"/>
    <cellStyle name="60% - Accent6" xfId="963" builtinId="52" customBuiltin="1"/>
    <cellStyle name="60% - Accent6 10" xfId="239"/>
    <cellStyle name="60% - Accent6 11" xfId="240"/>
    <cellStyle name="60% - Accent6 12" xfId="241"/>
    <cellStyle name="60% - Accent6 13" xfId="242"/>
    <cellStyle name="60% - Accent6 14" xfId="243"/>
    <cellStyle name="60% - Accent6 15" xfId="244"/>
    <cellStyle name="60% - Accent6 16" xfId="687"/>
    <cellStyle name="60% - Accent6 2" xfId="245"/>
    <cellStyle name="60% - Accent6 2 2" xfId="739"/>
    <cellStyle name="60% - Accent6 2 2 2" xfId="1761"/>
    <cellStyle name="60% - Accent6 2 2 3" xfId="1343"/>
    <cellStyle name="60% - Accent6 2 2 4" xfId="11696"/>
    <cellStyle name="60% - Accent6 2 2 5" xfId="1193"/>
    <cellStyle name="60% - Accent6 2 3" xfId="1344"/>
    <cellStyle name="60% - Accent6 2 3 2" xfId="2677"/>
    <cellStyle name="60% - Accent6 2 4" xfId="1743"/>
    <cellStyle name="60% - Accent6 2 5" xfId="1858"/>
    <cellStyle name="60% - Accent6 2 6" xfId="2871"/>
    <cellStyle name="60% - Accent6 2 7" xfId="1342"/>
    <cellStyle name="60% - Accent6 2 8" xfId="11444"/>
    <cellStyle name="60% - Accent6 3" xfId="246"/>
    <cellStyle name="60% - Accent6 3 2" xfId="2289"/>
    <cellStyle name="60% - Accent6 3 3" xfId="2621"/>
    <cellStyle name="60% - Accent6 3 4" xfId="11445"/>
    <cellStyle name="60% - Accent6 3 5" xfId="1345"/>
    <cellStyle name="60% - Accent6 4" xfId="247"/>
    <cellStyle name="60% - Accent6 4 2" xfId="2787"/>
    <cellStyle name="60% - Accent6 4 3" xfId="11446"/>
    <cellStyle name="60% - Accent6 4 4" xfId="1346"/>
    <cellStyle name="60% - Accent6 5" xfId="248"/>
    <cellStyle name="60% - Accent6 5 2" xfId="11447"/>
    <cellStyle name="60% - Accent6 5 3" xfId="1679"/>
    <cellStyle name="60% - Accent6 6" xfId="249"/>
    <cellStyle name="60% - Accent6 6 2" xfId="11448"/>
    <cellStyle name="60% - Accent6 6 3" xfId="1857"/>
    <cellStyle name="60% - Accent6 7" xfId="250"/>
    <cellStyle name="60% - Accent6 8" xfId="251"/>
    <cellStyle name="60% - Accent6 9" xfId="252"/>
    <cellStyle name="Accent1" xfId="940" builtinId="29" customBuiltin="1"/>
    <cellStyle name="Accent1 10" xfId="253"/>
    <cellStyle name="Accent1 11" xfId="254"/>
    <cellStyle name="Accent1 12" xfId="255"/>
    <cellStyle name="Accent1 13" xfId="256"/>
    <cellStyle name="Accent1 14" xfId="257"/>
    <cellStyle name="Accent1 15" xfId="258"/>
    <cellStyle name="Accent1 16" xfId="688"/>
    <cellStyle name="Accent1 2" xfId="259"/>
    <cellStyle name="Accent1 2 2" xfId="716"/>
    <cellStyle name="Accent1 2 2 2" xfId="1762"/>
    <cellStyle name="Accent1 2 2 3" xfId="1348"/>
    <cellStyle name="Accent1 2 2 4" xfId="11673"/>
    <cellStyle name="Accent1 2 2 5" xfId="1195"/>
    <cellStyle name="Accent1 2 3" xfId="1349"/>
    <cellStyle name="Accent1 2 3 2" xfId="2666"/>
    <cellStyle name="Accent1 2 4" xfId="1720"/>
    <cellStyle name="Accent1 2 5" xfId="1860"/>
    <cellStyle name="Accent1 2 6" xfId="2585"/>
    <cellStyle name="Accent1 2 7" xfId="2872"/>
    <cellStyle name="Accent1 2 8" xfId="1347"/>
    <cellStyle name="Accent1 2 9" xfId="11449"/>
    <cellStyle name="Accent1 3" xfId="260"/>
    <cellStyle name="Accent1 3 2" xfId="2290"/>
    <cellStyle name="Accent1 3 3" xfId="2622"/>
    <cellStyle name="Accent1 3 4" xfId="11450"/>
    <cellStyle name="Accent1 3 5" xfId="1350"/>
    <cellStyle name="Accent1 4" xfId="261"/>
    <cellStyle name="Accent1 4 2" xfId="2788"/>
    <cellStyle name="Accent1 4 3" xfId="11451"/>
    <cellStyle name="Accent1 4 4" xfId="1351"/>
    <cellStyle name="Accent1 5" xfId="262"/>
    <cellStyle name="Accent1 5 2" xfId="11452"/>
    <cellStyle name="Accent1 5 3" xfId="1680"/>
    <cellStyle name="Accent1 6" xfId="263"/>
    <cellStyle name="Accent1 6 2" xfId="11453"/>
    <cellStyle name="Accent1 6 3" xfId="1859"/>
    <cellStyle name="Accent1 7" xfId="264"/>
    <cellStyle name="Accent1 8" xfId="265"/>
    <cellStyle name="Accent1 9" xfId="266"/>
    <cellStyle name="Accent2" xfId="944" builtinId="33" customBuiltin="1"/>
    <cellStyle name="Accent2 10" xfId="267"/>
    <cellStyle name="Accent2 11" xfId="268"/>
    <cellStyle name="Accent2 12" xfId="269"/>
    <cellStyle name="Accent2 13" xfId="270"/>
    <cellStyle name="Accent2 14" xfId="271"/>
    <cellStyle name="Accent2 15" xfId="272"/>
    <cellStyle name="Accent2 16" xfId="689"/>
    <cellStyle name="Accent2 2" xfId="273"/>
    <cellStyle name="Accent2 2 2" xfId="720"/>
    <cellStyle name="Accent2 2 2 2" xfId="1763"/>
    <cellStyle name="Accent2 2 2 3" xfId="1353"/>
    <cellStyle name="Accent2 2 2 4" xfId="11677"/>
    <cellStyle name="Accent2 2 2 5" xfId="1197"/>
    <cellStyle name="Accent2 2 3" xfId="1354"/>
    <cellStyle name="Accent2 2 3 2" xfId="2668"/>
    <cellStyle name="Accent2 2 4" xfId="1724"/>
    <cellStyle name="Accent2 2 5" xfId="1862"/>
    <cellStyle name="Accent2 2 6" xfId="2586"/>
    <cellStyle name="Accent2 2 7" xfId="2873"/>
    <cellStyle name="Accent2 2 8" xfId="1352"/>
    <cellStyle name="Accent2 2 9" xfId="11454"/>
    <cellStyle name="Accent2 3" xfId="274"/>
    <cellStyle name="Accent2 3 2" xfId="2291"/>
    <cellStyle name="Accent2 3 3" xfId="2623"/>
    <cellStyle name="Accent2 3 4" xfId="11455"/>
    <cellStyle name="Accent2 3 5" xfId="1355"/>
    <cellStyle name="Accent2 4" xfId="275"/>
    <cellStyle name="Accent2 4 2" xfId="2789"/>
    <cellStyle name="Accent2 4 3" xfId="11456"/>
    <cellStyle name="Accent2 4 4" xfId="1356"/>
    <cellStyle name="Accent2 5" xfId="276"/>
    <cellStyle name="Accent2 5 2" xfId="11457"/>
    <cellStyle name="Accent2 5 3" xfId="1681"/>
    <cellStyle name="Accent2 6" xfId="277"/>
    <cellStyle name="Accent2 6 2" xfId="11458"/>
    <cellStyle name="Accent2 6 3" xfId="1861"/>
    <cellStyle name="Accent2 7" xfId="278"/>
    <cellStyle name="Accent2 8" xfId="279"/>
    <cellStyle name="Accent2 9" xfId="280"/>
    <cellStyle name="Accent3" xfId="948" builtinId="37" customBuiltin="1"/>
    <cellStyle name="Accent3 10" xfId="281"/>
    <cellStyle name="Accent3 11" xfId="282"/>
    <cellStyle name="Accent3 12" xfId="283"/>
    <cellStyle name="Accent3 13" xfId="284"/>
    <cellStyle name="Accent3 14" xfId="285"/>
    <cellStyle name="Accent3 15" xfId="286"/>
    <cellStyle name="Accent3 16" xfId="690"/>
    <cellStyle name="Accent3 2" xfId="287"/>
    <cellStyle name="Accent3 2 2" xfId="724"/>
    <cellStyle name="Accent3 2 2 2" xfId="1764"/>
    <cellStyle name="Accent3 2 2 3" xfId="1358"/>
    <cellStyle name="Accent3 2 2 4" xfId="11681"/>
    <cellStyle name="Accent3 2 2 5" xfId="1199"/>
    <cellStyle name="Accent3 2 3" xfId="1359"/>
    <cellStyle name="Accent3 2 3 2" xfId="2670"/>
    <cellStyle name="Accent3 2 4" xfId="1728"/>
    <cellStyle name="Accent3 2 5" xfId="1864"/>
    <cellStyle name="Accent3 2 6" xfId="2587"/>
    <cellStyle name="Accent3 2 7" xfId="2874"/>
    <cellStyle name="Accent3 2 8" xfId="1357"/>
    <cellStyle name="Accent3 2 9" xfId="11459"/>
    <cellStyle name="Accent3 3" xfId="288"/>
    <cellStyle name="Accent3 3 2" xfId="2292"/>
    <cellStyle name="Accent3 3 3" xfId="2624"/>
    <cellStyle name="Accent3 3 4" xfId="11460"/>
    <cellStyle name="Accent3 3 5" xfId="1360"/>
    <cellStyle name="Accent3 4" xfId="289"/>
    <cellStyle name="Accent3 4 2" xfId="2790"/>
    <cellStyle name="Accent3 4 3" xfId="11461"/>
    <cellStyle name="Accent3 4 4" xfId="1361"/>
    <cellStyle name="Accent3 5" xfId="290"/>
    <cellStyle name="Accent3 5 2" xfId="11462"/>
    <cellStyle name="Accent3 5 3" xfId="1682"/>
    <cellStyle name="Accent3 6" xfId="291"/>
    <cellStyle name="Accent3 6 2" xfId="11463"/>
    <cellStyle name="Accent3 6 3" xfId="1863"/>
    <cellStyle name="Accent3 7" xfId="292"/>
    <cellStyle name="Accent3 8" xfId="293"/>
    <cellStyle name="Accent3 9" xfId="294"/>
    <cellStyle name="Accent4" xfId="952" builtinId="41" customBuiltin="1"/>
    <cellStyle name="Accent4 10" xfId="295"/>
    <cellStyle name="Accent4 11" xfId="296"/>
    <cellStyle name="Accent4 12" xfId="297"/>
    <cellStyle name="Accent4 13" xfId="298"/>
    <cellStyle name="Accent4 14" xfId="299"/>
    <cellStyle name="Accent4 15" xfId="300"/>
    <cellStyle name="Accent4 16" xfId="796"/>
    <cellStyle name="Accent4 2" xfId="301"/>
    <cellStyle name="Accent4 2 2" xfId="728"/>
    <cellStyle name="Accent4 2 2 2" xfId="1765"/>
    <cellStyle name="Accent4 2 2 3" xfId="1363"/>
    <cellStyle name="Accent4 2 2 4" xfId="11685"/>
    <cellStyle name="Accent4 2 2 5" xfId="1201"/>
    <cellStyle name="Accent4 2 3" xfId="1364"/>
    <cellStyle name="Accent4 2 3 2" xfId="2672"/>
    <cellStyle name="Accent4 2 4" xfId="1732"/>
    <cellStyle name="Accent4 2 5" xfId="1866"/>
    <cellStyle name="Accent4 2 6" xfId="2588"/>
    <cellStyle name="Accent4 2 7" xfId="2875"/>
    <cellStyle name="Accent4 2 8" xfId="1362"/>
    <cellStyle name="Accent4 2 9" xfId="11464"/>
    <cellStyle name="Accent4 3" xfId="302"/>
    <cellStyle name="Accent4 3 2" xfId="2293"/>
    <cellStyle name="Accent4 3 3" xfId="2625"/>
    <cellStyle name="Accent4 3 4" xfId="11465"/>
    <cellStyle name="Accent4 3 5" xfId="1365"/>
    <cellStyle name="Accent4 4" xfId="303"/>
    <cellStyle name="Accent4 4 2" xfId="2791"/>
    <cellStyle name="Accent4 4 3" xfId="11466"/>
    <cellStyle name="Accent4 4 4" xfId="1366"/>
    <cellStyle name="Accent4 5" xfId="304"/>
    <cellStyle name="Accent4 5 2" xfId="11467"/>
    <cellStyle name="Accent4 5 3" xfId="1683"/>
    <cellStyle name="Accent4 6" xfId="305"/>
    <cellStyle name="Accent4 6 2" xfId="11468"/>
    <cellStyle name="Accent4 6 3" xfId="1865"/>
    <cellStyle name="Accent4 7" xfId="306"/>
    <cellStyle name="Accent4 8" xfId="307"/>
    <cellStyle name="Accent4 9" xfId="308"/>
    <cellStyle name="Accent5" xfId="956" builtinId="45" customBuiltin="1"/>
    <cellStyle name="Accent5 10" xfId="309"/>
    <cellStyle name="Accent5 11" xfId="310"/>
    <cellStyle name="Accent5 12" xfId="311"/>
    <cellStyle name="Accent5 13" xfId="312"/>
    <cellStyle name="Accent5 14" xfId="313"/>
    <cellStyle name="Accent5 15" xfId="314"/>
    <cellStyle name="Accent5 16" xfId="791"/>
    <cellStyle name="Accent5 2" xfId="315"/>
    <cellStyle name="Accent5 2 2" xfId="732"/>
    <cellStyle name="Accent5 2 2 2" xfId="1766"/>
    <cellStyle name="Accent5 2 2 3" xfId="1368"/>
    <cellStyle name="Accent5 2 2 4" xfId="11689"/>
    <cellStyle name="Accent5 2 2 5" xfId="1203"/>
    <cellStyle name="Accent5 2 3" xfId="1369"/>
    <cellStyle name="Accent5 2 3 2" xfId="2674"/>
    <cellStyle name="Accent5 2 4" xfId="1736"/>
    <cellStyle name="Accent5 2 5" xfId="1868"/>
    <cellStyle name="Accent5 2 6" xfId="2876"/>
    <cellStyle name="Accent5 2 7" xfId="1367"/>
    <cellStyle name="Accent5 2 8" xfId="11469"/>
    <cellStyle name="Accent5 3" xfId="316"/>
    <cellStyle name="Accent5 3 2" xfId="2294"/>
    <cellStyle name="Accent5 3 3" xfId="2626"/>
    <cellStyle name="Accent5 3 4" xfId="11470"/>
    <cellStyle name="Accent5 3 5" xfId="1370"/>
    <cellStyle name="Accent5 4" xfId="317"/>
    <cellStyle name="Accent5 4 2" xfId="2792"/>
    <cellStyle name="Accent5 4 3" xfId="11471"/>
    <cellStyle name="Accent5 4 4" xfId="1371"/>
    <cellStyle name="Accent5 5" xfId="318"/>
    <cellStyle name="Accent5 5 2" xfId="11472"/>
    <cellStyle name="Accent5 5 3" xfId="1684"/>
    <cellStyle name="Accent5 6" xfId="319"/>
    <cellStyle name="Accent5 6 2" xfId="11473"/>
    <cellStyle name="Accent5 6 3" xfId="1867"/>
    <cellStyle name="Accent5 7" xfId="320"/>
    <cellStyle name="Accent5 8" xfId="321"/>
    <cellStyle name="Accent5 9" xfId="322"/>
    <cellStyle name="Accent6" xfId="960" builtinId="49" customBuiltin="1"/>
    <cellStyle name="Accent6 10" xfId="323"/>
    <cellStyle name="Accent6 11" xfId="324"/>
    <cellStyle name="Accent6 12" xfId="325"/>
    <cellStyle name="Accent6 13" xfId="326"/>
    <cellStyle name="Accent6 14" xfId="327"/>
    <cellStyle name="Accent6 15" xfId="328"/>
    <cellStyle name="Accent6 16" xfId="795"/>
    <cellStyle name="Accent6 2" xfId="329"/>
    <cellStyle name="Accent6 2 2" xfId="736"/>
    <cellStyle name="Accent6 2 2 2" xfId="1767"/>
    <cellStyle name="Accent6 2 2 3" xfId="1373"/>
    <cellStyle name="Accent6 2 2 4" xfId="11693"/>
    <cellStyle name="Accent6 2 2 5" xfId="1205"/>
    <cellStyle name="Accent6 2 3" xfId="1374"/>
    <cellStyle name="Accent6 2 3 2" xfId="2676"/>
    <cellStyle name="Accent6 2 4" xfId="1740"/>
    <cellStyle name="Accent6 2 5" xfId="1870"/>
    <cellStyle name="Accent6 2 6" xfId="2589"/>
    <cellStyle name="Accent6 2 7" xfId="2877"/>
    <cellStyle name="Accent6 2 8" xfId="1372"/>
    <cellStyle name="Accent6 2 9" xfId="11474"/>
    <cellStyle name="Accent6 3" xfId="330"/>
    <cellStyle name="Accent6 3 2" xfId="2295"/>
    <cellStyle name="Accent6 3 3" xfId="2627"/>
    <cellStyle name="Accent6 3 4" xfId="11475"/>
    <cellStyle name="Accent6 3 5" xfId="1375"/>
    <cellStyle name="Accent6 4" xfId="331"/>
    <cellStyle name="Accent6 4 2" xfId="2793"/>
    <cellStyle name="Accent6 4 3" xfId="11476"/>
    <cellStyle name="Accent6 4 4" xfId="1376"/>
    <cellStyle name="Accent6 5" xfId="332"/>
    <cellStyle name="Accent6 5 2" xfId="11477"/>
    <cellStyle name="Accent6 5 3" xfId="1685"/>
    <cellStyle name="Accent6 6" xfId="333"/>
    <cellStyle name="Accent6 6 2" xfId="11478"/>
    <cellStyle name="Accent6 6 3" xfId="1869"/>
    <cellStyle name="Accent6 7" xfId="334"/>
    <cellStyle name="Accent6 8" xfId="335"/>
    <cellStyle name="Accent6 9" xfId="336"/>
    <cellStyle name="Bad" xfId="930" builtinId="27" customBuiltin="1"/>
    <cellStyle name="Bad 10" xfId="337"/>
    <cellStyle name="Bad 11" xfId="338"/>
    <cellStyle name="Bad 12" xfId="339"/>
    <cellStyle name="Bad 13" xfId="340"/>
    <cellStyle name="Bad 14" xfId="341"/>
    <cellStyle name="Bad 15" xfId="342"/>
    <cellStyle name="Bad 16" xfId="780"/>
    <cellStyle name="Bad 2" xfId="343"/>
    <cellStyle name="Bad 2 2" xfId="705"/>
    <cellStyle name="Bad 2 2 2" xfId="1768"/>
    <cellStyle name="Bad 2 2 3" xfId="1378"/>
    <cellStyle name="Bad 2 2 4" xfId="11662"/>
    <cellStyle name="Bad 2 2 5" xfId="1207"/>
    <cellStyle name="Bad 2 3" xfId="1379"/>
    <cellStyle name="Bad 2 3 2" xfId="2656"/>
    <cellStyle name="Bad 2 4" xfId="1709"/>
    <cellStyle name="Bad 2 5" xfId="1872"/>
    <cellStyle name="Bad 2 6" xfId="2590"/>
    <cellStyle name="Bad 2 7" xfId="1377"/>
    <cellStyle name="Bad 2 8" xfId="11479"/>
    <cellStyle name="Bad 3" xfId="344"/>
    <cellStyle name="Bad 3 2" xfId="2296"/>
    <cellStyle name="Bad 3 3" xfId="2628"/>
    <cellStyle name="Bad 3 4" xfId="11480"/>
    <cellStyle name="Bad 3 5" xfId="1380"/>
    <cellStyle name="Bad 4" xfId="345"/>
    <cellStyle name="Bad 4 2" xfId="2794"/>
    <cellStyle name="Bad 4 3" xfId="11481"/>
    <cellStyle name="Bad 4 4" xfId="1381"/>
    <cellStyle name="Bad 5" xfId="346"/>
    <cellStyle name="Bad 5 2" xfId="11482"/>
    <cellStyle name="Bad 5 3" xfId="1686"/>
    <cellStyle name="Bad 6" xfId="347"/>
    <cellStyle name="Bad 6 2" xfId="11483"/>
    <cellStyle name="Bad 6 3" xfId="1871"/>
    <cellStyle name="Bad 7" xfId="348"/>
    <cellStyle name="Bad 8" xfId="349"/>
    <cellStyle name="Bad 9" xfId="350"/>
    <cellStyle name="Calculation" xfId="934" builtinId="22" customBuiltin="1"/>
    <cellStyle name="Calculation 10" xfId="351"/>
    <cellStyle name="Calculation 11" xfId="352"/>
    <cellStyle name="Calculation 12" xfId="353"/>
    <cellStyle name="Calculation 13" xfId="354"/>
    <cellStyle name="Calculation 14" xfId="355"/>
    <cellStyle name="Calculation 15" xfId="356"/>
    <cellStyle name="Calculation 16" xfId="691"/>
    <cellStyle name="Calculation 2" xfId="357"/>
    <cellStyle name="Calculation 2 2" xfId="709"/>
    <cellStyle name="Calculation 2 2 2" xfId="1769"/>
    <cellStyle name="Calculation 2 2 3" xfId="1383"/>
    <cellStyle name="Calculation 2 2 4" xfId="11666"/>
    <cellStyle name="Calculation 2 2 5" xfId="1209"/>
    <cellStyle name="Calculation 2 3" xfId="1384"/>
    <cellStyle name="Calculation 2 3 2" xfId="2660"/>
    <cellStyle name="Calculation 2 3 3" xfId="2881"/>
    <cellStyle name="Calculation 2 3 4" xfId="3464"/>
    <cellStyle name="Calculation 2 4" xfId="1713"/>
    <cellStyle name="Calculation 2 5" xfId="1874"/>
    <cellStyle name="Calculation 2 6" xfId="2591"/>
    <cellStyle name="Calculation 2 7" xfId="1382"/>
    <cellStyle name="Calculation 2 8" xfId="11484"/>
    <cellStyle name="Calculation 3" xfId="358"/>
    <cellStyle name="Calculation 3 2" xfId="2297"/>
    <cellStyle name="Calculation 3 3" xfId="2629"/>
    <cellStyle name="Calculation 3 4" xfId="11485"/>
    <cellStyle name="Calculation 3 5" xfId="1385"/>
    <cellStyle name="Calculation 4" xfId="359"/>
    <cellStyle name="Calculation 4 2" xfId="2795"/>
    <cellStyle name="Calculation 4 3" xfId="11486"/>
    <cellStyle name="Calculation 4 4" xfId="1386"/>
    <cellStyle name="Calculation 5" xfId="360"/>
    <cellStyle name="Calculation 5 2" xfId="11487"/>
    <cellStyle name="Calculation 5 3" xfId="1687"/>
    <cellStyle name="Calculation 6" xfId="361"/>
    <cellStyle name="Calculation 6 2" xfId="11488"/>
    <cellStyle name="Calculation 6 3" xfId="1873"/>
    <cellStyle name="Calculation 7" xfId="362"/>
    <cellStyle name="Calculation 8" xfId="363"/>
    <cellStyle name="Calculation 9" xfId="364"/>
    <cellStyle name="Check Cell" xfId="936" builtinId="23" customBuiltin="1"/>
    <cellStyle name="Check Cell 10" xfId="365"/>
    <cellStyle name="Check Cell 11" xfId="366"/>
    <cellStyle name="Check Cell 12" xfId="367"/>
    <cellStyle name="Check Cell 13" xfId="368"/>
    <cellStyle name="Check Cell 14" xfId="369"/>
    <cellStyle name="Check Cell 15" xfId="370"/>
    <cellStyle name="Check Cell 16" xfId="776"/>
    <cellStyle name="Check Cell 2" xfId="371"/>
    <cellStyle name="Check Cell 2 2" xfId="711"/>
    <cellStyle name="Check Cell 2 2 2" xfId="1770"/>
    <cellStyle name="Check Cell 2 2 3" xfId="1388"/>
    <cellStyle name="Check Cell 2 2 4" xfId="11668"/>
    <cellStyle name="Check Cell 2 2 5" xfId="1211"/>
    <cellStyle name="Check Cell 2 3" xfId="1389"/>
    <cellStyle name="Check Cell 2 3 2" xfId="2662"/>
    <cellStyle name="Check Cell 2 4" xfId="1715"/>
    <cellStyle name="Check Cell 2 5" xfId="1876"/>
    <cellStyle name="Check Cell 2 6" xfId="2592"/>
    <cellStyle name="Check Cell 2 7" xfId="1387"/>
    <cellStyle name="Check Cell 2 8" xfId="11489"/>
    <cellStyle name="Check Cell 3" xfId="372"/>
    <cellStyle name="Check Cell 3 2" xfId="2298"/>
    <cellStyle name="Check Cell 3 3" xfId="2630"/>
    <cellStyle name="Check Cell 3 4" xfId="11490"/>
    <cellStyle name="Check Cell 3 5" xfId="1390"/>
    <cellStyle name="Check Cell 4" xfId="373"/>
    <cellStyle name="Check Cell 4 2" xfId="2796"/>
    <cellStyle name="Check Cell 4 3" xfId="11491"/>
    <cellStyle name="Check Cell 4 4" xfId="1391"/>
    <cellStyle name="Check Cell 5" xfId="374"/>
    <cellStyle name="Check Cell 5 2" xfId="11492"/>
    <cellStyle name="Check Cell 5 3" xfId="1688"/>
    <cellStyle name="Check Cell 6" xfId="375"/>
    <cellStyle name="Check Cell 6 2" xfId="11493"/>
    <cellStyle name="Check Cell 6 3" xfId="1875"/>
    <cellStyle name="Check Cell 7" xfId="376"/>
    <cellStyle name="Check Cell 8" xfId="377"/>
    <cellStyle name="Check Cell 9" xfId="378"/>
    <cellStyle name="Comma" xfId="379" builtinId="3"/>
    <cellStyle name="Comma 10" xfId="975"/>
    <cellStyle name="Comma 10 2" xfId="2887"/>
    <cellStyle name="Comma 10 2 2" xfId="5156"/>
    <cellStyle name="Comma 10 2 2 2" xfId="9620"/>
    <cellStyle name="Comma 10 2 3" xfId="7392"/>
    <cellStyle name="Comma 10 3" xfId="3470"/>
    <cellStyle name="Comma 10 3 2" xfId="4600"/>
    <cellStyle name="Comma 10 3 2 2" xfId="9064"/>
    <cellStyle name="Comma 10 3 3" xfId="7949"/>
    <cellStyle name="Comma 10 4" xfId="4043"/>
    <cellStyle name="Comma 10 4 2" xfId="8507"/>
    <cellStyle name="Comma 10 5" xfId="5713"/>
    <cellStyle name="Comma 10 5 2" xfId="10177"/>
    <cellStyle name="Comma 10 6" xfId="6279"/>
    <cellStyle name="Comma 10 6 2" xfId="10734"/>
    <cellStyle name="Comma 10 7" xfId="6836"/>
    <cellStyle name="Comma 10 8" xfId="11852"/>
    <cellStyle name="Comma 10 9" xfId="1643"/>
    <cellStyle name="Comma 11" xfId="1060"/>
    <cellStyle name="Comma 11 2" xfId="2938"/>
    <cellStyle name="Comma 11 2 2" xfId="5207"/>
    <cellStyle name="Comma 11 2 2 2" xfId="9671"/>
    <cellStyle name="Comma 11 2 3" xfId="7443"/>
    <cellStyle name="Comma 11 3" xfId="3521"/>
    <cellStyle name="Comma 11 3 2" xfId="4651"/>
    <cellStyle name="Comma 11 3 2 2" xfId="9115"/>
    <cellStyle name="Comma 11 3 3" xfId="8000"/>
    <cellStyle name="Comma 11 4" xfId="4094"/>
    <cellStyle name="Comma 11 4 2" xfId="8558"/>
    <cellStyle name="Comma 11 5" xfId="5764"/>
    <cellStyle name="Comma 11 5 2" xfId="10228"/>
    <cellStyle name="Comma 11 6" xfId="6330"/>
    <cellStyle name="Comma 11 6 2" xfId="10785"/>
    <cellStyle name="Comma 11 7" xfId="6887"/>
    <cellStyle name="Comma 11 8" xfId="11931"/>
    <cellStyle name="Comma 11 9" xfId="1935"/>
    <cellStyle name="Comma 12" xfId="1077"/>
    <cellStyle name="Comma 12 2" xfId="4033"/>
    <cellStyle name="Comma 12 3" xfId="6268"/>
    <cellStyle name="Comma 12 4" xfId="11948"/>
    <cellStyle name="Comma 12 5" xfId="3448"/>
    <cellStyle name="Comma 13" xfId="11291"/>
    <cellStyle name="Comma 14" xfId="1392"/>
    <cellStyle name="Comma 15" xfId="11494"/>
    <cellStyle name="Comma 2" xfId="596"/>
    <cellStyle name="Comma 2 10" xfId="11316"/>
    <cellStyle name="Comma 2 11" xfId="11346"/>
    <cellStyle name="Comma 2 12" xfId="1393"/>
    <cellStyle name="Comma 2 13" xfId="1142"/>
    <cellStyle name="Comma 2 2" xfId="597"/>
    <cellStyle name="Comma 2 2 2" xfId="595"/>
    <cellStyle name="Comma 2 2 2 2" xfId="11591"/>
    <cellStyle name="Comma 2 2 2 3" xfId="1773"/>
    <cellStyle name="Comma 2 2 3" xfId="3449"/>
    <cellStyle name="Comma 2 2 4" xfId="1394"/>
    <cellStyle name="Comma 2 2 5" xfId="11592"/>
    <cellStyle name="Comma 2 2 6" xfId="1213"/>
    <cellStyle name="Comma 2 3" xfId="635"/>
    <cellStyle name="Comma 2 3 2" xfId="2515"/>
    <cellStyle name="Comma 2 3 2 2" xfId="3404"/>
    <cellStyle name="Comma 2 3 2 2 2" xfId="5672"/>
    <cellStyle name="Comma 2 3 2 2 2 2" xfId="10136"/>
    <cellStyle name="Comma 2 3 2 2 3" xfId="7908"/>
    <cellStyle name="Comma 2 3 2 3" xfId="3987"/>
    <cellStyle name="Comma 2 3 2 3 2" xfId="5116"/>
    <cellStyle name="Comma 2 3 2 3 2 2" xfId="9580"/>
    <cellStyle name="Comma 2 3 2 3 3" xfId="8465"/>
    <cellStyle name="Comma 2 3 2 4" xfId="4559"/>
    <cellStyle name="Comma 2 3 2 4 2" xfId="9023"/>
    <cellStyle name="Comma 2 3 2 5" xfId="6229"/>
    <cellStyle name="Comma 2 3 2 5 2" xfId="10693"/>
    <cellStyle name="Comma 2 3 2 6" xfId="6795"/>
    <cellStyle name="Comma 2 3 2 6 2" xfId="11250"/>
    <cellStyle name="Comma 2 3 2 7" xfId="7352"/>
    <cellStyle name="Comma 2 3 3" xfId="2680"/>
    <cellStyle name="Comma 2 3 4" xfId="11621"/>
    <cellStyle name="Comma 2 3 5" xfId="1395"/>
    <cellStyle name="Comma 2 4" xfId="741"/>
    <cellStyle name="Comma 2 4 2" xfId="2705"/>
    <cellStyle name="Comma 2 4 2 2" xfId="3428"/>
    <cellStyle name="Comma 2 4 2 2 2" xfId="5696"/>
    <cellStyle name="Comma 2 4 2 2 2 2" xfId="10160"/>
    <cellStyle name="Comma 2 4 2 2 3" xfId="7932"/>
    <cellStyle name="Comma 2 4 2 3" xfId="4011"/>
    <cellStyle name="Comma 2 4 2 3 2" xfId="5140"/>
    <cellStyle name="Comma 2 4 2 3 2 2" xfId="9604"/>
    <cellStyle name="Comma 2 4 2 3 3" xfId="8489"/>
    <cellStyle name="Comma 2 4 2 4" xfId="4583"/>
    <cellStyle name="Comma 2 4 2 4 2" xfId="9047"/>
    <cellStyle name="Comma 2 4 2 5" xfId="6253"/>
    <cellStyle name="Comma 2 4 2 5 2" xfId="10717"/>
    <cellStyle name="Comma 2 4 2 6" xfId="6819"/>
    <cellStyle name="Comma 2 4 2 6 2" xfId="11274"/>
    <cellStyle name="Comma 2 4 2 7" xfId="7376"/>
    <cellStyle name="Comma 2 4 3" xfId="11698"/>
    <cellStyle name="Comma 2 4 4" xfId="1396"/>
    <cellStyle name="Comma 2 5" xfId="1112"/>
    <cellStyle name="Comma 2 5 2" xfId="2768"/>
    <cellStyle name="Comma 2 5 3" xfId="11977"/>
    <cellStyle name="Comma 2 5 4" xfId="1397"/>
    <cellStyle name="Comma 2 6" xfId="1398"/>
    <cellStyle name="Comma 2 6 2" xfId="2808"/>
    <cellStyle name="Comma 2 7" xfId="1657"/>
    <cellStyle name="Comma 2 7 2" xfId="2891"/>
    <cellStyle name="Comma 2 7 2 2" xfId="5160"/>
    <cellStyle name="Comma 2 7 2 2 2" xfId="9624"/>
    <cellStyle name="Comma 2 7 2 3" xfId="7396"/>
    <cellStyle name="Comma 2 7 3" xfId="3474"/>
    <cellStyle name="Comma 2 7 3 2" xfId="4604"/>
    <cellStyle name="Comma 2 7 3 2 2" xfId="9068"/>
    <cellStyle name="Comma 2 7 3 3" xfId="7953"/>
    <cellStyle name="Comma 2 7 4" xfId="4047"/>
    <cellStyle name="Comma 2 7 4 2" xfId="8511"/>
    <cellStyle name="Comma 2 7 5" xfId="5717"/>
    <cellStyle name="Comma 2 7 5 2" xfId="10181"/>
    <cellStyle name="Comma 2 7 6" xfId="6283"/>
    <cellStyle name="Comma 2 7 6 2" xfId="10738"/>
    <cellStyle name="Comma 2 7 7" xfId="6840"/>
    <cellStyle name="Comma 2 8" xfId="1772"/>
    <cellStyle name="Comma 2 9" xfId="1877"/>
    <cellStyle name="Comma 2 9 2" xfId="2919"/>
    <cellStyle name="Comma 2 9 2 2" xfId="5188"/>
    <cellStyle name="Comma 2 9 2 2 2" xfId="9652"/>
    <cellStyle name="Comma 2 9 2 3" xfId="7424"/>
    <cellStyle name="Comma 2 9 3" xfId="3502"/>
    <cellStyle name="Comma 2 9 3 2" xfId="4632"/>
    <cellStyle name="Comma 2 9 3 2 2" xfId="9096"/>
    <cellStyle name="Comma 2 9 3 3" xfId="7981"/>
    <cellStyle name="Comma 2 9 4" xfId="4075"/>
    <cellStyle name="Comma 2 9 4 2" xfId="8539"/>
    <cellStyle name="Comma 2 9 5" xfId="5745"/>
    <cellStyle name="Comma 2 9 5 2" xfId="10209"/>
    <cellStyle name="Comma 2 9 6" xfId="6311"/>
    <cellStyle name="Comma 2 9 6 2" xfId="10766"/>
    <cellStyle name="Comma 2 9 7" xfId="6868"/>
    <cellStyle name="Comma 3" xfId="380"/>
    <cellStyle name="Comma 3 10" xfId="1399"/>
    <cellStyle name="Comma 3 11" xfId="1145"/>
    <cellStyle name="Comma 3 2" xfId="598"/>
    <cellStyle name="Comma 3 2 2" xfId="769"/>
    <cellStyle name="Comma 3 2 2 2" xfId="11704"/>
    <cellStyle name="Comma 3 2 2 3" xfId="1775"/>
    <cellStyle name="Comma 3 2 3" xfId="1122"/>
    <cellStyle name="Comma 3 2 3 2" xfId="11987"/>
    <cellStyle name="Comma 3 2 3 3" xfId="11326"/>
    <cellStyle name="Comma 3 2 4" xfId="11357"/>
    <cellStyle name="Comma 3 2 5" xfId="1400"/>
    <cellStyle name="Comma 3 2 6" xfId="11593"/>
    <cellStyle name="Comma 3 2 7" xfId="1152"/>
    <cellStyle name="Comma 3 3" xfId="743"/>
    <cellStyle name="Comma 3 3 2" xfId="2498"/>
    <cellStyle name="Comma 3 3 3" xfId="2681"/>
    <cellStyle name="Comma 3 3 4" xfId="11700"/>
    <cellStyle name="Comma 3 3 5" xfId="1401"/>
    <cellStyle name="Comma 3 4" xfId="971"/>
    <cellStyle name="Comma 3 4 2" xfId="2707"/>
    <cellStyle name="Comma 3 4 2 2" xfId="3430"/>
    <cellStyle name="Comma 3 4 2 2 2" xfId="5698"/>
    <cellStyle name="Comma 3 4 2 2 2 2" xfId="10162"/>
    <cellStyle name="Comma 3 4 2 2 3" xfId="7934"/>
    <cellStyle name="Comma 3 4 2 3" xfId="4013"/>
    <cellStyle name="Comma 3 4 2 3 2" xfId="5142"/>
    <cellStyle name="Comma 3 4 2 3 2 2" xfId="9606"/>
    <cellStyle name="Comma 3 4 2 3 3" xfId="8491"/>
    <cellStyle name="Comma 3 4 2 4" xfId="4585"/>
    <cellStyle name="Comma 3 4 2 4 2" xfId="9049"/>
    <cellStyle name="Comma 3 4 2 5" xfId="6255"/>
    <cellStyle name="Comma 3 4 2 5 2" xfId="10719"/>
    <cellStyle name="Comma 3 4 2 6" xfId="6821"/>
    <cellStyle name="Comma 3 4 2 6 2" xfId="11276"/>
    <cellStyle name="Comma 3 4 2 7" xfId="7378"/>
    <cellStyle name="Comma 3 4 3" xfId="11850"/>
    <cellStyle name="Comma 3 4 4" xfId="1402"/>
    <cellStyle name="Comma 3 5" xfId="1115"/>
    <cellStyle name="Comma 3 5 2" xfId="11980"/>
    <cellStyle name="Comma 3 5 3" xfId="1774"/>
    <cellStyle name="Comma 3 6" xfId="1878"/>
    <cellStyle name="Comma 3 6 2" xfId="2920"/>
    <cellStyle name="Comma 3 6 2 2" xfId="5189"/>
    <cellStyle name="Comma 3 6 2 2 2" xfId="9653"/>
    <cellStyle name="Comma 3 6 2 3" xfId="7425"/>
    <cellStyle name="Comma 3 6 3" xfId="3503"/>
    <cellStyle name="Comma 3 6 3 2" xfId="4633"/>
    <cellStyle name="Comma 3 6 3 2 2" xfId="9097"/>
    <cellStyle name="Comma 3 6 3 3" xfId="7982"/>
    <cellStyle name="Comma 3 6 4" xfId="4076"/>
    <cellStyle name="Comma 3 6 4 2" xfId="8540"/>
    <cellStyle name="Comma 3 6 5" xfId="5746"/>
    <cellStyle name="Comma 3 6 5 2" xfId="10210"/>
    <cellStyle name="Comma 3 6 6" xfId="6312"/>
    <cellStyle name="Comma 3 6 6 2" xfId="10767"/>
    <cellStyle name="Comma 3 6 7" xfId="6869"/>
    <cellStyle name="Comma 3 7" xfId="3461"/>
    <cellStyle name="Comma 3 8" xfId="11319"/>
    <cellStyle name="Comma 3 9" xfId="11349"/>
    <cellStyle name="Comma 4" xfId="599"/>
    <cellStyle name="Comma 4 10" xfId="11594"/>
    <cellStyle name="Comma 4 11" xfId="1150"/>
    <cellStyle name="Comma 4 2" xfId="619"/>
    <cellStyle name="Comma 4 2 2" xfId="656"/>
    <cellStyle name="Comma 4 2 2 2" xfId="835"/>
    <cellStyle name="Comma 4 2 2 2 2" xfId="11754"/>
    <cellStyle name="Comma 4 2 2 3" xfId="905"/>
    <cellStyle name="Comma 4 2 2 3 2" xfId="11812"/>
    <cellStyle name="Comma 4 2 2 4" xfId="11642"/>
    <cellStyle name="Comma 4 2 2 5" xfId="2682"/>
    <cellStyle name="Comma 4 2 3" xfId="802"/>
    <cellStyle name="Comma 4 2 3 2" xfId="11723"/>
    <cellStyle name="Comma 4 2 4" xfId="875"/>
    <cellStyle name="Comma 4 2 4 2" xfId="11782"/>
    <cellStyle name="Comma 4 2 5" xfId="11605"/>
    <cellStyle name="Comma 4 2 6" xfId="1404"/>
    <cellStyle name="Comma 4 3" xfId="627"/>
    <cellStyle name="Comma 4 3 2" xfId="664"/>
    <cellStyle name="Comma 4 3 2 2" xfId="843"/>
    <cellStyle name="Comma 4 3 2 2 2" xfId="5702"/>
    <cellStyle name="Comma 4 3 2 2 2 2" xfId="10166"/>
    <cellStyle name="Comma 4 3 2 2 3" xfId="7938"/>
    <cellStyle name="Comma 4 3 2 2 4" xfId="11762"/>
    <cellStyle name="Comma 4 3 2 2 5" xfId="3434"/>
    <cellStyle name="Comma 4 3 2 3" xfId="913"/>
    <cellStyle name="Comma 4 3 2 3 2" xfId="5146"/>
    <cellStyle name="Comma 4 3 2 3 2 2" xfId="9610"/>
    <cellStyle name="Comma 4 3 2 3 3" xfId="8495"/>
    <cellStyle name="Comma 4 3 2 3 4" xfId="11820"/>
    <cellStyle name="Comma 4 3 2 3 5" xfId="4017"/>
    <cellStyle name="Comma 4 3 2 4" xfId="4589"/>
    <cellStyle name="Comma 4 3 2 4 2" xfId="9053"/>
    <cellStyle name="Comma 4 3 2 5" xfId="6259"/>
    <cellStyle name="Comma 4 3 2 5 2" xfId="10723"/>
    <cellStyle name="Comma 4 3 2 6" xfId="6825"/>
    <cellStyle name="Comma 4 3 2 6 2" xfId="11280"/>
    <cellStyle name="Comma 4 3 2 7" xfId="7382"/>
    <cellStyle name="Comma 4 3 2 8" xfId="11650"/>
    <cellStyle name="Comma 4 3 2 9" xfId="2711"/>
    <cellStyle name="Comma 4 3 3" xfId="810"/>
    <cellStyle name="Comma 4 3 3 2" xfId="11731"/>
    <cellStyle name="Comma 4 3 4" xfId="883"/>
    <cellStyle name="Comma 4 3 4 2" xfId="11790"/>
    <cellStyle name="Comma 4 3 5" xfId="11613"/>
    <cellStyle name="Comma 4 3 6" xfId="1405"/>
    <cellStyle name="Comma 4 4" xfId="648"/>
    <cellStyle name="Comma 4 4 2" xfId="827"/>
    <cellStyle name="Comma 4 4 2 2" xfId="11746"/>
    <cellStyle name="Comma 4 4 3" xfId="897"/>
    <cellStyle name="Comma 4 4 3 2" xfId="11804"/>
    <cellStyle name="Comma 4 4 4" xfId="11634"/>
    <cellStyle name="Comma 4 4 5" xfId="1776"/>
    <cellStyle name="Comma 4 5" xfId="788"/>
    <cellStyle name="Comma 4 5 2" xfId="2921"/>
    <cellStyle name="Comma 4 5 2 2" xfId="5190"/>
    <cellStyle name="Comma 4 5 2 2 2" xfId="9654"/>
    <cellStyle name="Comma 4 5 2 3" xfId="7426"/>
    <cellStyle name="Comma 4 5 3" xfId="3504"/>
    <cellStyle name="Comma 4 5 3 2" xfId="4634"/>
    <cellStyle name="Comma 4 5 3 2 2" xfId="9098"/>
    <cellStyle name="Comma 4 5 3 3" xfId="7983"/>
    <cellStyle name="Comma 4 5 4" xfId="4077"/>
    <cellStyle name="Comma 4 5 4 2" xfId="8541"/>
    <cellStyle name="Comma 4 5 5" xfId="5747"/>
    <cellStyle name="Comma 4 5 5 2" xfId="10211"/>
    <cellStyle name="Comma 4 5 6" xfId="6313"/>
    <cellStyle name="Comma 4 5 6 2" xfId="10768"/>
    <cellStyle name="Comma 4 5 7" xfId="6870"/>
    <cellStyle name="Comma 4 5 8" xfId="11712"/>
    <cellStyle name="Comma 4 5 9" xfId="1879"/>
    <cellStyle name="Comma 4 6" xfId="867"/>
    <cellStyle name="Comma 4 6 2" xfId="11774"/>
    <cellStyle name="Comma 4 6 3" xfId="3450"/>
    <cellStyle name="Comma 4 7" xfId="1120"/>
    <cellStyle name="Comma 4 7 2" xfId="11985"/>
    <cellStyle name="Comma 4 7 3" xfId="11324"/>
    <cellStyle name="Comma 4 8" xfId="11354"/>
    <cellStyle name="Comma 4 9" xfId="1403"/>
    <cellStyle name="Comma 5" xfId="642"/>
    <cellStyle name="Comma 5 2" xfId="1777"/>
    <cellStyle name="Comma 5 3" xfId="1880"/>
    <cellStyle name="Comma 5 3 2" xfId="2922"/>
    <cellStyle name="Comma 5 3 2 2" xfId="5191"/>
    <cellStyle name="Comma 5 3 2 2 2" xfId="9655"/>
    <cellStyle name="Comma 5 3 2 3" xfId="7427"/>
    <cellStyle name="Comma 5 3 3" xfId="3505"/>
    <cellStyle name="Comma 5 3 3 2" xfId="4635"/>
    <cellStyle name="Comma 5 3 3 2 2" xfId="9099"/>
    <cellStyle name="Comma 5 3 3 3" xfId="7984"/>
    <cellStyle name="Comma 5 3 4" xfId="4078"/>
    <cellStyle name="Comma 5 3 4 2" xfId="8542"/>
    <cellStyle name="Comma 5 3 5" xfId="5748"/>
    <cellStyle name="Comma 5 3 5 2" xfId="10212"/>
    <cellStyle name="Comma 5 3 6" xfId="6314"/>
    <cellStyle name="Comma 5 3 6 2" xfId="10769"/>
    <cellStyle name="Comma 5 3 7" xfId="6871"/>
    <cellStyle name="Comma 5 4" xfId="11628"/>
    <cellStyle name="Comma 5 5" xfId="1406"/>
    <cellStyle name="Comma 6" xfId="639"/>
    <cellStyle name="Comma 6 2" xfId="820"/>
    <cellStyle name="Comma 6 2 2" xfId="11740"/>
    <cellStyle name="Comma 6 2 3" xfId="1771"/>
    <cellStyle name="Comma 6 3" xfId="891"/>
    <cellStyle name="Comma 6 3 2" xfId="11798"/>
    <cellStyle name="Comma 6 4" xfId="11625"/>
    <cellStyle name="Comma 6 5" xfId="1407"/>
    <cellStyle name="Comma 7" xfId="797"/>
    <cellStyle name="Comma 7 2" xfId="1409"/>
    <cellStyle name="Comma 7 2 2" xfId="2755"/>
    <cellStyle name="Comma 7 2 2 2" xfId="3436"/>
    <cellStyle name="Comma 7 2 2 2 2" xfId="5704"/>
    <cellStyle name="Comma 7 2 2 2 2 2" xfId="10168"/>
    <cellStyle name="Comma 7 2 2 2 3" xfId="7940"/>
    <cellStyle name="Comma 7 2 2 3" xfId="4019"/>
    <cellStyle name="Comma 7 2 2 3 2" xfId="5148"/>
    <cellStyle name="Comma 7 2 2 3 2 2" xfId="9612"/>
    <cellStyle name="Comma 7 2 2 3 3" xfId="8497"/>
    <cellStyle name="Comma 7 2 2 4" xfId="4591"/>
    <cellStyle name="Comma 7 2 2 4 2" xfId="9055"/>
    <cellStyle name="Comma 7 2 2 5" xfId="6261"/>
    <cellStyle name="Comma 7 2 2 5 2" xfId="10725"/>
    <cellStyle name="Comma 7 2 2 6" xfId="6827"/>
    <cellStyle name="Comma 7 2 2 6 2" xfId="11282"/>
    <cellStyle name="Comma 7 2 2 7" xfId="7384"/>
    <cellStyle name="Comma 7 3" xfId="1410"/>
    <cellStyle name="Comma 7 3 2" xfId="2762"/>
    <cellStyle name="Comma 7 3 2 2" xfId="3439"/>
    <cellStyle name="Comma 7 3 2 2 2" xfId="5707"/>
    <cellStyle name="Comma 7 3 2 2 2 2" xfId="10171"/>
    <cellStyle name="Comma 7 3 2 2 3" xfId="7943"/>
    <cellStyle name="Comma 7 3 2 3" xfId="4022"/>
    <cellStyle name="Comma 7 3 2 3 2" xfId="5151"/>
    <cellStyle name="Comma 7 3 2 3 2 2" xfId="9615"/>
    <cellStyle name="Comma 7 3 2 3 3" xfId="8500"/>
    <cellStyle name="Comma 7 3 2 4" xfId="4594"/>
    <cellStyle name="Comma 7 3 2 4 2" xfId="9058"/>
    <cellStyle name="Comma 7 3 2 5" xfId="6264"/>
    <cellStyle name="Comma 7 3 2 5 2" xfId="10728"/>
    <cellStyle name="Comma 7 3 2 6" xfId="6830"/>
    <cellStyle name="Comma 7 3 2 6 2" xfId="11285"/>
    <cellStyle name="Comma 7 3 2 7" xfId="7387"/>
    <cellStyle name="Comma 7 4" xfId="2299"/>
    <cellStyle name="Comma 7 5" xfId="2300"/>
    <cellStyle name="Comma 7 5 2" xfId="3263"/>
    <cellStyle name="Comma 7 5 2 2" xfId="5532"/>
    <cellStyle name="Comma 7 5 2 2 2" xfId="9996"/>
    <cellStyle name="Comma 7 5 2 3" xfId="7768"/>
    <cellStyle name="Comma 7 5 3" xfId="3846"/>
    <cellStyle name="Comma 7 5 3 2" xfId="4976"/>
    <cellStyle name="Comma 7 5 3 2 2" xfId="9440"/>
    <cellStyle name="Comma 7 5 3 3" xfId="8325"/>
    <cellStyle name="Comma 7 5 4" xfId="4419"/>
    <cellStyle name="Comma 7 5 4 2" xfId="8883"/>
    <cellStyle name="Comma 7 5 5" xfId="6089"/>
    <cellStyle name="Comma 7 5 5 2" xfId="10553"/>
    <cellStyle name="Comma 7 5 6" xfId="6655"/>
    <cellStyle name="Comma 7 5 6 2" xfId="11110"/>
    <cellStyle name="Comma 7 5 7" xfId="7212"/>
    <cellStyle name="Comma 7 6" xfId="11718"/>
    <cellStyle name="Comma 7 7" xfId="1408"/>
    <cellStyle name="Comma 8" xfId="920"/>
    <cellStyle name="Comma 8 2" xfId="2631"/>
    <cellStyle name="Comma 8 3" xfId="11827"/>
    <cellStyle name="Comma 8 4" xfId="1411"/>
    <cellStyle name="Comma 9" xfId="967"/>
    <cellStyle name="Comma 9 2" xfId="11848"/>
    <cellStyle name="Comma 9 3" xfId="1636"/>
    <cellStyle name="Comma0" xfId="755"/>
    <cellStyle name="Comma0 2" xfId="1413"/>
    <cellStyle name="Comma0 2 2" xfId="1778"/>
    <cellStyle name="Comma0 3" xfId="1414"/>
    <cellStyle name="Comma0 3 2" xfId="2683"/>
    <cellStyle name="Comma0 4" xfId="1645"/>
    <cellStyle name="Comma0 5" xfId="3451"/>
    <cellStyle name="Comma0 5 2" xfId="4034"/>
    <cellStyle name="Comma0 5 3" xfId="6269"/>
    <cellStyle name="Comma0 6" xfId="11292"/>
    <cellStyle name="Comma0 7" xfId="1412"/>
    <cellStyle name="Currency 2" xfId="381"/>
    <cellStyle name="Currency 2 10" xfId="11353"/>
    <cellStyle name="Currency 2 11" xfId="1416"/>
    <cellStyle name="Currency 2 12" xfId="1149"/>
    <cellStyle name="Currency 2 2" xfId="600"/>
    <cellStyle name="Currency 2 2 2" xfId="1781"/>
    <cellStyle name="Currency 2 2 3" xfId="11595"/>
    <cellStyle name="Currency 2 2 4" xfId="1417"/>
    <cellStyle name="Currency 2 3" xfId="590"/>
    <cellStyle name="Currency 2 3 2" xfId="2521"/>
    <cellStyle name="Currency 2 3 2 2" xfId="3410"/>
    <cellStyle name="Currency 2 3 2 2 2" xfId="5678"/>
    <cellStyle name="Currency 2 3 2 2 2 2" xfId="10142"/>
    <cellStyle name="Currency 2 3 2 2 3" xfId="7914"/>
    <cellStyle name="Currency 2 3 2 3" xfId="3993"/>
    <cellStyle name="Currency 2 3 2 3 2" xfId="5122"/>
    <cellStyle name="Currency 2 3 2 3 2 2" xfId="9586"/>
    <cellStyle name="Currency 2 3 2 3 3" xfId="8471"/>
    <cellStyle name="Currency 2 3 2 4" xfId="4565"/>
    <cellStyle name="Currency 2 3 2 4 2" xfId="9029"/>
    <cellStyle name="Currency 2 3 2 5" xfId="6235"/>
    <cellStyle name="Currency 2 3 2 5 2" xfId="10699"/>
    <cellStyle name="Currency 2 3 2 6" xfId="6801"/>
    <cellStyle name="Currency 2 3 2 6 2" xfId="11256"/>
    <cellStyle name="Currency 2 3 2 7" xfId="7358"/>
    <cellStyle name="Currency 2 3 3" xfId="2684"/>
    <cellStyle name="Currency 2 3 4" xfId="11588"/>
    <cellStyle name="Currency 2 3 5" xfId="1418"/>
    <cellStyle name="Currency 2 4" xfId="790"/>
    <cellStyle name="Currency 2 4 2" xfId="2710"/>
    <cellStyle name="Currency 2 4 2 2" xfId="3433"/>
    <cellStyle name="Currency 2 4 2 2 2" xfId="5701"/>
    <cellStyle name="Currency 2 4 2 2 2 2" xfId="10165"/>
    <cellStyle name="Currency 2 4 2 2 3" xfId="7937"/>
    <cellStyle name="Currency 2 4 2 3" xfId="4016"/>
    <cellStyle name="Currency 2 4 2 3 2" xfId="5145"/>
    <cellStyle name="Currency 2 4 2 3 2 2" xfId="9609"/>
    <cellStyle name="Currency 2 4 2 3 3" xfId="8494"/>
    <cellStyle name="Currency 2 4 2 4" xfId="4588"/>
    <cellStyle name="Currency 2 4 2 4 2" xfId="9052"/>
    <cellStyle name="Currency 2 4 2 5" xfId="6258"/>
    <cellStyle name="Currency 2 4 2 5 2" xfId="10722"/>
    <cellStyle name="Currency 2 4 2 6" xfId="6824"/>
    <cellStyle name="Currency 2 4 2 6 2" xfId="11279"/>
    <cellStyle name="Currency 2 4 2 7" xfId="7381"/>
    <cellStyle name="Currency 2 4 3" xfId="11714"/>
    <cellStyle name="Currency 2 4 4" xfId="1419"/>
    <cellStyle name="Currency 2 5" xfId="1119"/>
    <cellStyle name="Currency 2 5 2" xfId="2769"/>
    <cellStyle name="Currency 2 5 3" xfId="11984"/>
    <cellStyle name="Currency 2 5 4" xfId="1420"/>
    <cellStyle name="Currency 2 6" xfId="1421"/>
    <cellStyle name="Currency 2 6 2" xfId="1156"/>
    <cellStyle name="Currency 2 7" xfId="1780"/>
    <cellStyle name="Currency 2 8" xfId="1881"/>
    <cellStyle name="Currency 2 8 2" xfId="2923"/>
    <cellStyle name="Currency 2 8 2 2" xfId="5192"/>
    <cellStyle name="Currency 2 8 2 2 2" xfId="9656"/>
    <cellStyle name="Currency 2 8 2 3" xfId="7428"/>
    <cellStyle name="Currency 2 8 3" xfId="3506"/>
    <cellStyle name="Currency 2 8 3 2" xfId="4636"/>
    <cellStyle name="Currency 2 8 3 2 2" xfId="9100"/>
    <cellStyle name="Currency 2 8 3 3" xfId="7985"/>
    <cellStyle name="Currency 2 8 4" xfId="4079"/>
    <cellStyle name="Currency 2 8 4 2" xfId="8543"/>
    <cellStyle name="Currency 2 8 5" xfId="5749"/>
    <cellStyle name="Currency 2 8 5 2" xfId="10213"/>
    <cellStyle name="Currency 2 8 6" xfId="6315"/>
    <cellStyle name="Currency 2 8 6 2" xfId="10770"/>
    <cellStyle name="Currency 2 8 7" xfId="6872"/>
    <cellStyle name="Currency 2 9" xfId="11323"/>
    <cellStyle name="Currency 3" xfId="382"/>
    <cellStyle name="Currency 3 2" xfId="601"/>
    <cellStyle name="Currency 3 2 2" xfId="2499"/>
    <cellStyle name="Currency 3 3" xfId="591"/>
    <cellStyle name="Currency 3 4" xfId="771"/>
    <cellStyle name="Currency 3 4 2" xfId="11706"/>
    <cellStyle name="Currency 3 4 3" xfId="1422"/>
    <cellStyle name="Currency 4" xfId="1423"/>
    <cellStyle name="Currency 4 2" xfId="1779"/>
    <cellStyle name="Currency 5" xfId="383"/>
    <cellStyle name="Currency 5 2" xfId="2301"/>
    <cellStyle name="Currency 5 2 2" xfId="3264"/>
    <cellStyle name="Currency 5 2 2 2" xfId="5533"/>
    <cellStyle name="Currency 5 2 2 2 2" xfId="9997"/>
    <cellStyle name="Currency 5 2 2 3" xfId="7769"/>
    <cellStyle name="Currency 5 2 3" xfId="3847"/>
    <cellStyle name="Currency 5 2 3 2" xfId="4977"/>
    <cellStyle name="Currency 5 2 3 2 2" xfId="9441"/>
    <cellStyle name="Currency 5 2 3 3" xfId="8326"/>
    <cellStyle name="Currency 5 2 4" xfId="4420"/>
    <cellStyle name="Currency 5 2 4 2" xfId="8884"/>
    <cellStyle name="Currency 5 2 5" xfId="6090"/>
    <cellStyle name="Currency 5 2 5 2" xfId="10554"/>
    <cellStyle name="Currency 5 2 6" xfId="6656"/>
    <cellStyle name="Currency 5 2 6 2" xfId="11111"/>
    <cellStyle name="Currency 5 2 7" xfId="7213"/>
    <cellStyle name="Currency 5 3" xfId="2302"/>
    <cellStyle name="Currency 5 3 2" xfId="3265"/>
    <cellStyle name="Currency 5 3 2 2" xfId="5534"/>
    <cellStyle name="Currency 5 3 2 2 2" xfId="9998"/>
    <cellStyle name="Currency 5 3 2 3" xfId="7770"/>
    <cellStyle name="Currency 5 3 3" xfId="3848"/>
    <cellStyle name="Currency 5 3 3 2" xfId="4978"/>
    <cellStyle name="Currency 5 3 3 2 2" xfId="9442"/>
    <cellStyle name="Currency 5 3 3 3" xfId="8327"/>
    <cellStyle name="Currency 5 3 4" xfId="4421"/>
    <cellStyle name="Currency 5 3 4 2" xfId="8885"/>
    <cellStyle name="Currency 5 3 5" xfId="6091"/>
    <cellStyle name="Currency 5 3 5 2" xfId="10555"/>
    <cellStyle name="Currency 5 3 6" xfId="6657"/>
    <cellStyle name="Currency 5 3 6 2" xfId="11112"/>
    <cellStyle name="Currency 5 3 7" xfId="7214"/>
    <cellStyle name="Currency 5 4" xfId="2303"/>
    <cellStyle name="Currency 5 4 2" xfId="3266"/>
    <cellStyle name="Currency 5 4 2 2" xfId="5535"/>
    <cellStyle name="Currency 5 4 2 2 2" xfId="9999"/>
    <cellStyle name="Currency 5 4 2 3" xfId="7771"/>
    <cellStyle name="Currency 5 4 3" xfId="3849"/>
    <cellStyle name="Currency 5 4 3 2" xfId="4979"/>
    <cellStyle name="Currency 5 4 3 2 2" xfId="9443"/>
    <cellStyle name="Currency 5 4 3 3" xfId="8328"/>
    <cellStyle name="Currency 5 4 4" xfId="4422"/>
    <cellStyle name="Currency 5 4 4 2" xfId="8886"/>
    <cellStyle name="Currency 5 4 5" xfId="6092"/>
    <cellStyle name="Currency 5 4 5 2" xfId="10556"/>
    <cellStyle name="Currency 5 4 6" xfId="6658"/>
    <cellStyle name="Currency 5 4 6 2" xfId="11113"/>
    <cellStyle name="Currency 5 4 7" xfId="7215"/>
    <cellStyle name="Currency 5 5" xfId="2632"/>
    <cellStyle name="Currency 5 6" xfId="1424"/>
    <cellStyle name="Currency 6" xfId="1155"/>
    <cellStyle name="Currency 6 2" xfId="2304"/>
    <cellStyle name="Currency 6 2 2" xfId="3267"/>
    <cellStyle name="Currency 6 2 2 2" xfId="5536"/>
    <cellStyle name="Currency 6 2 2 2 2" xfId="10000"/>
    <cellStyle name="Currency 6 2 2 3" xfId="7772"/>
    <cellStyle name="Currency 6 2 3" xfId="3850"/>
    <cellStyle name="Currency 6 2 3 2" xfId="4980"/>
    <cellStyle name="Currency 6 2 3 2 2" xfId="9444"/>
    <cellStyle name="Currency 6 2 3 3" xfId="8329"/>
    <cellStyle name="Currency 6 2 4" xfId="4423"/>
    <cellStyle name="Currency 6 2 4 2" xfId="8887"/>
    <cellStyle name="Currency 6 2 5" xfId="6093"/>
    <cellStyle name="Currency 6 2 5 2" xfId="10557"/>
    <cellStyle name="Currency 6 2 6" xfId="6659"/>
    <cellStyle name="Currency 6 2 6 2" xfId="11114"/>
    <cellStyle name="Currency 6 2 7" xfId="7216"/>
    <cellStyle name="Currency 7" xfId="1640"/>
    <cellStyle name="Currency 8" xfId="1415"/>
    <cellStyle name="Currency0" xfId="756"/>
    <cellStyle name="Currency0 2" xfId="1426"/>
    <cellStyle name="Currency0 2 2" xfId="1782"/>
    <cellStyle name="Currency0 3" xfId="1427"/>
    <cellStyle name="Currency0 3 2" xfId="2685"/>
    <cellStyle name="Currency0 4" xfId="1646"/>
    <cellStyle name="Currency0 5" xfId="3452"/>
    <cellStyle name="Currency0 5 2" xfId="4035"/>
    <cellStyle name="Currency0 5 3" xfId="6270"/>
    <cellStyle name="Currency0 6" xfId="11293"/>
    <cellStyle name="Currency0 7" xfId="1425"/>
    <cellStyle name="Date" xfId="757"/>
    <cellStyle name="Date 2" xfId="1429"/>
    <cellStyle name="Date 2 2" xfId="1783"/>
    <cellStyle name="Date 3" xfId="1430"/>
    <cellStyle name="Date 3 2" xfId="2686"/>
    <cellStyle name="Date 4" xfId="1647"/>
    <cellStyle name="Date 5" xfId="3453"/>
    <cellStyle name="Date 5 2" xfId="4036"/>
    <cellStyle name="Date 5 3" xfId="6271"/>
    <cellStyle name="Date 6" xfId="11294"/>
    <cellStyle name="Date 7" xfId="1428"/>
    <cellStyle name="Excel Built-in Good" xfId="1431"/>
    <cellStyle name="Excel Built-in Good 2" xfId="2603"/>
    <cellStyle name="Excel Built-in Normal" xfId="1639"/>
    <cellStyle name="Explanatory Text" xfId="938" builtinId="53" customBuiltin="1"/>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3"/>
    <cellStyle name="Explanatory Text 2" xfId="390"/>
    <cellStyle name="Explanatory Text 2 2" xfId="714"/>
    <cellStyle name="Explanatory Text 2 2 2" xfId="1784"/>
    <cellStyle name="Explanatory Text 2 2 3" xfId="1433"/>
    <cellStyle name="Explanatory Text 2 2 4" xfId="11671"/>
    <cellStyle name="Explanatory Text 2 2 5" xfId="1217"/>
    <cellStyle name="Explanatory Text 2 3" xfId="1434"/>
    <cellStyle name="Explanatory Text 2 3 2" xfId="2664"/>
    <cellStyle name="Explanatory Text 2 4" xfId="1718"/>
    <cellStyle name="Explanatory Text 2 5" xfId="1883"/>
    <cellStyle name="Explanatory Text 2 6" xfId="2593"/>
    <cellStyle name="Explanatory Text 2 7" xfId="1432"/>
    <cellStyle name="Explanatory Text 2 8" xfId="11495"/>
    <cellStyle name="Explanatory Text 3" xfId="391"/>
    <cellStyle name="Explanatory Text 3 2" xfId="2305"/>
    <cellStyle name="Explanatory Text 3 3" xfId="2633"/>
    <cellStyle name="Explanatory Text 3 4" xfId="11496"/>
    <cellStyle name="Explanatory Text 3 5" xfId="1435"/>
    <cellStyle name="Explanatory Text 4" xfId="392"/>
    <cellStyle name="Explanatory Text 4 2" xfId="2797"/>
    <cellStyle name="Explanatory Text 4 3" xfId="11497"/>
    <cellStyle name="Explanatory Text 4 4" xfId="1436"/>
    <cellStyle name="Explanatory Text 5" xfId="393"/>
    <cellStyle name="Explanatory Text 5 2" xfId="11498"/>
    <cellStyle name="Explanatory Text 5 3" xfId="1689"/>
    <cellStyle name="Explanatory Text 6" xfId="394"/>
    <cellStyle name="Explanatory Text 6 2" xfId="11499"/>
    <cellStyle name="Explanatory Text 6 3" xfId="1882"/>
    <cellStyle name="Explanatory Text 7" xfId="395"/>
    <cellStyle name="Explanatory Text 8" xfId="396"/>
    <cellStyle name="Explanatory Text 9" xfId="397"/>
    <cellStyle name="fitness_general" xfId="2460"/>
    <cellStyle name="Fitness-header" xfId="2461"/>
    <cellStyle name="Fixed" xfId="758"/>
    <cellStyle name="Fixed 2" xfId="1438"/>
    <cellStyle name="Fixed 2 2" xfId="1785"/>
    <cellStyle name="Fixed 3" xfId="1439"/>
    <cellStyle name="Fixed 3 2" xfId="2687"/>
    <cellStyle name="Fixed 4" xfId="1648"/>
    <cellStyle name="Fixed 5" xfId="3454"/>
    <cellStyle name="Fixed 5 2" xfId="4037"/>
    <cellStyle name="Fixed 5 3" xfId="6272"/>
    <cellStyle name="Fixed 6" xfId="11295"/>
    <cellStyle name="Fixed 7" xfId="1437"/>
    <cellStyle name="Good" xfId="929" builtinId="26" customBuiltin="1"/>
    <cellStyle name="Good 10" xfId="398"/>
    <cellStyle name="Good 11" xfId="399"/>
    <cellStyle name="Good 12" xfId="400"/>
    <cellStyle name="Good 13" xfId="401"/>
    <cellStyle name="Good 14" xfId="402"/>
    <cellStyle name="Good 15" xfId="403"/>
    <cellStyle name="Good 16" xfId="779"/>
    <cellStyle name="Good 2" xfId="404"/>
    <cellStyle name="Good 2 2" xfId="704"/>
    <cellStyle name="Good 2 2 2" xfId="1786"/>
    <cellStyle name="Good 2 2 3" xfId="1441"/>
    <cellStyle name="Good 2 2 4" xfId="11661"/>
    <cellStyle name="Good 2 2 5" xfId="1219"/>
    <cellStyle name="Good 2 3" xfId="1442"/>
    <cellStyle name="Good 2 3 2" xfId="2655"/>
    <cellStyle name="Good 2 3 3" xfId="2882"/>
    <cellStyle name="Good 2 3 4" xfId="3465"/>
    <cellStyle name="Good 2 4" xfId="1708"/>
    <cellStyle name="Good 2 5" xfId="1885"/>
    <cellStyle name="Good 2 6" xfId="2594"/>
    <cellStyle name="Good 2 7" xfId="1440"/>
    <cellStyle name="Good 2 8" xfId="11500"/>
    <cellStyle name="Good 3" xfId="405"/>
    <cellStyle name="Good 3 2" xfId="2306"/>
    <cellStyle name="Good 3 3" xfId="2634"/>
    <cellStyle name="Good 3 4" xfId="11501"/>
    <cellStyle name="Good 3 5" xfId="1443"/>
    <cellStyle name="Good 4" xfId="406"/>
    <cellStyle name="Good 4 2" xfId="2798"/>
    <cellStyle name="Good 4 3" xfId="11502"/>
    <cellStyle name="Good 4 4" xfId="1444"/>
    <cellStyle name="Good 5" xfId="407"/>
    <cellStyle name="Good 5 2" xfId="11503"/>
    <cellStyle name="Good 5 3" xfId="1690"/>
    <cellStyle name="Good 6" xfId="408"/>
    <cellStyle name="Good 6 2" xfId="11504"/>
    <cellStyle name="Good 6 3" xfId="1884"/>
    <cellStyle name="Good 7" xfId="409"/>
    <cellStyle name="Good 8" xfId="410"/>
    <cellStyle name="Good 9" xfId="411"/>
    <cellStyle name="Grey" xfId="759"/>
    <cellStyle name="Grey 2" xfId="1446"/>
    <cellStyle name="Grey 2 2" xfId="2720"/>
    <cellStyle name="Grey 3" xfId="1886"/>
    <cellStyle name="Grey 4" xfId="2595"/>
    <cellStyle name="Grey 5" xfId="1445"/>
    <cellStyle name="Heading 1" xfId="925" builtinId="16" customBuiltin="1"/>
    <cellStyle name="Heading 1 10" xfId="412"/>
    <cellStyle name="Heading 1 11" xfId="413"/>
    <cellStyle name="Heading 1 12" xfId="414"/>
    <cellStyle name="Heading 1 13" xfId="415"/>
    <cellStyle name="Heading 1 14" xfId="416"/>
    <cellStyle name="Heading 1 15" xfId="417"/>
    <cellStyle name="Heading 1 16" xfId="784"/>
    <cellStyle name="Heading 1 2" xfId="418"/>
    <cellStyle name="Heading 1 2 2" xfId="700"/>
    <cellStyle name="Heading 1 2 2 2" xfId="2652"/>
    <cellStyle name="Heading 1 2 2 3" xfId="1448"/>
    <cellStyle name="Heading 1 2 2 4" xfId="1221"/>
    <cellStyle name="Heading 1 2 3" xfId="1449"/>
    <cellStyle name="Heading 1 2 3 2" xfId="2764"/>
    <cellStyle name="Heading 1 2 4" xfId="1705"/>
    <cellStyle name="Heading 1 2 5" xfId="1888"/>
    <cellStyle name="Heading 1 2 6" xfId="3455"/>
    <cellStyle name="Heading 1 2 7" xfId="1447"/>
    <cellStyle name="Heading 1 2 8" xfId="11505"/>
    <cellStyle name="Heading 1 3" xfId="419"/>
    <cellStyle name="Heading 1 3 2" xfId="1787"/>
    <cellStyle name="Heading 1 3 3" xfId="11506"/>
    <cellStyle name="Heading 1 3 4" xfId="1450"/>
    <cellStyle name="Heading 1 4" xfId="420"/>
    <cellStyle name="Heading 1 4 2" xfId="2307"/>
    <cellStyle name="Heading 1 4 3" xfId="2635"/>
    <cellStyle name="Heading 1 4 4" xfId="11507"/>
    <cellStyle name="Heading 1 4 5" xfId="1451"/>
    <cellStyle name="Heading 1 5" xfId="421"/>
    <cellStyle name="Heading 1 5 2" xfId="11508"/>
    <cellStyle name="Heading 1 5 3" xfId="1649"/>
    <cellStyle name="Heading 1 6" xfId="422"/>
    <cellStyle name="Heading 1 6 2" xfId="11509"/>
    <cellStyle name="Heading 1 6 3" xfId="1691"/>
    <cellStyle name="Heading 1 7" xfId="423"/>
    <cellStyle name="Heading 1 7 2" xfId="11510"/>
    <cellStyle name="Heading 1 7 3" xfId="1887"/>
    <cellStyle name="Heading 1 8" xfId="424"/>
    <cellStyle name="Heading 1 9" xfId="425"/>
    <cellStyle name="Heading 2" xfId="926" builtinId="17" customBuiltin="1"/>
    <cellStyle name="Heading 2 10" xfId="426"/>
    <cellStyle name="Heading 2 11" xfId="427"/>
    <cellStyle name="Heading 2 12" xfId="428"/>
    <cellStyle name="Heading 2 13" xfId="429"/>
    <cellStyle name="Heading 2 14" xfId="430"/>
    <cellStyle name="Heading 2 15" xfId="431"/>
    <cellStyle name="Heading 2 16" xfId="782"/>
    <cellStyle name="Heading 2 2" xfId="432"/>
    <cellStyle name="Heading 2 2 2" xfId="699"/>
    <cellStyle name="Heading 2 2 2 2" xfId="2651"/>
    <cellStyle name="Heading 2 2 2 3" xfId="1453"/>
    <cellStyle name="Heading 2 2 2 4" xfId="1223"/>
    <cellStyle name="Heading 2 2 3" xfId="1454"/>
    <cellStyle name="Heading 2 2 3 2" xfId="2765"/>
    <cellStyle name="Heading 2 2 4" xfId="1704"/>
    <cellStyle name="Heading 2 2 5" xfId="1890"/>
    <cellStyle name="Heading 2 2 6" xfId="3456"/>
    <cellStyle name="Heading 2 2 7" xfId="1452"/>
    <cellStyle name="Heading 2 2 8" xfId="11511"/>
    <cellStyle name="Heading 2 3" xfId="433"/>
    <cellStyle name="Heading 2 3 2" xfId="1788"/>
    <cellStyle name="Heading 2 3 3" xfId="11512"/>
    <cellStyle name="Heading 2 3 4" xfId="1455"/>
    <cellStyle name="Heading 2 4" xfId="434"/>
    <cellStyle name="Heading 2 4 2" xfId="2308"/>
    <cellStyle name="Heading 2 4 3" xfId="2636"/>
    <cellStyle name="Heading 2 4 4" xfId="11513"/>
    <cellStyle name="Heading 2 4 5" xfId="1456"/>
    <cellStyle name="Heading 2 5" xfId="435"/>
    <cellStyle name="Heading 2 5 2" xfId="11514"/>
    <cellStyle name="Heading 2 5 3" xfId="1650"/>
    <cellStyle name="Heading 2 6" xfId="436"/>
    <cellStyle name="Heading 2 6 2" xfId="11515"/>
    <cellStyle name="Heading 2 6 3" xfId="1692"/>
    <cellStyle name="Heading 2 7" xfId="437"/>
    <cellStyle name="Heading 2 7 2" xfId="11516"/>
    <cellStyle name="Heading 2 7 3" xfId="1889"/>
    <cellStyle name="Heading 2 8" xfId="438"/>
    <cellStyle name="Heading 2 9" xfId="439"/>
    <cellStyle name="Heading 3" xfId="927" builtinId="18" customBuiltin="1"/>
    <cellStyle name="Heading 3 10" xfId="440"/>
    <cellStyle name="Heading 3 11" xfId="441"/>
    <cellStyle name="Heading 3 12" xfId="442"/>
    <cellStyle name="Heading 3 13" xfId="443"/>
    <cellStyle name="Heading 3 14" xfId="444"/>
    <cellStyle name="Heading 3 15" xfId="445"/>
    <cellStyle name="Heading 3 16" xfId="781"/>
    <cellStyle name="Heading 3 2" xfId="446"/>
    <cellStyle name="Heading 3 2 2" xfId="702"/>
    <cellStyle name="Heading 3 2 2 2" xfId="1789"/>
    <cellStyle name="Heading 3 2 2 3" xfId="1458"/>
    <cellStyle name="Heading 3 2 2 4" xfId="11659"/>
    <cellStyle name="Heading 3 2 2 5" xfId="1225"/>
    <cellStyle name="Heading 3 2 3" xfId="1459"/>
    <cellStyle name="Heading 3 2 3 2" xfId="2653"/>
    <cellStyle name="Heading 3 2 4" xfId="1706"/>
    <cellStyle name="Heading 3 2 5" xfId="1892"/>
    <cellStyle name="Heading 3 2 6" xfId="1457"/>
    <cellStyle name="Heading 3 2 7" xfId="11517"/>
    <cellStyle name="Heading 3 3" xfId="447"/>
    <cellStyle name="Heading 3 3 2" xfId="2309"/>
    <cellStyle name="Heading 3 3 3" xfId="2637"/>
    <cellStyle name="Heading 3 3 4" xfId="11518"/>
    <cellStyle name="Heading 3 3 5" xfId="1460"/>
    <cellStyle name="Heading 3 4" xfId="448"/>
    <cellStyle name="Heading 3 4 2" xfId="2799"/>
    <cellStyle name="Heading 3 4 3" xfId="11519"/>
    <cellStyle name="Heading 3 4 4" xfId="1461"/>
    <cellStyle name="Heading 3 5" xfId="449"/>
    <cellStyle name="Heading 3 5 2" xfId="11520"/>
    <cellStyle name="Heading 3 5 3" xfId="1693"/>
    <cellStyle name="Heading 3 6" xfId="450"/>
    <cellStyle name="Heading 3 6 2" xfId="11521"/>
    <cellStyle name="Heading 3 6 3" xfId="1891"/>
    <cellStyle name="Heading 3 7" xfId="451"/>
    <cellStyle name="Heading 3 8" xfId="452"/>
    <cellStyle name="Heading 3 9" xfId="453"/>
    <cellStyle name="Heading 4" xfId="928" builtinId="19" customBuiltin="1"/>
    <cellStyle name="Heading 4 10" xfId="454"/>
    <cellStyle name="Heading 4 11" xfId="455"/>
    <cellStyle name="Heading 4 12" xfId="456"/>
    <cellStyle name="Heading 4 13" xfId="457"/>
    <cellStyle name="Heading 4 14" xfId="458"/>
    <cellStyle name="Heading 4 15" xfId="459"/>
    <cellStyle name="Heading 4 16" xfId="824"/>
    <cellStyle name="Heading 4 2" xfId="460"/>
    <cellStyle name="Heading 4 2 2" xfId="703"/>
    <cellStyle name="Heading 4 2 2 2" xfId="1790"/>
    <cellStyle name="Heading 4 2 2 3" xfId="1463"/>
    <cellStyle name="Heading 4 2 2 4" xfId="11660"/>
    <cellStyle name="Heading 4 2 2 5" xfId="1227"/>
    <cellStyle name="Heading 4 2 3" xfId="1464"/>
    <cellStyle name="Heading 4 2 3 2" xfId="2654"/>
    <cellStyle name="Heading 4 2 4" xfId="1707"/>
    <cellStyle name="Heading 4 2 5" xfId="1894"/>
    <cellStyle name="Heading 4 2 6" xfId="1462"/>
    <cellStyle name="Heading 4 2 7" xfId="11522"/>
    <cellStyle name="Heading 4 3" xfId="461"/>
    <cellStyle name="Heading 4 3 2" xfId="2310"/>
    <cellStyle name="Heading 4 3 3" xfId="2638"/>
    <cellStyle name="Heading 4 3 4" xfId="11523"/>
    <cellStyle name="Heading 4 3 5" xfId="1465"/>
    <cellStyle name="Heading 4 4" xfId="462"/>
    <cellStyle name="Heading 4 4 2" xfId="2800"/>
    <cellStyle name="Heading 4 4 3" xfId="11524"/>
    <cellStyle name="Heading 4 4 4" xfId="1466"/>
    <cellStyle name="Heading 4 5" xfId="463"/>
    <cellStyle name="Heading 4 5 2" xfId="11525"/>
    <cellStyle name="Heading 4 5 3" xfId="1694"/>
    <cellStyle name="Heading 4 6" xfId="464"/>
    <cellStyle name="Heading 4 6 2" xfId="11526"/>
    <cellStyle name="Heading 4 6 3" xfId="1893"/>
    <cellStyle name="Heading 4 7" xfId="465"/>
    <cellStyle name="Heading 4 8" xfId="466"/>
    <cellStyle name="Heading 4 9" xfId="467"/>
    <cellStyle name="Hyperlink" xfId="589" builtinId="8"/>
    <cellStyle name="Hyperlink 2" xfId="785"/>
    <cellStyle name="Hyperlink 2 2" xfId="1791"/>
    <cellStyle name="Hyperlink 2 3" xfId="11709"/>
    <cellStyle name="Hyperlink 2 4" xfId="1468"/>
    <cellStyle name="Hyperlink 3" xfId="692"/>
    <cellStyle name="Hyperlink 3 2" xfId="2639"/>
    <cellStyle name="Hyperlink 3 3" xfId="1469"/>
    <cellStyle name="Hyperlink 4" xfId="1637"/>
    <cellStyle name="Hyperlink 5" xfId="1895"/>
    <cellStyle name="Hyperlink 6" xfId="1467"/>
    <cellStyle name="Hyperlink 7" xfId="11587"/>
    <cellStyle name="Input" xfId="932" builtinId="20" customBuiltin="1"/>
    <cellStyle name="Input [yellow]" xfId="760"/>
    <cellStyle name="Input [yellow] 2" xfId="1471"/>
    <cellStyle name="Input [yellow] 2 2" xfId="2721"/>
    <cellStyle name="Input [yellow] 3" xfId="1897"/>
    <cellStyle name="Input [yellow] 4" xfId="1470"/>
    <cellStyle name="Input 10" xfId="468"/>
    <cellStyle name="Input 10 2" xfId="2736"/>
    <cellStyle name="Input 10 3" xfId="11527"/>
    <cellStyle name="Input 10 4" xfId="1472"/>
    <cellStyle name="Input 11" xfId="469"/>
    <cellStyle name="Input 11 2" xfId="2735"/>
    <cellStyle name="Input 11 3" xfId="11528"/>
    <cellStyle name="Input 11 4" xfId="1473"/>
    <cellStyle name="Input 12" xfId="470"/>
    <cellStyle name="Input 12 2" xfId="2742"/>
    <cellStyle name="Input 12 3" xfId="11529"/>
    <cellStyle name="Input 12 4" xfId="1474"/>
    <cellStyle name="Input 13" xfId="471"/>
    <cellStyle name="Input 13 2" xfId="2757"/>
    <cellStyle name="Input 13 3" xfId="11530"/>
    <cellStyle name="Input 13 4" xfId="1475"/>
    <cellStyle name="Input 14" xfId="472"/>
    <cellStyle name="Input 14 2" xfId="2734"/>
    <cellStyle name="Input 14 3" xfId="11531"/>
    <cellStyle name="Input 14 4" xfId="1476"/>
    <cellStyle name="Input 15" xfId="473"/>
    <cellStyle name="Input 15 2" xfId="2732"/>
    <cellStyle name="Input 15 3" xfId="11532"/>
    <cellStyle name="Input 15 4" xfId="1477"/>
    <cellStyle name="Input 16" xfId="777"/>
    <cellStyle name="Input 16 2" xfId="2746"/>
    <cellStyle name="Input 16 3" xfId="1478"/>
    <cellStyle name="Input 17" xfId="853"/>
    <cellStyle name="Input 17 2" xfId="2747"/>
    <cellStyle name="Input 17 3" xfId="1479"/>
    <cellStyle name="Input 18" xfId="852"/>
    <cellStyle name="Input 18 2" xfId="2745"/>
    <cellStyle name="Input 18 3" xfId="1480"/>
    <cellStyle name="Input 19" xfId="851"/>
    <cellStyle name="Input 19 2" xfId="2748"/>
    <cellStyle name="Input 19 3" xfId="1481"/>
    <cellStyle name="Input 2" xfId="474"/>
    <cellStyle name="Input 2 2" xfId="707"/>
    <cellStyle name="Input 2 2 2" xfId="1792"/>
    <cellStyle name="Input 2 2 3" xfId="1483"/>
    <cellStyle name="Input 2 2 4" xfId="11664"/>
    <cellStyle name="Input 2 2 5" xfId="1230"/>
    <cellStyle name="Input 2 3" xfId="1484"/>
    <cellStyle name="Input 2 3 2" xfId="2658"/>
    <cellStyle name="Input 2 3 3" xfId="2883"/>
    <cellStyle name="Input 2 3 4" xfId="3466"/>
    <cellStyle name="Input 2 4" xfId="1711"/>
    <cellStyle name="Input 2 5" xfId="1898"/>
    <cellStyle name="Input 2 6" xfId="2596"/>
    <cellStyle name="Input 2 7" xfId="1482"/>
    <cellStyle name="Input 2 8" xfId="11533"/>
    <cellStyle name="Input 20" xfId="859"/>
    <cellStyle name="Input 20 2" xfId="2731"/>
    <cellStyle name="Input 20 3" xfId="1485"/>
    <cellStyle name="Input 21" xfId="1093"/>
    <cellStyle name="Input 21 2" xfId="2751"/>
    <cellStyle name="Input 21 3" xfId="1486"/>
    <cellStyle name="Input 22" xfId="1098"/>
    <cellStyle name="Input 22 2" xfId="2758"/>
    <cellStyle name="Input 22 3" xfId="1487"/>
    <cellStyle name="Input 23" xfId="1488"/>
    <cellStyle name="Input 23 2" xfId="2753"/>
    <cellStyle name="Input 24" xfId="1489"/>
    <cellStyle name="Input 24 2" xfId="2749"/>
    <cellStyle name="Input 25" xfId="1490"/>
    <cellStyle name="Input 25 2" xfId="2752"/>
    <cellStyle name="Input 26" xfId="1491"/>
    <cellStyle name="Input 26 2" xfId="2737"/>
    <cellStyle name="Input 27" xfId="1492"/>
    <cellStyle name="Input 27 2" xfId="2733"/>
    <cellStyle name="Input 28" xfId="1493"/>
    <cellStyle name="Input 28 2" xfId="2759"/>
    <cellStyle name="Input 29" xfId="1494"/>
    <cellStyle name="Input 29 2" xfId="2801"/>
    <cellStyle name="Input 3" xfId="475"/>
    <cellStyle name="Input 3 2" xfId="2311"/>
    <cellStyle name="Input 3 3" xfId="2640"/>
    <cellStyle name="Input 3 4" xfId="11534"/>
    <cellStyle name="Input 3 5" xfId="1495"/>
    <cellStyle name="Input 30" xfId="1695"/>
    <cellStyle name="Input 31" xfId="1896"/>
    <cellStyle name="Input 32" xfId="2463"/>
    <cellStyle name="Input 33" xfId="2844"/>
    <cellStyle name="Input 34" xfId="2845"/>
    <cellStyle name="Input 35" xfId="2863"/>
    <cellStyle name="Input 36" xfId="2835"/>
    <cellStyle name="Input 37" xfId="2850"/>
    <cellStyle name="Input 38" xfId="2864"/>
    <cellStyle name="Input 39" xfId="11300"/>
    <cellStyle name="Input 4" xfId="476"/>
    <cellStyle name="Input 4 2" xfId="2469"/>
    <cellStyle name="Input 4 3" xfId="2692"/>
    <cellStyle name="Input 4 4" xfId="11535"/>
    <cellStyle name="Input 4 5" xfId="1496"/>
    <cellStyle name="Input 40" xfId="11328"/>
    <cellStyle name="Input 41" xfId="11355"/>
    <cellStyle name="Input 42" xfId="11832"/>
    <cellStyle name="Input 43" xfId="1125"/>
    <cellStyle name="Input 5" xfId="477"/>
    <cellStyle name="Input 5 2" xfId="2574"/>
    <cellStyle name="Input 5 3" xfId="2693"/>
    <cellStyle name="Input 5 4" xfId="11536"/>
    <cellStyle name="Input 5 5" xfId="1497"/>
    <cellStyle name="Input 6" xfId="478"/>
    <cellStyle name="Input 6 2" xfId="2696"/>
    <cellStyle name="Input 6 3" xfId="11537"/>
    <cellStyle name="Input 6 4" xfId="1498"/>
    <cellStyle name="Input 7" xfId="479"/>
    <cellStyle name="Input 7 2" xfId="2697"/>
    <cellStyle name="Input 7 3" xfId="11538"/>
    <cellStyle name="Input 7 4" xfId="1499"/>
    <cellStyle name="Input 8" xfId="480"/>
    <cellStyle name="Input 8 2" xfId="2701"/>
    <cellStyle name="Input 8 3" xfId="11539"/>
    <cellStyle name="Input 8 4" xfId="1500"/>
    <cellStyle name="Input 9" xfId="481"/>
    <cellStyle name="Input 9 2" xfId="2702"/>
    <cellStyle name="Input 9 3" xfId="11540"/>
    <cellStyle name="Input 9 4" xfId="1501"/>
    <cellStyle name="Linked Cell" xfId="935" builtinId="24" customBuiltin="1"/>
    <cellStyle name="Linked Cell 10" xfId="482"/>
    <cellStyle name="Linked Cell 11" xfId="483"/>
    <cellStyle name="Linked Cell 12" xfId="484"/>
    <cellStyle name="Linked Cell 13" xfId="485"/>
    <cellStyle name="Linked Cell 14" xfId="486"/>
    <cellStyle name="Linked Cell 15" xfId="487"/>
    <cellStyle name="Linked Cell 16" xfId="818"/>
    <cellStyle name="Linked Cell 2" xfId="488"/>
    <cellStyle name="Linked Cell 2 2" xfId="710"/>
    <cellStyle name="Linked Cell 2 2 2" xfId="1793"/>
    <cellStyle name="Linked Cell 2 2 3" xfId="1503"/>
    <cellStyle name="Linked Cell 2 2 4" xfId="11667"/>
    <cellStyle name="Linked Cell 2 2 5" xfId="1232"/>
    <cellStyle name="Linked Cell 2 3" xfId="1504"/>
    <cellStyle name="Linked Cell 2 3 2" xfId="2661"/>
    <cellStyle name="Linked Cell 2 3 3" xfId="2884"/>
    <cellStyle name="Linked Cell 2 3 4" xfId="3467"/>
    <cellStyle name="Linked Cell 2 4" xfId="1714"/>
    <cellStyle name="Linked Cell 2 5" xfId="1900"/>
    <cellStyle name="Linked Cell 2 6" xfId="2597"/>
    <cellStyle name="Linked Cell 2 7" xfId="1502"/>
    <cellStyle name="Linked Cell 2 8" xfId="11541"/>
    <cellStyle name="Linked Cell 3" xfId="489"/>
    <cellStyle name="Linked Cell 3 2" xfId="2312"/>
    <cellStyle name="Linked Cell 3 3" xfId="2641"/>
    <cellStyle name="Linked Cell 3 4" xfId="11542"/>
    <cellStyle name="Linked Cell 3 5" xfId="1505"/>
    <cellStyle name="Linked Cell 4" xfId="490"/>
    <cellStyle name="Linked Cell 4 2" xfId="2802"/>
    <cellStyle name="Linked Cell 4 3" xfId="11543"/>
    <cellStyle name="Linked Cell 4 4" xfId="1506"/>
    <cellStyle name="Linked Cell 5" xfId="491"/>
    <cellStyle name="Linked Cell 5 2" xfId="11544"/>
    <cellStyle name="Linked Cell 5 3" xfId="1696"/>
    <cellStyle name="Linked Cell 6" xfId="492"/>
    <cellStyle name="Linked Cell 6 2" xfId="11545"/>
    <cellStyle name="Linked Cell 6 3" xfId="1899"/>
    <cellStyle name="Linked Cell 7" xfId="493"/>
    <cellStyle name="Linked Cell 8" xfId="494"/>
    <cellStyle name="Linked Cell 9" xfId="495"/>
    <cellStyle name="M" xfId="761"/>
    <cellStyle name="M 2" xfId="1508"/>
    <cellStyle name="M 2 2" xfId="2722"/>
    <cellStyle name="M 3" xfId="1901"/>
    <cellStyle name="M 4" xfId="1507"/>
    <cellStyle name="M.00" xfId="774"/>
    <cellStyle name="M.00 2" xfId="1510"/>
    <cellStyle name="M.00 2 2" xfId="2723"/>
    <cellStyle name="M.00 3" xfId="1902"/>
    <cellStyle name="M.00 4" xfId="1509"/>
    <cellStyle name="M_9. Rev2Cost_GDPIPI" xfId="762"/>
    <cellStyle name="M_9. Rev2Cost_GDPIPI 2" xfId="1512"/>
    <cellStyle name="M_9. Rev2Cost_GDPIPI 2 2" xfId="2724"/>
    <cellStyle name="M_9. Rev2Cost_GDPIPI 3" xfId="1903"/>
    <cellStyle name="M_9. Rev2Cost_GDPIPI 4" xfId="1511"/>
    <cellStyle name="M_lists" xfId="763"/>
    <cellStyle name="M_lists 2" xfId="1514"/>
    <cellStyle name="M_lists 2 2" xfId="2725"/>
    <cellStyle name="M_lists 3" xfId="1904"/>
    <cellStyle name="M_lists 4" xfId="1513"/>
    <cellStyle name="M_lists_4. Current Monthly Fixed Charge" xfId="764"/>
    <cellStyle name="M_lists_4. Current Monthly Fixed Charge 2" xfId="1516"/>
    <cellStyle name="M_lists_4. Current Monthly Fixed Charge 2 2" xfId="2726"/>
    <cellStyle name="M_lists_4. Current Monthly Fixed Charge 3" xfId="1905"/>
    <cellStyle name="M_lists_4. Current Monthly Fixed Charge 4" xfId="1515"/>
    <cellStyle name="M_Sheet4" xfId="765"/>
    <cellStyle name="M_Sheet4 2" xfId="1518"/>
    <cellStyle name="M_Sheet4 2 2" xfId="2727"/>
    <cellStyle name="M_Sheet4 3" xfId="1906"/>
    <cellStyle name="M_Sheet4 4" xfId="1517"/>
    <cellStyle name="Neutral" xfId="931" builtinId="28" customBuiltin="1"/>
    <cellStyle name="Neutral 10" xfId="496"/>
    <cellStyle name="Neutral 11" xfId="497"/>
    <cellStyle name="Neutral 12" xfId="498"/>
    <cellStyle name="Neutral 13" xfId="499"/>
    <cellStyle name="Neutral 14" xfId="500"/>
    <cellStyle name="Neutral 15" xfId="501"/>
    <cellStyle name="Neutral 16" xfId="693"/>
    <cellStyle name="Neutral 2" xfId="502"/>
    <cellStyle name="Neutral 2 2" xfId="706"/>
    <cellStyle name="Neutral 2 2 2" xfId="1794"/>
    <cellStyle name="Neutral 2 2 3" xfId="1520"/>
    <cellStyle name="Neutral 2 2 4" xfId="11663"/>
    <cellStyle name="Neutral 2 2 5" xfId="1234"/>
    <cellStyle name="Neutral 2 3" xfId="1521"/>
    <cellStyle name="Neutral 2 3 2" xfId="2657"/>
    <cellStyle name="Neutral 2 4" xfId="1710"/>
    <cellStyle name="Neutral 2 5" xfId="1908"/>
    <cellStyle name="Neutral 2 6" xfId="2598"/>
    <cellStyle name="Neutral 2 7" xfId="1519"/>
    <cellStyle name="Neutral 2 8" xfId="11546"/>
    <cellStyle name="Neutral 3" xfId="503"/>
    <cellStyle name="Neutral 3 2" xfId="2313"/>
    <cellStyle name="Neutral 3 3" xfId="2642"/>
    <cellStyle name="Neutral 3 4" xfId="11547"/>
    <cellStyle name="Neutral 3 5" xfId="1522"/>
    <cellStyle name="Neutral 4" xfId="504"/>
    <cellStyle name="Neutral 4 2" xfId="2803"/>
    <cellStyle name="Neutral 4 3" xfId="11548"/>
    <cellStyle name="Neutral 4 4" xfId="1523"/>
    <cellStyle name="Neutral 5" xfId="505"/>
    <cellStyle name="Neutral 5 2" xfId="11549"/>
    <cellStyle name="Neutral 5 3" xfId="1697"/>
    <cellStyle name="Neutral 6" xfId="506"/>
    <cellStyle name="Neutral 6 2" xfId="11550"/>
    <cellStyle name="Neutral 6 3" xfId="1907"/>
    <cellStyle name="Neutral 7" xfId="507"/>
    <cellStyle name="Neutral 8" xfId="508"/>
    <cellStyle name="Neutral 9" xfId="509"/>
    <cellStyle name="Normal" xfId="0" builtinId="0"/>
    <cellStyle name="Normal - Style1" xfId="766"/>
    <cellStyle name="Normal - Style1 2" xfId="1525"/>
    <cellStyle name="Normal - Style1 2 2" xfId="2728"/>
    <cellStyle name="Normal - Style1 3" xfId="1909"/>
    <cellStyle name="Normal - Style1 4" xfId="1524"/>
    <cellStyle name="Normal 10" xfId="510"/>
    <cellStyle name="Normal 10 2" xfId="1813"/>
    <cellStyle name="Normal 10 2 2" xfId="2530"/>
    <cellStyle name="Normal 10 2 2 2" xfId="3419"/>
    <cellStyle name="Normal 10 2 2 2 2" xfId="5687"/>
    <cellStyle name="Normal 10 2 2 2 2 2" xfId="10151"/>
    <cellStyle name="Normal 10 2 2 2 3" xfId="7923"/>
    <cellStyle name="Normal 10 2 2 3" xfId="4002"/>
    <cellStyle name="Normal 10 2 2 3 2" xfId="5131"/>
    <cellStyle name="Normal 10 2 2 3 2 2" xfId="9595"/>
    <cellStyle name="Normal 10 2 2 3 3" xfId="8480"/>
    <cellStyle name="Normal 10 2 2 4" xfId="4574"/>
    <cellStyle name="Normal 10 2 2 4 2" xfId="9038"/>
    <cellStyle name="Normal 10 2 2 5" xfId="6244"/>
    <cellStyle name="Normal 10 2 2 5 2" xfId="10708"/>
    <cellStyle name="Normal 10 2 2 6" xfId="6810"/>
    <cellStyle name="Normal 10 2 2 6 2" xfId="11265"/>
    <cellStyle name="Normal 10 2 2 7" xfId="7367"/>
    <cellStyle name="Normal 10 3" xfId="1910"/>
    <cellStyle name="Normal 10 3 2" xfId="2924"/>
    <cellStyle name="Normal 10 3 2 2" xfId="5193"/>
    <cellStyle name="Normal 10 3 2 2 2" xfId="9657"/>
    <cellStyle name="Normal 10 3 2 3" xfId="7429"/>
    <cellStyle name="Normal 10 3 3" xfId="3507"/>
    <cellStyle name="Normal 10 3 3 2" xfId="4637"/>
    <cellStyle name="Normal 10 3 3 2 2" xfId="9101"/>
    <cellStyle name="Normal 10 3 3 3" xfId="7986"/>
    <cellStyle name="Normal 10 3 4" xfId="4080"/>
    <cellStyle name="Normal 10 3 4 2" xfId="8544"/>
    <cellStyle name="Normal 10 3 5" xfId="5750"/>
    <cellStyle name="Normal 10 3 5 2" xfId="10214"/>
    <cellStyle name="Normal 10 3 6" xfId="6316"/>
    <cellStyle name="Normal 10 3 6 2" xfId="10771"/>
    <cellStyle name="Normal 10 3 7" xfId="6873"/>
    <cellStyle name="Normal 10 4" xfId="11551"/>
    <cellStyle name="Normal 10 5" xfId="1526"/>
    <cellStyle name="Normal 11" xfId="511"/>
    <cellStyle name="Normal 11 2" xfId="1911"/>
    <cellStyle name="Normal 11 2 2" xfId="2925"/>
    <cellStyle name="Normal 11 2 2 2" xfId="5194"/>
    <cellStyle name="Normal 11 2 2 2 2" xfId="9658"/>
    <cellStyle name="Normal 11 2 2 3" xfId="7430"/>
    <cellStyle name="Normal 11 2 3" xfId="3508"/>
    <cellStyle name="Normal 11 2 3 2" xfId="4638"/>
    <cellStyle name="Normal 11 2 3 2 2" xfId="9102"/>
    <cellStyle name="Normal 11 2 3 3" xfId="7987"/>
    <cellStyle name="Normal 11 2 4" xfId="4081"/>
    <cellStyle name="Normal 11 2 4 2" xfId="8545"/>
    <cellStyle name="Normal 11 2 5" xfId="5751"/>
    <cellStyle name="Normal 11 2 5 2" xfId="10215"/>
    <cellStyle name="Normal 11 2 6" xfId="6317"/>
    <cellStyle name="Normal 11 2 6 2" xfId="10772"/>
    <cellStyle name="Normal 11 2 7" xfId="6874"/>
    <cellStyle name="Normal 11 3" xfId="2531"/>
    <cellStyle name="Normal 11 3 2" xfId="3420"/>
    <cellStyle name="Normal 11 3 2 2" xfId="5688"/>
    <cellStyle name="Normal 11 3 2 2 2" xfId="10152"/>
    <cellStyle name="Normal 11 3 2 3" xfId="7924"/>
    <cellStyle name="Normal 11 3 3" xfId="4003"/>
    <cellStyle name="Normal 11 3 3 2" xfId="5132"/>
    <cellStyle name="Normal 11 3 3 2 2" xfId="9596"/>
    <cellStyle name="Normal 11 3 3 3" xfId="8481"/>
    <cellStyle name="Normal 11 3 4" xfId="4575"/>
    <cellStyle name="Normal 11 3 4 2" xfId="9039"/>
    <cellStyle name="Normal 11 3 5" xfId="6245"/>
    <cellStyle name="Normal 11 3 5 2" xfId="10709"/>
    <cellStyle name="Normal 11 3 6" xfId="6811"/>
    <cellStyle name="Normal 11 3 6 2" xfId="11266"/>
    <cellStyle name="Normal 11 3 7" xfId="7368"/>
    <cellStyle name="Normal 11 4" xfId="11552"/>
    <cellStyle name="Normal 11 5" xfId="1527"/>
    <cellStyle name="Normal 12" xfId="512"/>
    <cellStyle name="Normal 12 10" xfId="1642"/>
    <cellStyle name="Normal 12 2" xfId="2532"/>
    <cellStyle name="Normal 12 2 2" xfId="3421"/>
    <cellStyle name="Normal 12 2 2 2" xfId="5689"/>
    <cellStyle name="Normal 12 2 2 2 2" xfId="10153"/>
    <cellStyle name="Normal 12 2 2 3" xfId="7925"/>
    <cellStyle name="Normal 12 2 3" xfId="4004"/>
    <cellStyle name="Normal 12 2 3 2" xfId="5133"/>
    <cellStyle name="Normal 12 2 3 2 2" xfId="9597"/>
    <cellStyle name="Normal 12 2 3 3" xfId="8482"/>
    <cellStyle name="Normal 12 2 4" xfId="4576"/>
    <cellStyle name="Normal 12 2 4 2" xfId="9040"/>
    <cellStyle name="Normal 12 2 5" xfId="6246"/>
    <cellStyle name="Normal 12 2 5 2" xfId="10710"/>
    <cellStyle name="Normal 12 2 6" xfId="6812"/>
    <cellStyle name="Normal 12 2 6 2" xfId="11267"/>
    <cellStyle name="Normal 12 2 7" xfId="7369"/>
    <cellStyle name="Normal 12 3" xfId="2886"/>
    <cellStyle name="Normal 12 3 2" xfId="5155"/>
    <cellStyle name="Normal 12 3 2 2" xfId="9619"/>
    <cellStyle name="Normal 12 3 3" xfId="7391"/>
    <cellStyle name="Normal 12 4" xfId="3469"/>
    <cellStyle name="Normal 12 4 2" xfId="4599"/>
    <cellStyle name="Normal 12 4 2 2" xfId="9063"/>
    <cellStyle name="Normal 12 4 3" xfId="7948"/>
    <cellStyle name="Normal 12 5" xfId="4042"/>
    <cellStyle name="Normal 12 5 2" xfId="8506"/>
    <cellStyle name="Normal 12 6" xfId="5712"/>
    <cellStyle name="Normal 12 6 2" xfId="10176"/>
    <cellStyle name="Normal 12 7" xfId="6278"/>
    <cellStyle name="Normal 12 7 2" xfId="10733"/>
    <cellStyle name="Normal 12 8" xfId="6835"/>
    <cellStyle name="Normal 12 9" xfId="11553"/>
    <cellStyle name="Normal 13" xfId="513"/>
    <cellStyle name="Normal 13 10" xfId="11554"/>
    <cellStyle name="Normal 13 11" xfId="1644"/>
    <cellStyle name="Normal 13 2" xfId="2533"/>
    <cellStyle name="Normal 13 2 2" xfId="3422"/>
    <cellStyle name="Normal 13 2 2 2" xfId="5690"/>
    <cellStyle name="Normal 13 2 2 2 2" xfId="10154"/>
    <cellStyle name="Normal 13 2 2 3" xfId="7926"/>
    <cellStyle name="Normal 13 2 3" xfId="4005"/>
    <cellStyle name="Normal 13 2 3 2" xfId="5134"/>
    <cellStyle name="Normal 13 2 3 2 2" xfId="9598"/>
    <cellStyle name="Normal 13 2 3 3" xfId="8483"/>
    <cellStyle name="Normal 13 2 4" xfId="4577"/>
    <cellStyle name="Normal 13 2 4 2" xfId="9041"/>
    <cellStyle name="Normal 13 2 5" xfId="6247"/>
    <cellStyle name="Normal 13 2 5 2" xfId="10711"/>
    <cellStyle name="Normal 13 2 6" xfId="6813"/>
    <cellStyle name="Normal 13 2 6 2" xfId="11268"/>
    <cellStyle name="Normal 13 2 7" xfId="7370"/>
    <cellStyle name="Normal 13 3" xfId="2880"/>
    <cellStyle name="Normal 13 3 2" xfId="4031"/>
    <cellStyle name="Normal 13 3 2 2" xfId="8503"/>
    <cellStyle name="Normal 13 3 3" xfId="5154"/>
    <cellStyle name="Normal 13 3 3 2" xfId="9618"/>
    <cellStyle name="Normal 13 3 4" xfId="7390"/>
    <cellStyle name="Normal 13 4" xfId="2888"/>
    <cellStyle name="Normal 13 4 2" xfId="5157"/>
    <cellStyle name="Normal 13 4 2 2" xfId="9621"/>
    <cellStyle name="Normal 13 4 3" xfId="7393"/>
    <cellStyle name="Normal 13 5" xfId="3471"/>
    <cellStyle name="Normal 13 5 2" xfId="4601"/>
    <cellStyle name="Normal 13 5 2 2" xfId="9065"/>
    <cellStyle name="Normal 13 5 3" xfId="7950"/>
    <cellStyle name="Normal 13 6" xfId="4044"/>
    <cellStyle name="Normal 13 6 2" xfId="8508"/>
    <cellStyle name="Normal 13 7" xfId="5714"/>
    <cellStyle name="Normal 13 7 2" xfId="10178"/>
    <cellStyle name="Normal 13 8" xfId="6280"/>
    <cellStyle name="Normal 13 8 2" xfId="10735"/>
    <cellStyle name="Normal 13 9" xfId="6837"/>
    <cellStyle name="Normal 14" xfId="514"/>
    <cellStyle name="Normal 14 2" xfId="2534"/>
    <cellStyle name="Normal 14 2 2" xfId="3423"/>
    <cellStyle name="Normal 14 2 2 2" xfId="5691"/>
    <cellStyle name="Normal 14 2 2 2 2" xfId="10155"/>
    <cellStyle name="Normal 14 2 2 3" xfId="7927"/>
    <cellStyle name="Normal 14 2 3" xfId="4006"/>
    <cellStyle name="Normal 14 2 3 2" xfId="5135"/>
    <cellStyle name="Normal 14 2 3 2 2" xfId="9599"/>
    <cellStyle name="Normal 14 2 3 3" xfId="8484"/>
    <cellStyle name="Normal 14 2 4" xfId="4578"/>
    <cellStyle name="Normal 14 2 4 2" xfId="9042"/>
    <cellStyle name="Normal 14 2 5" xfId="6248"/>
    <cellStyle name="Normal 14 2 5 2" xfId="10712"/>
    <cellStyle name="Normal 14 2 6" xfId="6814"/>
    <cellStyle name="Normal 14 2 6 2" xfId="11269"/>
    <cellStyle name="Normal 14 2 7" xfId="7371"/>
    <cellStyle name="Normal 14 3" xfId="11359"/>
    <cellStyle name="Normal 14 4" xfId="1814"/>
    <cellStyle name="Normal 14 5" xfId="11555"/>
    <cellStyle name="Normal 14 6" xfId="1154"/>
    <cellStyle name="Normal 15" xfId="515"/>
    <cellStyle name="Normal 15 10" xfId="1934"/>
    <cellStyle name="Normal 15 2" xfId="2535"/>
    <cellStyle name="Normal 15 2 2" xfId="3424"/>
    <cellStyle name="Normal 15 2 2 2" xfId="5692"/>
    <cellStyle name="Normal 15 2 2 2 2" xfId="10156"/>
    <cellStyle name="Normal 15 2 2 3" xfId="7928"/>
    <cellStyle name="Normal 15 2 3" xfId="4007"/>
    <cellStyle name="Normal 15 2 3 2" xfId="5136"/>
    <cellStyle name="Normal 15 2 3 2 2" xfId="9600"/>
    <cellStyle name="Normal 15 2 3 3" xfId="8485"/>
    <cellStyle name="Normal 15 2 4" xfId="4579"/>
    <cellStyle name="Normal 15 2 4 2" xfId="9043"/>
    <cellStyle name="Normal 15 2 5" xfId="6249"/>
    <cellStyle name="Normal 15 2 5 2" xfId="10713"/>
    <cellStyle name="Normal 15 2 6" xfId="6815"/>
    <cellStyle name="Normal 15 2 6 2" xfId="11270"/>
    <cellStyle name="Normal 15 2 7" xfId="7372"/>
    <cellStyle name="Normal 15 3" xfId="2937"/>
    <cellStyle name="Normal 15 3 2" xfId="5206"/>
    <cellStyle name="Normal 15 3 2 2" xfId="9670"/>
    <cellStyle name="Normal 15 3 3" xfId="7442"/>
    <cellStyle name="Normal 15 4" xfId="3520"/>
    <cellStyle name="Normal 15 4 2" xfId="4650"/>
    <cellStyle name="Normal 15 4 2 2" xfId="9114"/>
    <cellStyle name="Normal 15 4 3" xfId="7999"/>
    <cellStyle name="Normal 15 5" xfId="4093"/>
    <cellStyle name="Normal 15 5 2" xfId="8557"/>
    <cellStyle name="Normal 15 6" xfId="5763"/>
    <cellStyle name="Normal 15 6 2" xfId="10227"/>
    <cellStyle name="Normal 15 7" xfId="6329"/>
    <cellStyle name="Normal 15 7 2" xfId="10784"/>
    <cellStyle name="Normal 15 8" xfId="6886"/>
    <cellStyle name="Normal 15 9" xfId="11556"/>
    <cellStyle name="Normal 16" xfId="516"/>
    <cellStyle name="Normal 16 10" xfId="2314"/>
    <cellStyle name="Normal 16 2" xfId="603"/>
    <cellStyle name="Normal 16 2 2" xfId="620"/>
    <cellStyle name="Normal 16 2 2 2" xfId="657"/>
    <cellStyle name="Normal 16 2 2 2 2" xfId="836"/>
    <cellStyle name="Normal 16 2 2 2 2 2" xfId="11755"/>
    <cellStyle name="Normal 16 2 2 2 2 3" xfId="10002"/>
    <cellStyle name="Normal 16 2 2 2 3" xfId="906"/>
    <cellStyle name="Normal 16 2 2 2 3 2" xfId="11813"/>
    <cellStyle name="Normal 16 2 2 2 4" xfId="11643"/>
    <cellStyle name="Normal 16 2 2 2 5" xfId="5538"/>
    <cellStyle name="Normal 16 2 2 3" xfId="803"/>
    <cellStyle name="Normal 16 2 2 3 2" xfId="11724"/>
    <cellStyle name="Normal 16 2 2 3 3" xfId="7774"/>
    <cellStyle name="Normal 16 2 2 4" xfId="876"/>
    <cellStyle name="Normal 16 2 2 4 2" xfId="11783"/>
    <cellStyle name="Normal 16 2 2 5" xfId="11606"/>
    <cellStyle name="Normal 16 2 2 6" xfId="3269"/>
    <cellStyle name="Normal 16 2 3" xfId="628"/>
    <cellStyle name="Normal 16 2 3 2" xfId="665"/>
    <cellStyle name="Normal 16 2 3 2 2" xfId="844"/>
    <cellStyle name="Normal 16 2 3 2 2 2" xfId="11763"/>
    <cellStyle name="Normal 16 2 3 2 2 3" xfId="9446"/>
    <cellStyle name="Normal 16 2 3 2 3" xfId="914"/>
    <cellStyle name="Normal 16 2 3 2 3 2" xfId="11821"/>
    <cellStyle name="Normal 16 2 3 2 4" xfId="11651"/>
    <cellStyle name="Normal 16 2 3 2 5" xfId="4982"/>
    <cellStyle name="Normal 16 2 3 3" xfId="811"/>
    <cellStyle name="Normal 16 2 3 3 2" xfId="11732"/>
    <cellStyle name="Normal 16 2 3 3 3" xfId="8331"/>
    <cellStyle name="Normal 16 2 3 4" xfId="884"/>
    <cellStyle name="Normal 16 2 3 4 2" xfId="11791"/>
    <cellStyle name="Normal 16 2 3 5" xfId="11614"/>
    <cellStyle name="Normal 16 2 3 6" xfId="3852"/>
    <cellStyle name="Normal 16 2 4" xfId="649"/>
    <cellStyle name="Normal 16 2 4 2" xfId="828"/>
    <cellStyle name="Normal 16 2 4 2 2" xfId="11747"/>
    <cellStyle name="Normal 16 2 4 2 3" xfId="8889"/>
    <cellStyle name="Normal 16 2 4 3" xfId="898"/>
    <cellStyle name="Normal 16 2 4 3 2" xfId="11805"/>
    <cellStyle name="Normal 16 2 4 4" xfId="11635"/>
    <cellStyle name="Normal 16 2 4 5" xfId="4425"/>
    <cellStyle name="Normal 16 2 5" xfId="792"/>
    <cellStyle name="Normal 16 2 5 2" xfId="10559"/>
    <cellStyle name="Normal 16 2 5 3" xfId="11715"/>
    <cellStyle name="Normal 16 2 5 4" xfId="6095"/>
    <cellStyle name="Normal 16 2 6" xfId="868"/>
    <cellStyle name="Normal 16 2 6 2" xfId="11116"/>
    <cellStyle name="Normal 16 2 6 3" xfId="11775"/>
    <cellStyle name="Normal 16 2 6 4" xfId="6661"/>
    <cellStyle name="Normal 16 2 7" xfId="7218"/>
    <cellStyle name="Normal 16 2 8" xfId="11596"/>
    <cellStyle name="Normal 16 2 9" xfId="2315"/>
    <cellStyle name="Normal 16 3" xfId="592"/>
    <cellStyle name="Normal 16 3 2" xfId="646"/>
    <cellStyle name="Normal 16 3 2 2" xfId="825"/>
    <cellStyle name="Normal 16 3 2 2 2" xfId="11744"/>
    <cellStyle name="Normal 16 3 2 2 3" xfId="10001"/>
    <cellStyle name="Normal 16 3 2 3" xfId="895"/>
    <cellStyle name="Normal 16 3 2 3 2" xfId="11802"/>
    <cellStyle name="Normal 16 3 2 4" xfId="11632"/>
    <cellStyle name="Normal 16 3 2 5" xfId="5537"/>
    <cellStyle name="Normal 16 3 3" xfId="786"/>
    <cellStyle name="Normal 16 3 3 2" xfId="11710"/>
    <cellStyle name="Normal 16 3 3 3" xfId="7773"/>
    <cellStyle name="Normal 16 3 4" xfId="865"/>
    <cellStyle name="Normal 16 3 4 2" xfId="11772"/>
    <cellStyle name="Normal 16 3 5" xfId="11589"/>
    <cellStyle name="Normal 16 3 6" xfId="3268"/>
    <cellStyle name="Normal 16 4" xfId="617"/>
    <cellStyle name="Normal 16 4 2" xfId="654"/>
    <cellStyle name="Normal 16 4 2 2" xfId="833"/>
    <cellStyle name="Normal 16 4 2 2 2" xfId="11752"/>
    <cellStyle name="Normal 16 4 2 2 3" xfId="9445"/>
    <cellStyle name="Normal 16 4 2 3" xfId="903"/>
    <cellStyle name="Normal 16 4 2 3 2" xfId="11810"/>
    <cellStyle name="Normal 16 4 2 4" xfId="11640"/>
    <cellStyle name="Normal 16 4 2 5" xfId="4981"/>
    <cellStyle name="Normal 16 4 3" xfId="800"/>
    <cellStyle name="Normal 16 4 3 2" xfId="11721"/>
    <cellStyle name="Normal 16 4 3 3" xfId="8330"/>
    <cellStyle name="Normal 16 4 4" xfId="873"/>
    <cellStyle name="Normal 16 4 4 2" xfId="11780"/>
    <cellStyle name="Normal 16 4 5" xfId="11603"/>
    <cellStyle name="Normal 16 4 6" xfId="3851"/>
    <cellStyle name="Normal 16 5" xfId="625"/>
    <cellStyle name="Normal 16 5 2" xfId="662"/>
    <cellStyle name="Normal 16 5 2 2" xfId="841"/>
    <cellStyle name="Normal 16 5 2 2 2" xfId="11760"/>
    <cellStyle name="Normal 16 5 2 3" xfId="911"/>
    <cellStyle name="Normal 16 5 2 3 2" xfId="11818"/>
    <cellStyle name="Normal 16 5 2 4" xfId="11648"/>
    <cellStyle name="Normal 16 5 2 5" xfId="8888"/>
    <cellStyle name="Normal 16 5 3" xfId="808"/>
    <cellStyle name="Normal 16 5 3 2" xfId="11729"/>
    <cellStyle name="Normal 16 5 4" xfId="881"/>
    <cellStyle name="Normal 16 5 4 2" xfId="11788"/>
    <cellStyle name="Normal 16 5 5" xfId="11611"/>
    <cellStyle name="Normal 16 5 6" xfId="4424"/>
    <cellStyle name="Normal 16 6" xfId="643"/>
    <cellStyle name="Normal 16 6 2" xfId="822"/>
    <cellStyle name="Normal 16 6 2 2" xfId="11742"/>
    <cellStyle name="Normal 16 6 2 3" xfId="10558"/>
    <cellStyle name="Normal 16 6 3" xfId="893"/>
    <cellStyle name="Normal 16 6 3 2" xfId="11800"/>
    <cellStyle name="Normal 16 6 4" xfId="11629"/>
    <cellStyle name="Normal 16 6 5" xfId="6094"/>
    <cellStyle name="Normal 16 7" xfId="772"/>
    <cellStyle name="Normal 16 7 2" xfId="11115"/>
    <cellStyle name="Normal 16 7 3" xfId="11707"/>
    <cellStyle name="Normal 16 7 4" xfId="6660"/>
    <cellStyle name="Normal 16 8" xfId="862"/>
    <cellStyle name="Normal 16 8 2" xfId="11769"/>
    <cellStyle name="Normal 16 8 3" xfId="7217"/>
    <cellStyle name="Normal 16 9" xfId="11557"/>
    <cellStyle name="Normal 17" xfId="517"/>
    <cellStyle name="Normal 17 10" xfId="2316"/>
    <cellStyle name="Normal 17 2" xfId="604"/>
    <cellStyle name="Normal 17 2 2" xfId="621"/>
    <cellStyle name="Normal 17 2 2 2" xfId="658"/>
    <cellStyle name="Normal 17 2 2 2 2" xfId="837"/>
    <cellStyle name="Normal 17 2 2 2 2 2" xfId="11756"/>
    <cellStyle name="Normal 17 2 2 2 2 3" xfId="10004"/>
    <cellStyle name="Normal 17 2 2 2 3" xfId="907"/>
    <cellStyle name="Normal 17 2 2 2 3 2" xfId="11814"/>
    <cellStyle name="Normal 17 2 2 2 4" xfId="11644"/>
    <cellStyle name="Normal 17 2 2 2 5" xfId="5540"/>
    <cellStyle name="Normal 17 2 2 3" xfId="804"/>
    <cellStyle name="Normal 17 2 2 3 2" xfId="11725"/>
    <cellStyle name="Normal 17 2 2 3 3" xfId="7776"/>
    <cellStyle name="Normal 17 2 2 4" xfId="877"/>
    <cellStyle name="Normal 17 2 2 4 2" xfId="11784"/>
    <cellStyle name="Normal 17 2 2 5" xfId="11607"/>
    <cellStyle name="Normal 17 2 2 6" xfId="3271"/>
    <cellStyle name="Normal 17 2 3" xfId="629"/>
    <cellStyle name="Normal 17 2 3 2" xfId="666"/>
    <cellStyle name="Normal 17 2 3 2 2" xfId="845"/>
    <cellStyle name="Normal 17 2 3 2 2 2" xfId="11764"/>
    <cellStyle name="Normal 17 2 3 2 2 3" xfId="9448"/>
    <cellStyle name="Normal 17 2 3 2 3" xfId="915"/>
    <cellStyle name="Normal 17 2 3 2 3 2" xfId="11822"/>
    <cellStyle name="Normal 17 2 3 2 4" xfId="11652"/>
    <cellStyle name="Normal 17 2 3 2 5" xfId="4984"/>
    <cellStyle name="Normal 17 2 3 3" xfId="812"/>
    <cellStyle name="Normal 17 2 3 3 2" xfId="11733"/>
    <cellStyle name="Normal 17 2 3 3 3" xfId="8333"/>
    <cellStyle name="Normal 17 2 3 4" xfId="885"/>
    <cellStyle name="Normal 17 2 3 4 2" xfId="11792"/>
    <cellStyle name="Normal 17 2 3 5" xfId="11615"/>
    <cellStyle name="Normal 17 2 3 6" xfId="3854"/>
    <cellStyle name="Normal 17 2 4" xfId="650"/>
    <cellStyle name="Normal 17 2 4 2" xfId="829"/>
    <cellStyle name="Normal 17 2 4 2 2" xfId="11748"/>
    <cellStyle name="Normal 17 2 4 2 3" xfId="8891"/>
    <cellStyle name="Normal 17 2 4 3" xfId="899"/>
    <cellStyle name="Normal 17 2 4 3 2" xfId="11806"/>
    <cellStyle name="Normal 17 2 4 4" xfId="11636"/>
    <cellStyle name="Normal 17 2 4 5" xfId="4427"/>
    <cellStyle name="Normal 17 2 5" xfId="793"/>
    <cellStyle name="Normal 17 2 5 2" xfId="10561"/>
    <cellStyle name="Normal 17 2 5 3" xfId="11716"/>
    <cellStyle name="Normal 17 2 5 4" xfId="6097"/>
    <cellStyle name="Normal 17 2 6" xfId="869"/>
    <cellStyle name="Normal 17 2 6 2" xfId="11118"/>
    <cellStyle name="Normal 17 2 6 3" xfId="11776"/>
    <cellStyle name="Normal 17 2 6 4" xfId="6663"/>
    <cellStyle name="Normal 17 2 7" xfId="7220"/>
    <cellStyle name="Normal 17 2 8" xfId="11597"/>
    <cellStyle name="Normal 17 2 9" xfId="2317"/>
    <cellStyle name="Normal 17 3" xfId="593"/>
    <cellStyle name="Normal 17 3 2" xfId="647"/>
    <cellStyle name="Normal 17 3 2 2" xfId="826"/>
    <cellStyle name="Normal 17 3 2 2 2" xfId="11745"/>
    <cellStyle name="Normal 17 3 2 2 3" xfId="10003"/>
    <cellStyle name="Normal 17 3 2 3" xfId="896"/>
    <cellStyle name="Normal 17 3 2 3 2" xfId="11803"/>
    <cellStyle name="Normal 17 3 2 4" xfId="11633"/>
    <cellStyle name="Normal 17 3 2 5" xfId="5539"/>
    <cellStyle name="Normal 17 3 3" xfId="787"/>
    <cellStyle name="Normal 17 3 3 2" xfId="11711"/>
    <cellStyle name="Normal 17 3 3 3" xfId="7775"/>
    <cellStyle name="Normal 17 3 4" xfId="866"/>
    <cellStyle name="Normal 17 3 4 2" xfId="11773"/>
    <cellStyle name="Normal 17 3 5" xfId="11590"/>
    <cellStyle name="Normal 17 3 6" xfId="3270"/>
    <cellStyle name="Normal 17 4" xfId="618"/>
    <cellStyle name="Normal 17 4 2" xfId="655"/>
    <cellStyle name="Normal 17 4 2 2" xfId="834"/>
    <cellStyle name="Normal 17 4 2 2 2" xfId="11753"/>
    <cellStyle name="Normal 17 4 2 2 3" xfId="9447"/>
    <cellStyle name="Normal 17 4 2 3" xfId="904"/>
    <cellStyle name="Normal 17 4 2 3 2" xfId="11811"/>
    <cellStyle name="Normal 17 4 2 4" xfId="11641"/>
    <cellStyle name="Normal 17 4 2 5" xfId="4983"/>
    <cellStyle name="Normal 17 4 3" xfId="801"/>
    <cellStyle name="Normal 17 4 3 2" xfId="11722"/>
    <cellStyle name="Normal 17 4 3 3" xfId="8332"/>
    <cellStyle name="Normal 17 4 4" xfId="874"/>
    <cellStyle name="Normal 17 4 4 2" xfId="11781"/>
    <cellStyle name="Normal 17 4 5" xfId="11604"/>
    <cellStyle name="Normal 17 4 6" xfId="3853"/>
    <cellStyle name="Normal 17 5" xfId="626"/>
    <cellStyle name="Normal 17 5 2" xfId="663"/>
    <cellStyle name="Normal 17 5 2 2" xfId="842"/>
    <cellStyle name="Normal 17 5 2 2 2" xfId="11761"/>
    <cellStyle name="Normal 17 5 2 3" xfId="912"/>
    <cellStyle name="Normal 17 5 2 3 2" xfId="11819"/>
    <cellStyle name="Normal 17 5 2 4" xfId="11649"/>
    <cellStyle name="Normal 17 5 2 5" xfId="8890"/>
    <cellStyle name="Normal 17 5 3" xfId="809"/>
    <cellStyle name="Normal 17 5 3 2" xfId="11730"/>
    <cellStyle name="Normal 17 5 4" xfId="882"/>
    <cellStyle name="Normal 17 5 4 2" xfId="11789"/>
    <cellStyle name="Normal 17 5 5" xfId="11612"/>
    <cellStyle name="Normal 17 5 6" xfId="4426"/>
    <cellStyle name="Normal 17 6" xfId="644"/>
    <cellStyle name="Normal 17 6 2" xfId="823"/>
    <cellStyle name="Normal 17 6 2 2" xfId="11743"/>
    <cellStyle name="Normal 17 6 2 3" xfId="10560"/>
    <cellStyle name="Normal 17 6 3" xfId="894"/>
    <cellStyle name="Normal 17 6 3 2" xfId="11801"/>
    <cellStyle name="Normal 17 6 4" xfId="11630"/>
    <cellStyle name="Normal 17 6 5" xfId="6096"/>
    <cellStyle name="Normal 17 7" xfId="773"/>
    <cellStyle name="Normal 17 7 2" xfId="11117"/>
    <cellStyle name="Normal 17 7 3" xfId="11708"/>
    <cellStyle name="Normal 17 7 4" xfId="6662"/>
    <cellStyle name="Normal 17 8" xfId="863"/>
    <cellStyle name="Normal 17 8 2" xfId="11770"/>
    <cellStyle name="Normal 17 8 3" xfId="7219"/>
    <cellStyle name="Normal 17 9" xfId="11558"/>
    <cellStyle name="Normal 18" xfId="518"/>
    <cellStyle name="Normal 18 2" xfId="2536"/>
    <cellStyle name="Normal 18 2 2" xfId="3425"/>
    <cellStyle name="Normal 18 2 2 2" xfId="5693"/>
    <cellStyle name="Normal 18 2 2 2 2" xfId="10157"/>
    <cellStyle name="Normal 18 2 2 3" xfId="7929"/>
    <cellStyle name="Normal 18 2 3" xfId="4008"/>
    <cellStyle name="Normal 18 2 3 2" xfId="5137"/>
    <cellStyle name="Normal 18 2 3 2 2" xfId="9601"/>
    <cellStyle name="Normal 18 2 3 3" xfId="8486"/>
    <cellStyle name="Normal 18 2 4" xfId="4580"/>
    <cellStyle name="Normal 18 2 4 2" xfId="9044"/>
    <cellStyle name="Normal 18 2 5" xfId="6250"/>
    <cellStyle name="Normal 18 2 5 2" xfId="10714"/>
    <cellStyle name="Normal 18 2 6" xfId="6816"/>
    <cellStyle name="Normal 18 2 6 2" xfId="11271"/>
    <cellStyle name="Normal 18 2 7" xfId="7373"/>
    <cellStyle name="Normal 19" xfId="519"/>
    <cellStyle name="Normal 19 2" xfId="605"/>
    <cellStyle name="Normal 19 3" xfId="594"/>
    <cellStyle name="Normal 19 4" xfId="2537"/>
    <cellStyle name="Normal 19 4 2" xfId="3426"/>
    <cellStyle name="Normal 19 4 2 2" xfId="5694"/>
    <cellStyle name="Normal 19 4 2 2 2" xfId="10158"/>
    <cellStyle name="Normal 19 4 2 3" xfId="7930"/>
    <cellStyle name="Normal 19 4 3" xfId="4009"/>
    <cellStyle name="Normal 19 4 3 2" xfId="5138"/>
    <cellStyle name="Normal 19 4 3 2 2" xfId="9602"/>
    <cellStyle name="Normal 19 4 3 3" xfId="8487"/>
    <cellStyle name="Normal 19 4 4" xfId="4581"/>
    <cellStyle name="Normal 19 4 4 2" xfId="9045"/>
    <cellStyle name="Normal 19 4 5" xfId="6251"/>
    <cellStyle name="Normal 19 4 5 2" xfId="10715"/>
    <cellStyle name="Normal 19 4 6" xfId="6817"/>
    <cellStyle name="Normal 19 4 6 2" xfId="11272"/>
    <cellStyle name="Normal 19 4 7" xfId="7374"/>
    <cellStyle name="Normal 2" xfId="520"/>
    <cellStyle name="Normal 2 2" xfId="606"/>
    <cellStyle name="Normal 2 2 2" xfId="622"/>
    <cellStyle name="Normal 2 2 2 2" xfId="659"/>
    <cellStyle name="Normal 2 2 2 2 2" xfId="838"/>
    <cellStyle name="Normal 2 2 2 2 2 2" xfId="5709"/>
    <cellStyle name="Normal 2 2 2 2 2 2 2" xfId="10173"/>
    <cellStyle name="Normal 2 2 2 2 2 3" xfId="7945"/>
    <cellStyle name="Normal 2 2 2 2 2 4" xfId="11757"/>
    <cellStyle name="Normal 2 2 2 2 2 5" xfId="3441"/>
    <cellStyle name="Normal 2 2 2 2 3" xfId="908"/>
    <cellStyle name="Normal 2 2 2 2 3 2" xfId="5153"/>
    <cellStyle name="Normal 2 2 2 2 3 2 2" xfId="9617"/>
    <cellStyle name="Normal 2 2 2 2 3 3" xfId="8502"/>
    <cellStyle name="Normal 2 2 2 2 3 4" xfId="11815"/>
    <cellStyle name="Normal 2 2 2 2 3 5" xfId="4024"/>
    <cellStyle name="Normal 2 2 2 2 4" xfId="4596"/>
    <cellStyle name="Normal 2 2 2 2 4 2" xfId="9060"/>
    <cellStyle name="Normal 2 2 2 2 5" xfId="6266"/>
    <cellStyle name="Normal 2 2 2 2 5 2" xfId="10730"/>
    <cellStyle name="Normal 2 2 2 2 6" xfId="6832"/>
    <cellStyle name="Normal 2 2 2 2 6 2" xfId="11287"/>
    <cellStyle name="Normal 2 2 2 2 7" xfId="7389"/>
    <cellStyle name="Normal 2 2 2 2 8" xfId="11645"/>
    <cellStyle name="Normal 2 2 2 2 9" xfId="2809"/>
    <cellStyle name="Normal 2 2 2 3" xfId="805"/>
    <cellStyle name="Normal 2 2 2 3 2" xfId="11726"/>
    <cellStyle name="Normal 2 2 2 4" xfId="878"/>
    <cellStyle name="Normal 2 2 2 4 2" xfId="11785"/>
    <cellStyle name="Normal 2 2 2 5" xfId="11608"/>
    <cellStyle name="Normal 2 2 2 6" xfId="1530"/>
    <cellStyle name="Normal 2 2 3" xfId="630"/>
    <cellStyle name="Normal 2 2 3 2" xfId="667"/>
    <cellStyle name="Normal 2 2 3 2 2" xfId="846"/>
    <cellStyle name="Normal 2 2 3 2 2 2" xfId="11765"/>
    <cellStyle name="Normal 2 2 3 2 3" xfId="916"/>
    <cellStyle name="Normal 2 2 3 2 3 2" xfId="11823"/>
    <cellStyle name="Normal 2 2 3 2 4" xfId="11653"/>
    <cellStyle name="Normal 2 2 3 3" xfId="813"/>
    <cellStyle name="Normal 2 2 3 3 2" xfId="11734"/>
    <cellStyle name="Normal 2 2 3 4" xfId="886"/>
    <cellStyle name="Normal 2 2 3 4 2" xfId="11793"/>
    <cellStyle name="Normal 2 2 3 5" xfId="11616"/>
    <cellStyle name="Normal 2 2 3 6" xfId="1795"/>
    <cellStyle name="Normal 2 2 4" xfId="651"/>
    <cellStyle name="Normal 2 2 4 2" xfId="830"/>
    <cellStyle name="Normal 2 2 4 2 2" xfId="11749"/>
    <cellStyle name="Normal 2 2 4 3" xfId="900"/>
    <cellStyle name="Normal 2 2 4 3 2" xfId="11807"/>
    <cellStyle name="Normal 2 2 4 4" xfId="11637"/>
    <cellStyle name="Normal 2 2 5" xfId="794"/>
    <cellStyle name="Normal 2 2 5 2" xfId="11717"/>
    <cellStyle name="Normal 2 2 6" xfId="870"/>
    <cellStyle name="Normal 2 2 6 2" xfId="11777"/>
    <cellStyle name="Normal 2 2 7" xfId="11598"/>
    <cellStyle name="Normal 2 2 8" xfId="1529"/>
    <cellStyle name="Normal 2 3" xfId="637"/>
    <cellStyle name="Normal 2 3 2" xfId="2318"/>
    <cellStyle name="Normal 2 3 2 2" xfId="3272"/>
    <cellStyle name="Normal 2 3 2 2 2" xfId="5541"/>
    <cellStyle name="Normal 2 3 2 2 2 2" xfId="10005"/>
    <cellStyle name="Normal 2 3 2 2 3" xfId="7777"/>
    <cellStyle name="Normal 2 3 2 3" xfId="3855"/>
    <cellStyle name="Normal 2 3 2 3 2" xfId="4985"/>
    <cellStyle name="Normal 2 3 2 3 2 2" xfId="9449"/>
    <cellStyle name="Normal 2 3 2 3 3" xfId="8334"/>
    <cellStyle name="Normal 2 3 2 4" xfId="4428"/>
    <cellStyle name="Normal 2 3 2 4 2" xfId="8892"/>
    <cellStyle name="Normal 2 3 2 5" xfId="6098"/>
    <cellStyle name="Normal 2 3 2 5 2" xfId="10562"/>
    <cellStyle name="Normal 2 3 2 6" xfId="6664"/>
    <cellStyle name="Normal 2 3 2 6 2" xfId="11119"/>
    <cellStyle name="Normal 2 3 2 7" xfId="7221"/>
    <cellStyle name="Normal 2 3 3" xfId="2649"/>
    <cellStyle name="Normal 2 3 4" xfId="11623"/>
    <cellStyle name="Normal 2 3 5" xfId="1531"/>
    <cellStyle name="Normal 2 4" xfId="697"/>
    <cellStyle name="Normal 2 4 2" xfId="2471"/>
    <cellStyle name="Normal 2 4 2 2" xfId="3392"/>
    <cellStyle name="Normal 2 4 2 2 2" xfId="5660"/>
    <cellStyle name="Normal 2 4 2 2 2 2" xfId="10124"/>
    <cellStyle name="Normal 2 4 2 2 3" xfId="7896"/>
    <cellStyle name="Normal 2 4 2 3" xfId="3975"/>
    <cellStyle name="Normal 2 4 2 3 2" xfId="5104"/>
    <cellStyle name="Normal 2 4 2 3 2 2" xfId="9568"/>
    <cellStyle name="Normal 2 4 2 3 3" xfId="8453"/>
    <cellStyle name="Normal 2 4 2 4" xfId="4547"/>
    <cellStyle name="Normal 2 4 2 4 2" xfId="9011"/>
    <cellStyle name="Normal 2 4 2 5" xfId="6217"/>
    <cellStyle name="Normal 2 4 2 5 2" xfId="10681"/>
    <cellStyle name="Normal 2 4 2 6" xfId="6783"/>
    <cellStyle name="Normal 2 4 2 6 2" xfId="11238"/>
    <cellStyle name="Normal 2 4 2 7" xfId="7340"/>
    <cellStyle name="Normal 2 4 3" xfId="11657"/>
    <cellStyle name="Normal 2 4 4" xfId="1532"/>
    <cellStyle name="Normal 2 5" xfId="921"/>
    <cellStyle name="Normal 2 5 2" xfId="11828"/>
    <cellStyle name="Normal 2 5 3" xfId="1651"/>
    <cellStyle name="Normal 2 6" xfId="970"/>
    <cellStyle name="Normal 2 6 2" xfId="11849"/>
    <cellStyle name="Normal 2 6 3" xfId="1912"/>
    <cellStyle name="Normal 2 7" xfId="1528"/>
    <cellStyle name="Normal 2 8" xfId="11559"/>
    <cellStyle name="Normal 20" xfId="521"/>
    <cellStyle name="Normal 20 10" xfId="2319"/>
    <cellStyle name="Normal 20 2" xfId="2320"/>
    <cellStyle name="Normal 20 2 2" xfId="3274"/>
    <cellStyle name="Normal 20 2 2 2" xfId="5543"/>
    <cellStyle name="Normal 20 2 2 2 2" xfId="10007"/>
    <cellStyle name="Normal 20 2 2 3" xfId="7779"/>
    <cellStyle name="Normal 20 2 3" xfId="3857"/>
    <cellStyle name="Normal 20 2 3 2" xfId="4987"/>
    <cellStyle name="Normal 20 2 3 2 2" xfId="9451"/>
    <cellStyle name="Normal 20 2 3 3" xfId="8336"/>
    <cellStyle name="Normal 20 2 4" xfId="4430"/>
    <cellStyle name="Normal 20 2 4 2" xfId="8894"/>
    <cellStyle name="Normal 20 2 5" xfId="6100"/>
    <cellStyle name="Normal 20 2 5 2" xfId="10564"/>
    <cellStyle name="Normal 20 2 6" xfId="6666"/>
    <cellStyle name="Normal 20 2 6 2" xfId="11121"/>
    <cellStyle name="Normal 20 2 7" xfId="7223"/>
    <cellStyle name="Normal 20 3" xfId="3273"/>
    <cellStyle name="Normal 20 3 2" xfId="5542"/>
    <cellStyle name="Normal 20 3 2 2" xfId="10006"/>
    <cellStyle name="Normal 20 3 3" xfId="7778"/>
    <cellStyle name="Normal 20 4" xfId="3856"/>
    <cellStyle name="Normal 20 4 2" xfId="4986"/>
    <cellStyle name="Normal 20 4 2 2" xfId="9450"/>
    <cellStyle name="Normal 20 4 3" xfId="8335"/>
    <cellStyle name="Normal 20 5" xfId="4429"/>
    <cellStyle name="Normal 20 5 2" xfId="8893"/>
    <cellStyle name="Normal 20 6" xfId="6099"/>
    <cellStyle name="Normal 20 6 2" xfId="10563"/>
    <cellStyle name="Normal 20 7" xfId="6665"/>
    <cellStyle name="Normal 20 7 2" xfId="11120"/>
    <cellStyle name="Normal 20 8" xfId="7222"/>
    <cellStyle name="Normal 20 9" xfId="11560"/>
    <cellStyle name="Normal 21" xfId="607"/>
    <cellStyle name="Normal 21 2" xfId="2322"/>
    <cellStyle name="Normal 21 3" xfId="2538"/>
    <cellStyle name="Normal 21 3 2" xfId="3427"/>
    <cellStyle name="Normal 21 3 2 2" xfId="5695"/>
    <cellStyle name="Normal 21 3 2 2 2" xfId="10159"/>
    <cellStyle name="Normal 21 3 2 3" xfId="7931"/>
    <cellStyle name="Normal 21 3 3" xfId="4010"/>
    <cellStyle name="Normal 21 3 3 2" xfId="5139"/>
    <cellStyle name="Normal 21 3 3 2 2" xfId="9603"/>
    <cellStyle name="Normal 21 3 3 3" xfId="8488"/>
    <cellStyle name="Normal 21 3 4" xfId="4582"/>
    <cellStyle name="Normal 21 3 4 2" xfId="9046"/>
    <cellStyle name="Normal 21 3 5" xfId="6252"/>
    <cellStyle name="Normal 21 3 5 2" xfId="10716"/>
    <cellStyle name="Normal 21 3 6" xfId="6818"/>
    <cellStyle name="Normal 21 3 6 2" xfId="11273"/>
    <cellStyle name="Normal 21 3 7" xfId="7375"/>
    <cellStyle name="Normal 21 4" xfId="11599"/>
    <cellStyle name="Normal 21 5" xfId="2321"/>
    <cellStyle name="Normal 22" xfId="633"/>
    <cellStyle name="Normal 22 10" xfId="2323"/>
    <cellStyle name="Normal 22 2" xfId="641"/>
    <cellStyle name="Normal 22 2 2" xfId="11627"/>
    <cellStyle name="Normal 22 2 3" xfId="2472"/>
    <cellStyle name="Normal 22 3" xfId="816"/>
    <cellStyle name="Normal 22 3 2" xfId="5544"/>
    <cellStyle name="Normal 22 3 2 2" xfId="10008"/>
    <cellStyle name="Normal 22 3 3" xfId="7780"/>
    <cellStyle name="Normal 22 3 4" xfId="11737"/>
    <cellStyle name="Normal 22 3 5" xfId="3275"/>
    <cellStyle name="Normal 22 4" xfId="889"/>
    <cellStyle name="Normal 22 4 2" xfId="4988"/>
    <cellStyle name="Normal 22 4 2 2" xfId="9452"/>
    <cellStyle name="Normal 22 4 3" xfId="8337"/>
    <cellStyle name="Normal 22 4 4" xfId="11796"/>
    <cellStyle name="Normal 22 4 5" xfId="3858"/>
    <cellStyle name="Normal 22 5" xfId="4431"/>
    <cellStyle name="Normal 22 5 2" xfId="8895"/>
    <cellStyle name="Normal 22 6" xfId="6101"/>
    <cellStyle name="Normal 22 6 2" xfId="10565"/>
    <cellStyle name="Normal 22 7" xfId="6667"/>
    <cellStyle name="Normal 22 7 2" xfId="11122"/>
    <cellStyle name="Normal 22 8" xfId="7224"/>
    <cellStyle name="Normal 22 9" xfId="11619"/>
    <cellStyle name="Normal 23" xfId="638"/>
    <cellStyle name="Normal 23 2" xfId="819"/>
    <cellStyle name="Normal 23 2 2" xfId="11739"/>
    <cellStyle name="Normal 23 2 3" xfId="2497"/>
    <cellStyle name="Normal 23 3" xfId="890"/>
    <cellStyle name="Normal 23 3 2" xfId="11797"/>
    <cellStyle name="Normal 23 4" xfId="11624"/>
    <cellStyle name="Normal 23 5" xfId="2324"/>
    <cellStyle name="Normal 24" xfId="849"/>
    <cellStyle name="Normal 24 2" xfId="2474"/>
    <cellStyle name="Normal 24 3" xfId="2325"/>
    <cellStyle name="Normal 25" xfId="860"/>
    <cellStyle name="Normal 25 2" xfId="2480"/>
    <cellStyle name="Normal 25 3" xfId="2326"/>
    <cellStyle name="Normal 26" xfId="850"/>
    <cellStyle name="Normal 26 2" xfId="2557"/>
    <cellStyle name="Normal 26 3" xfId="2327"/>
    <cellStyle name="Normal 27" xfId="856"/>
    <cellStyle name="Normal 28" xfId="861"/>
    <cellStyle name="Normal 28 2" xfId="11768"/>
    <cellStyle name="Normal 28 3" xfId="2553"/>
    <cellStyle name="Normal 29" xfId="919"/>
    <cellStyle name="Normal 29 2" xfId="11826"/>
    <cellStyle name="Normal 29 3" xfId="2494"/>
    <cellStyle name="Normal 3" xfId="522"/>
    <cellStyle name="Normal 3 10" xfId="2328"/>
    <cellStyle name="Normal 3 11" xfId="2329"/>
    <cellStyle name="Normal 3 11 2" xfId="3276"/>
    <cellStyle name="Normal 3 11 2 2" xfId="5545"/>
    <cellStyle name="Normal 3 11 2 2 2" xfId="10009"/>
    <cellStyle name="Normal 3 11 2 3" xfId="7781"/>
    <cellStyle name="Normal 3 11 3" xfId="3859"/>
    <cellStyle name="Normal 3 11 3 2" xfId="4989"/>
    <cellStyle name="Normal 3 11 3 2 2" xfId="9453"/>
    <cellStyle name="Normal 3 11 3 3" xfId="8338"/>
    <cellStyle name="Normal 3 11 4" xfId="4432"/>
    <cellStyle name="Normal 3 11 4 2" xfId="8896"/>
    <cellStyle name="Normal 3 11 5" xfId="6102"/>
    <cellStyle name="Normal 3 11 5 2" xfId="10566"/>
    <cellStyle name="Normal 3 11 6" xfId="6668"/>
    <cellStyle name="Normal 3 11 6 2" xfId="11123"/>
    <cellStyle name="Normal 3 11 7" xfId="7225"/>
    <cellStyle name="Normal 3 12" xfId="11302"/>
    <cellStyle name="Normal 3 13" xfId="11330"/>
    <cellStyle name="Normal 3 14" xfId="1533"/>
    <cellStyle name="Normal 3 15" xfId="1127"/>
    <cellStyle name="Normal 3 2" xfId="608"/>
    <cellStyle name="Normal 3 2 2" xfId="1796"/>
    <cellStyle name="Normal 3 2 3" xfId="1534"/>
    <cellStyle name="Normal 3 3" xfId="609"/>
    <cellStyle name="Normal 3 3 2" xfId="602"/>
    <cellStyle name="Normal 3 3 3" xfId="1535"/>
    <cellStyle name="Normal 3 4" xfId="634"/>
    <cellStyle name="Normal 3 4 2" xfId="817"/>
    <cellStyle name="Normal 3 4 2 10" xfId="7226"/>
    <cellStyle name="Normal 3 4 2 11" xfId="11738"/>
    <cellStyle name="Normal 3 4 2 12" xfId="2330"/>
    <cellStyle name="Normal 3 4 2 2" xfId="2331"/>
    <cellStyle name="Normal 3 4 2 2 2" xfId="2332"/>
    <cellStyle name="Normal 3 4 2 2 2 2" xfId="3279"/>
    <cellStyle name="Normal 3 4 2 2 2 2 2" xfId="5548"/>
    <cellStyle name="Normal 3 4 2 2 2 2 2 2" xfId="10012"/>
    <cellStyle name="Normal 3 4 2 2 2 2 3" xfId="7784"/>
    <cellStyle name="Normal 3 4 2 2 2 3" xfId="3862"/>
    <cellStyle name="Normal 3 4 2 2 2 3 2" xfId="4992"/>
    <cellStyle name="Normal 3 4 2 2 2 3 2 2" xfId="9456"/>
    <cellStyle name="Normal 3 4 2 2 2 3 3" xfId="8341"/>
    <cellStyle name="Normal 3 4 2 2 2 4" xfId="4435"/>
    <cellStyle name="Normal 3 4 2 2 2 4 2" xfId="8899"/>
    <cellStyle name="Normal 3 4 2 2 2 5" xfId="6105"/>
    <cellStyle name="Normal 3 4 2 2 2 5 2" xfId="10569"/>
    <cellStyle name="Normal 3 4 2 2 2 6" xfId="6671"/>
    <cellStyle name="Normal 3 4 2 2 2 6 2" xfId="11126"/>
    <cellStyle name="Normal 3 4 2 2 2 7" xfId="7228"/>
    <cellStyle name="Normal 3 4 2 2 3" xfId="2333"/>
    <cellStyle name="Normal 3 4 2 2 3 2" xfId="3280"/>
    <cellStyle name="Normal 3 4 2 2 3 2 2" xfId="5549"/>
    <cellStyle name="Normal 3 4 2 2 3 2 2 2" xfId="10013"/>
    <cellStyle name="Normal 3 4 2 2 3 2 3" xfId="7785"/>
    <cellStyle name="Normal 3 4 2 2 3 3" xfId="3863"/>
    <cellStyle name="Normal 3 4 2 2 3 3 2" xfId="4993"/>
    <cellStyle name="Normal 3 4 2 2 3 3 2 2" xfId="9457"/>
    <cellStyle name="Normal 3 4 2 2 3 3 3" xfId="8342"/>
    <cellStyle name="Normal 3 4 2 2 3 4" xfId="4436"/>
    <cellStyle name="Normal 3 4 2 2 3 4 2" xfId="8900"/>
    <cellStyle name="Normal 3 4 2 2 3 5" xfId="6106"/>
    <cellStyle name="Normal 3 4 2 2 3 5 2" xfId="10570"/>
    <cellStyle name="Normal 3 4 2 2 3 6" xfId="6672"/>
    <cellStyle name="Normal 3 4 2 2 3 6 2" xfId="11127"/>
    <cellStyle name="Normal 3 4 2 2 3 7" xfId="7229"/>
    <cellStyle name="Normal 3 4 2 2 4" xfId="3278"/>
    <cellStyle name="Normal 3 4 2 2 4 2" xfId="5547"/>
    <cellStyle name="Normal 3 4 2 2 4 2 2" xfId="10011"/>
    <cellStyle name="Normal 3 4 2 2 4 3" xfId="7783"/>
    <cellStyle name="Normal 3 4 2 2 5" xfId="3861"/>
    <cellStyle name="Normal 3 4 2 2 5 2" xfId="4991"/>
    <cellStyle name="Normal 3 4 2 2 5 2 2" xfId="9455"/>
    <cellStyle name="Normal 3 4 2 2 5 3" xfId="8340"/>
    <cellStyle name="Normal 3 4 2 2 6" xfId="4434"/>
    <cellStyle name="Normal 3 4 2 2 6 2" xfId="8898"/>
    <cellStyle name="Normal 3 4 2 2 7" xfId="6104"/>
    <cellStyle name="Normal 3 4 2 2 7 2" xfId="10568"/>
    <cellStyle name="Normal 3 4 2 2 8" xfId="6670"/>
    <cellStyle name="Normal 3 4 2 2 8 2" xfId="11125"/>
    <cellStyle name="Normal 3 4 2 2 9" xfId="7227"/>
    <cellStyle name="Normal 3 4 2 3" xfId="2334"/>
    <cellStyle name="Normal 3 4 2 3 2" xfId="3281"/>
    <cellStyle name="Normal 3 4 2 3 2 2" xfId="5550"/>
    <cellStyle name="Normal 3 4 2 3 2 2 2" xfId="10014"/>
    <cellStyle name="Normal 3 4 2 3 2 3" xfId="7786"/>
    <cellStyle name="Normal 3 4 2 3 3" xfId="3864"/>
    <cellStyle name="Normal 3 4 2 3 3 2" xfId="4994"/>
    <cellStyle name="Normal 3 4 2 3 3 2 2" xfId="9458"/>
    <cellStyle name="Normal 3 4 2 3 3 3" xfId="8343"/>
    <cellStyle name="Normal 3 4 2 3 4" xfId="4437"/>
    <cellStyle name="Normal 3 4 2 3 4 2" xfId="8901"/>
    <cellStyle name="Normal 3 4 2 3 5" xfId="6107"/>
    <cellStyle name="Normal 3 4 2 3 5 2" xfId="10571"/>
    <cellStyle name="Normal 3 4 2 3 6" xfId="6673"/>
    <cellStyle name="Normal 3 4 2 3 6 2" xfId="11128"/>
    <cellStyle name="Normal 3 4 2 3 7" xfId="7230"/>
    <cellStyle name="Normal 3 4 2 4" xfId="2335"/>
    <cellStyle name="Normal 3 4 2 4 2" xfId="3282"/>
    <cellStyle name="Normal 3 4 2 4 2 2" xfId="5551"/>
    <cellStyle name="Normal 3 4 2 4 2 2 2" xfId="10015"/>
    <cellStyle name="Normal 3 4 2 4 2 3" xfId="7787"/>
    <cellStyle name="Normal 3 4 2 4 3" xfId="3865"/>
    <cellStyle name="Normal 3 4 2 4 3 2" xfId="4995"/>
    <cellStyle name="Normal 3 4 2 4 3 2 2" xfId="9459"/>
    <cellStyle name="Normal 3 4 2 4 3 3" xfId="8344"/>
    <cellStyle name="Normal 3 4 2 4 4" xfId="4438"/>
    <cellStyle name="Normal 3 4 2 4 4 2" xfId="8902"/>
    <cellStyle name="Normal 3 4 2 4 5" xfId="6108"/>
    <cellStyle name="Normal 3 4 2 4 5 2" xfId="10572"/>
    <cellStyle name="Normal 3 4 2 4 6" xfId="6674"/>
    <cellStyle name="Normal 3 4 2 4 6 2" xfId="11129"/>
    <cellStyle name="Normal 3 4 2 4 7" xfId="7231"/>
    <cellStyle name="Normal 3 4 2 5" xfId="3277"/>
    <cellStyle name="Normal 3 4 2 5 2" xfId="5546"/>
    <cellStyle name="Normal 3 4 2 5 2 2" xfId="10010"/>
    <cellStyle name="Normal 3 4 2 5 3" xfId="7782"/>
    <cellStyle name="Normal 3 4 2 6" xfId="3860"/>
    <cellStyle name="Normal 3 4 2 6 2" xfId="4990"/>
    <cellStyle name="Normal 3 4 2 6 2 2" xfId="9454"/>
    <cellStyle name="Normal 3 4 2 6 3" xfId="8339"/>
    <cellStyle name="Normal 3 4 2 7" xfId="4433"/>
    <cellStyle name="Normal 3 4 2 7 2" xfId="8897"/>
    <cellStyle name="Normal 3 4 2 8" xfId="6103"/>
    <cellStyle name="Normal 3 4 2 8 2" xfId="10567"/>
    <cellStyle name="Normal 3 4 2 9" xfId="6669"/>
    <cellStyle name="Normal 3 4 2 9 2" xfId="11124"/>
    <cellStyle name="Normal 3 4 3" xfId="2336"/>
    <cellStyle name="Normal 3 4 3 2" xfId="2337"/>
    <cellStyle name="Normal 3 4 3 2 2" xfId="3284"/>
    <cellStyle name="Normal 3 4 3 2 2 2" xfId="5553"/>
    <cellStyle name="Normal 3 4 3 2 2 2 2" xfId="10017"/>
    <cellStyle name="Normal 3 4 3 2 2 3" xfId="7789"/>
    <cellStyle name="Normal 3 4 3 2 3" xfId="3867"/>
    <cellStyle name="Normal 3 4 3 2 3 2" xfId="4997"/>
    <cellStyle name="Normal 3 4 3 2 3 2 2" xfId="9461"/>
    <cellStyle name="Normal 3 4 3 2 3 3" xfId="8346"/>
    <cellStyle name="Normal 3 4 3 2 4" xfId="4440"/>
    <cellStyle name="Normal 3 4 3 2 4 2" xfId="8904"/>
    <cellStyle name="Normal 3 4 3 2 5" xfId="6110"/>
    <cellStyle name="Normal 3 4 3 2 5 2" xfId="10574"/>
    <cellStyle name="Normal 3 4 3 2 6" xfId="6676"/>
    <cellStyle name="Normal 3 4 3 2 6 2" xfId="11131"/>
    <cellStyle name="Normal 3 4 3 2 7" xfId="7233"/>
    <cellStyle name="Normal 3 4 3 3" xfId="2338"/>
    <cellStyle name="Normal 3 4 3 3 2" xfId="3285"/>
    <cellStyle name="Normal 3 4 3 3 2 2" xfId="5554"/>
    <cellStyle name="Normal 3 4 3 3 2 2 2" xfId="10018"/>
    <cellStyle name="Normal 3 4 3 3 2 3" xfId="7790"/>
    <cellStyle name="Normal 3 4 3 3 3" xfId="3868"/>
    <cellStyle name="Normal 3 4 3 3 3 2" xfId="4998"/>
    <cellStyle name="Normal 3 4 3 3 3 2 2" xfId="9462"/>
    <cellStyle name="Normal 3 4 3 3 3 3" xfId="8347"/>
    <cellStyle name="Normal 3 4 3 3 4" xfId="4441"/>
    <cellStyle name="Normal 3 4 3 3 4 2" xfId="8905"/>
    <cellStyle name="Normal 3 4 3 3 5" xfId="6111"/>
    <cellStyle name="Normal 3 4 3 3 5 2" xfId="10575"/>
    <cellStyle name="Normal 3 4 3 3 6" xfId="6677"/>
    <cellStyle name="Normal 3 4 3 3 6 2" xfId="11132"/>
    <cellStyle name="Normal 3 4 3 3 7" xfId="7234"/>
    <cellStyle name="Normal 3 4 3 4" xfId="3283"/>
    <cellStyle name="Normal 3 4 3 4 2" xfId="5552"/>
    <cellStyle name="Normal 3 4 3 4 2 2" xfId="10016"/>
    <cellStyle name="Normal 3 4 3 4 3" xfId="7788"/>
    <cellStyle name="Normal 3 4 3 5" xfId="3866"/>
    <cellStyle name="Normal 3 4 3 5 2" xfId="4996"/>
    <cellStyle name="Normal 3 4 3 5 2 2" xfId="9460"/>
    <cellStyle name="Normal 3 4 3 5 3" xfId="8345"/>
    <cellStyle name="Normal 3 4 3 6" xfId="4439"/>
    <cellStyle name="Normal 3 4 3 6 2" xfId="8903"/>
    <cellStyle name="Normal 3 4 3 7" xfId="6109"/>
    <cellStyle name="Normal 3 4 3 7 2" xfId="10573"/>
    <cellStyle name="Normal 3 4 3 8" xfId="6675"/>
    <cellStyle name="Normal 3 4 3 8 2" xfId="11130"/>
    <cellStyle name="Normal 3 4 3 9" xfId="7232"/>
    <cellStyle name="Normal 3 4 4" xfId="2339"/>
    <cellStyle name="Normal 3 4 4 2" xfId="3286"/>
    <cellStyle name="Normal 3 4 4 2 2" xfId="5555"/>
    <cellStyle name="Normal 3 4 4 2 2 2" xfId="10019"/>
    <cellStyle name="Normal 3 4 4 2 3" xfId="7791"/>
    <cellStyle name="Normal 3 4 4 3" xfId="3869"/>
    <cellStyle name="Normal 3 4 4 3 2" xfId="4999"/>
    <cellStyle name="Normal 3 4 4 3 2 2" xfId="9463"/>
    <cellStyle name="Normal 3 4 4 3 3" xfId="8348"/>
    <cellStyle name="Normal 3 4 4 4" xfId="4442"/>
    <cellStyle name="Normal 3 4 4 4 2" xfId="8906"/>
    <cellStyle name="Normal 3 4 4 5" xfId="6112"/>
    <cellStyle name="Normal 3 4 4 5 2" xfId="10576"/>
    <cellStyle name="Normal 3 4 4 6" xfId="6678"/>
    <cellStyle name="Normal 3 4 4 6 2" xfId="11133"/>
    <cellStyle name="Normal 3 4 4 7" xfId="7235"/>
    <cellStyle name="Normal 3 4 5" xfId="2340"/>
    <cellStyle name="Normal 3 4 5 2" xfId="3287"/>
    <cellStyle name="Normal 3 4 5 2 2" xfId="5556"/>
    <cellStyle name="Normal 3 4 5 2 2 2" xfId="10020"/>
    <cellStyle name="Normal 3 4 5 2 3" xfId="7792"/>
    <cellStyle name="Normal 3 4 5 3" xfId="3870"/>
    <cellStyle name="Normal 3 4 5 3 2" xfId="5000"/>
    <cellStyle name="Normal 3 4 5 3 2 2" xfId="9464"/>
    <cellStyle name="Normal 3 4 5 3 3" xfId="8349"/>
    <cellStyle name="Normal 3 4 5 4" xfId="4443"/>
    <cellStyle name="Normal 3 4 5 4 2" xfId="8907"/>
    <cellStyle name="Normal 3 4 5 5" xfId="6113"/>
    <cellStyle name="Normal 3 4 5 5 2" xfId="10577"/>
    <cellStyle name="Normal 3 4 5 6" xfId="6679"/>
    <cellStyle name="Normal 3 4 5 6 2" xfId="11134"/>
    <cellStyle name="Normal 3 4 5 7" xfId="7236"/>
    <cellStyle name="Normal 3 4 6" xfId="11620"/>
    <cellStyle name="Normal 3 4 7" xfId="1536"/>
    <cellStyle name="Normal 3 5" xfId="701"/>
    <cellStyle name="Normal 3 5 2" xfId="2341"/>
    <cellStyle name="Normal 3 5 2 2" xfId="2342"/>
    <cellStyle name="Normal 3 5 2 2 2" xfId="3289"/>
    <cellStyle name="Normal 3 5 2 2 2 2" xfId="5558"/>
    <cellStyle name="Normal 3 5 2 2 2 2 2" xfId="10022"/>
    <cellStyle name="Normal 3 5 2 2 2 3" xfId="7794"/>
    <cellStyle name="Normal 3 5 2 2 3" xfId="3872"/>
    <cellStyle name="Normal 3 5 2 2 3 2" xfId="5002"/>
    <cellStyle name="Normal 3 5 2 2 3 2 2" xfId="9466"/>
    <cellStyle name="Normal 3 5 2 2 3 3" xfId="8351"/>
    <cellStyle name="Normal 3 5 2 2 4" xfId="4445"/>
    <cellStyle name="Normal 3 5 2 2 4 2" xfId="8909"/>
    <cellStyle name="Normal 3 5 2 2 5" xfId="6115"/>
    <cellStyle name="Normal 3 5 2 2 5 2" xfId="10579"/>
    <cellStyle name="Normal 3 5 2 2 6" xfId="6681"/>
    <cellStyle name="Normal 3 5 2 2 6 2" xfId="11136"/>
    <cellStyle name="Normal 3 5 2 2 7" xfId="7238"/>
    <cellStyle name="Normal 3 5 2 3" xfId="2343"/>
    <cellStyle name="Normal 3 5 2 3 2" xfId="3290"/>
    <cellStyle name="Normal 3 5 2 3 2 2" xfId="5559"/>
    <cellStyle name="Normal 3 5 2 3 2 2 2" xfId="10023"/>
    <cellStyle name="Normal 3 5 2 3 2 3" xfId="7795"/>
    <cellStyle name="Normal 3 5 2 3 3" xfId="3873"/>
    <cellStyle name="Normal 3 5 2 3 3 2" xfId="5003"/>
    <cellStyle name="Normal 3 5 2 3 3 2 2" xfId="9467"/>
    <cellStyle name="Normal 3 5 2 3 3 3" xfId="8352"/>
    <cellStyle name="Normal 3 5 2 3 4" xfId="4446"/>
    <cellStyle name="Normal 3 5 2 3 4 2" xfId="8910"/>
    <cellStyle name="Normal 3 5 2 3 5" xfId="6116"/>
    <cellStyle name="Normal 3 5 2 3 5 2" xfId="10580"/>
    <cellStyle name="Normal 3 5 2 3 6" xfId="6682"/>
    <cellStyle name="Normal 3 5 2 3 6 2" xfId="11137"/>
    <cellStyle name="Normal 3 5 2 3 7" xfId="7239"/>
    <cellStyle name="Normal 3 5 2 4" xfId="3288"/>
    <cellStyle name="Normal 3 5 2 4 2" xfId="5557"/>
    <cellStyle name="Normal 3 5 2 4 2 2" xfId="10021"/>
    <cellStyle name="Normal 3 5 2 4 3" xfId="7793"/>
    <cellStyle name="Normal 3 5 2 5" xfId="3871"/>
    <cellStyle name="Normal 3 5 2 5 2" xfId="5001"/>
    <cellStyle name="Normal 3 5 2 5 2 2" xfId="9465"/>
    <cellStyle name="Normal 3 5 2 5 3" xfId="8350"/>
    <cellStyle name="Normal 3 5 2 6" xfId="4444"/>
    <cellStyle name="Normal 3 5 2 6 2" xfId="8908"/>
    <cellStyle name="Normal 3 5 2 7" xfId="6114"/>
    <cellStyle name="Normal 3 5 2 7 2" xfId="10578"/>
    <cellStyle name="Normal 3 5 2 8" xfId="6680"/>
    <cellStyle name="Normal 3 5 2 8 2" xfId="11135"/>
    <cellStyle name="Normal 3 5 2 9" xfId="7237"/>
    <cellStyle name="Normal 3 5 3" xfId="2344"/>
    <cellStyle name="Normal 3 5 3 2" xfId="2345"/>
    <cellStyle name="Normal 3 5 3 2 2" xfId="3292"/>
    <cellStyle name="Normal 3 5 3 2 2 2" xfId="5561"/>
    <cellStyle name="Normal 3 5 3 2 2 2 2" xfId="10025"/>
    <cellStyle name="Normal 3 5 3 2 2 3" xfId="7797"/>
    <cellStyle name="Normal 3 5 3 2 3" xfId="3875"/>
    <cellStyle name="Normal 3 5 3 2 3 2" xfId="5005"/>
    <cellStyle name="Normal 3 5 3 2 3 2 2" xfId="9469"/>
    <cellStyle name="Normal 3 5 3 2 3 3" xfId="8354"/>
    <cellStyle name="Normal 3 5 3 2 4" xfId="4448"/>
    <cellStyle name="Normal 3 5 3 2 4 2" xfId="8912"/>
    <cellStyle name="Normal 3 5 3 2 5" xfId="6118"/>
    <cellStyle name="Normal 3 5 3 2 5 2" xfId="10582"/>
    <cellStyle name="Normal 3 5 3 2 6" xfId="6684"/>
    <cellStyle name="Normal 3 5 3 2 6 2" xfId="11139"/>
    <cellStyle name="Normal 3 5 3 2 7" xfId="7241"/>
    <cellStyle name="Normal 3 5 3 3" xfId="2346"/>
    <cellStyle name="Normal 3 5 3 3 2" xfId="3293"/>
    <cellStyle name="Normal 3 5 3 3 2 2" xfId="5562"/>
    <cellStyle name="Normal 3 5 3 3 2 2 2" xfId="10026"/>
    <cellStyle name="Normal 3 5 3 3 2 3" xfId="7798"/>
    <cellStyle name="Normal 3 5 3 3 3" xfId="3876"/>
    <cellStyle name="Normal 3 5 3 3 3 2" xfId="5006"/>
    <cellStyle name="Normal 3 5 3 3 3 2 2" xfId="9470"/>
    <cellStyle name="Normal 3 5 3 3 3 3" xfId="8355"/>
    <cellStyle name="Normal 3 5 3 3 4" xfId="4449"/>
    <cellStyle name="Normal 3 5 3 3 4 2" xfId="8913"/>
    <cellStyle name="Normal 3 5 3 3 5" xfId="6119"/>
    <cellStyle name="Normal 3 5 3 3 5 2" xfId="10583"/>
    <cellStyle name="Normal 3 5 3 3 6" xfId="6685"/>
    <cellStyle name="Normal 3 5 3 3 6 2" xfId="11140"/>
    <cellStyle name="Normal 3 5 3 3 7" xfId="7242"/>
    <cellStyle name="Normal 3 5 3 4" xfId="3291"/>
    <cellStyle name="Normal 3 5 3 4 2" xfId="5560"/>
    <cellStyle name="Normal 3 5 3 4 2 2" xfId="10024"/>
    <cellStyle name="Normal 3 5 3 4 3" xfId="7796"/>
    <cellStyle name="Normal 3 5 3 5" xfId="3874"/>
    <cellStyle name="Normal 3 5 3 5 2" xfId="5004"/>
    <cellStyle name="Normal 3 5 3 5 2 2" xfId="9468"/>
    <cellStyle name="Normal 3 5 3 5 3" xfId="8353"/>
    <cellStyle name="Normal 3 5 3 6" xfId="4447"/>
    <cellStyle name="Normal 3 5 3 6 2" xfId="8911"/>
    <cellStyle name="Normal 3 5 3 7" xfId="6117"/>
    <cellStyle name="Normal 3 5 3 7 2" xfId="10581"/>
    <cellStyle name="Normal 3 5 3 8" xfId="6683"/>
    <cellStyle name="Normal 3 5 3 8 2" xfId="11138"/>
    <cellStyle name="Normal 3 5 3 9" xfId="7240"/>
    <cellStyle name="Normal 3 5 4" xfId="2347"/>
    <cellStyle name="Normal 3 5 4 2" xfId="3294"/>
    <cellStyle name="Normal 3 5 4 2 2" xfId="5563"/>
    <cellStyle name="Normal 3 5 4 2 2 2" xfId="10027"/>
    <cellStyle name="Normal 3 5 4 2 3" xfId="7799"/>
    <cellStyle name="Normal 3 5 4 3" xfId="3877"/>
    <cellStyle name="Normal 3 5 4 3 2" xfId="5007"/>
    <cellStyle name="Normal 3 5 4 3 2 2" xfId="9471"/>
    <cellStyle name="Normal 3 5 4 3 3" xfId="8356"/>
    <cellStyle name="Normal 3 5 4 4" xfId="4450"/>
    <cellStyle name="Normal 3 5 4 4 2" xfId="8914"/>
    <cellStyle name="Normal 3 5 4 5" xfId="6120"/>
    <cellStyle name="Normal 3 5 4 5 2" xfId="10584"/>
    <cellStyle name="Normal 3 5 4 6" xfId="6686"/>
    <cellStyle name="Normal 3 5 4 6 2" xfId="11141"/>
    <cellStyle name="Normal 3 5 4 7" xfId="7243"/>
    <cellStyle name="Normal 3 5 5" xfId="2348"/>
    <cellStyle name="Normal 3 5 5 2" xfId="3295"/>
    <cellStyle name="Normal 3 5 5 2 2" xfId="5564"/>
    <cellStyle name="Normal 3 5 5 2 2 2" xfId="10028"/>
    <cellStyle name="Normal 3 5 5 2 3" xfId="7800"/>
    <cellStyle name="Normal 3 5 5 3" xfId="3878"/>
    <cellStyle name="Normal 3 5 5 3 2" xfId="5008"/>
    <cellStyle name="Normal 3 5 5 3 2 2" xfId="9472"/>
    <cellStyle name="Normal 3 5 5 3 3" xfId="8357"/>
    <cellStyle name="Normal 3 5 5 4" xfId="4451"/>
    <cellStyle name="Normal 3 5 5 4 2" xfId="8915"/>
    <cellStyle name="Normal 3 5 5 5" xfId="6121"/>
    <cellStyle name="Normal 3 5 5 5 2" xfId="10585"/>
    <cellStyle name="Normal 3 5 5 6" xfId="6687"/>
    <cellStyle name="Normal 3 5 5 6 2" xfId="11142"/>
    <cellStyle name="Normal 3 5 5 7" xfId="7244"/>
    <cellStyle name="Normal 3 5 6" xfId="11658"/>
    <cellStyle name="Normal 3 5 7" xfId="1537"/>
    <cellStyle name="Normal 3 6" xfId="1095"/>
    <cellStyle name="Normal 3 6 2" xfId="2349"/>
    <cellStyle name="Normal 3 6 2 2" xfId="2350"/>
    <cellStyle name="Normal 3 6 2 2 2" xfId="3297"/>
    <cellStyle name="Normal 3 6 2 2 2 2" xfId="5566"/>
    <cellStyle name="Normal 3 6 2 2 2 2 2" xfId="10030"/>
    <cellStyle name="Normal 3 6 2 2 2 3" xfId="7802"/>
    <cellStyle name="Normal 3 6 2 2 3" xfId="3880"/>
    <cellStyle name="Normal 3 6 2 2 3 2" xfId="5010"/>
    <cellStyle name="Normal 3 6 2 2 3 2 2" xfId="9474"/>
    <cellStyle name="Normal 3 6 2 2 3 3" xfId="8359"/>
    <cellStyle name="Normal 3 6 2 2 4" xfId="4453"/>
    <cellStyle name="Normal 3 6 2 2 4 2" xfId="8917"/>
    <cellStyle name="Normal 3 6 2 2 5" xfId="6123"/>
    <cellStyle name="Normal 3 6 2 2 5 2" xfId="10587"/>
    <cellStyle name="Normal 3 6 2 2 6" xfId="6689"/>
    <cellStyle name="Normal 3 6 2 2 6 2" xfId="11144"/>
    <cellStyle name="Normal 3 6 2 2 7" xfId="7246"/>
    <cellStyle name="Normal 3 6 2 3" xfId="2351"/>
    <cellStyle name="Normal 3 6 2 3 2" xfId="3298"/>
    <cellStyle name="Normal 3 6 2 3 2 2" xfId="5567"/>
    <cellStyle name="Normal 3 6 2 3 2 2 2" xfId="10031"/>
    <cellStyle name="Normal 3 6 2 3 2 3" xfId="7803"/>
    <cellStyle name="Normal 3 6 2 3 3" xfId="3881"/>
    <cellStyle name="Normal 3 6 2 3 3 2" xfId="5011"/>
    <cellStyle name="Normal 3 6 2 3 3 2 2" xfId="9475"/>
    <cellStyle name="Normal 3 6 2 3 3 3" xfId="8360"/>
    <cellStyle name="Normal 3 6 2 3 4" xfId="4454"/>
    <cellStyle name="Normal 3 6 2 3 4 2" xfId="8918"/>
    <cellStyle name="Normal 3 6 2 3 5" xfId="6124"/>
    <cellStyle name="Normal 3 6 2 3 5 2" xfId="10588"/>
    <cellStyle name="Normal 3 6 2 3 6" xfId="6690"/>
    <cellStyle name="Normal 3 6 2 3 6 2" xfId="11145"/>
    <cellStyle name="Normal 3 6 2 3 7" xfId="7247"/>
    <cellStyle name="Normal 3 6 2 4" xfId="3296"/>
    <cellStyle name="Normal 3 6 2 4 2" xfId="5565"/>
    <cellStyle name="Normal 3 6 2 4 2 2" xfId="10029"/>
    <cellStyle name="Normal 3 6 2 4 3" xfId="7801"/>
    <cellStyle name="Normal 3 6 2 5" xfId="3879"/>
    <cellStyle name="Normal 3 6 2 5 2" xfId="5009"/>
    <cellStyle name="Normal 3 6 2 5 2 2" xfId="9473"/>
    <cellStyle name="Normal 3 6 2 5 3" xfId="8358"/>
    <cellStyle name="Normal 3 6 2 6" xfId="4452"/>
    <cellStyle name="Normal 3 6 2 6 2" xfId="8916"/>
    <cellStyle name="Normal 3 6 2 7" xfId="6122"/>
    <cellStyle name="Normal 3 6 2 7 2" xfId="10586"/>
    <cellStyle name="Normal 3 6 2 8" xfId="6688"/>
    <cellStyle name="Normal 3 6 2 8 2" xfId="11143"/>
    <cellStyle name="Normal 3 6 2 9" xfId="7245"/>
    <cellStyle name="Normal 3 6 3" xfId="2352"/>
    <cellStyle name="Normal 3 6 3 2" xfId="3299"/>
    <cellStyle name="Normal 3 6 3 2 2" xfId="5568"/>
    <cellStyle name="Normal 3 6 3 2 2 2" xfId="10032"/>
    <cellStyle name="Normal 3 6 3 2 3" xfId="7804"/>
    <cellStyle name="Normal 3 6 3 3" xfId="3882"/>
    <cellStyle name="Normal 3 6 3 3 2" xfId="5012"/>
    <cellStyle name="Normal 3 6 3 3 2 2" xfId="9476"/>
    <cellStyle name="Normal 3 6 3 3 3" xfId="8361"/>
    <cellStyle name="Normal 3 6 3 4" xfId="4455"/>
    <cellStyle name="Normal 3 6 3 4 2" xfId="8919"/>
    <cellStyle name="Normal 3 6 3 5" xfId="6125"/>
    <cellStyle name="Normal 3 6 3 5 2" xfId="10589"/>
    <cellStyle name="Normal 3 6 3 6" xfId="6691"/>
    <cellStyle name="Normal 3 6 3 6 2" xfId="11146"/>
    <cellStyle name="Normal 3 6 3 7" xfId="7248"/>
    <cellStyle name="Normal 3 6 4" xfId="2353"/>
    <cellStyle name="Normal 3 6 4 2" xfId="3300"/>
    <cellStyle name="Normal 3 6 4 2 2" xfId="5569"/>
    <cellStyle name="Normal 3 6 4 2 2 2" xfId="10033"/>
    <cellStyle name="Normal 3 6 4 2 3" xfId="7805"/>
    <cellStyle name="Normal 3 6 4 3" xfId="3883"/>
    <cellStyle name="Normal 3 6 4 3 2" xfId="5013"/>
    <cellStyle name="Normal 3 6 4 3 2 2" xfId="9477"/>
    <cellStyle name="Normal 3 6 4 3 3" xfId="8362"/>
    <cellStyle name="Normal 3 6 4 4" xfId="4456"/>
    <cellStyle name="Normal 3 6 4 4 2" xfId="8920"/>
    <cellStyle name="Normal 3 6 4 5" xfId="6126"/>
    <cellStyle name="Normal 3 6 4 5 2" xfId="10590"/>
    <cellStyle name="Normal 3 6 4 6" xfId="6692"/>
    <cellStyle name="Normal 3 6 4 6 2" xfId="11147"/>
    <cellStyle name="Normal 3 6 4 7" xfId="7249"/>
    <cellStyle name="Normal 3 6 5" xfId="11962"/>
    <cellStyle name="Normal 3 6 6" xfId="1538"/>
    <cellStyle name="Normal 3 7" xfId="1539"/>
    <cellStyle name="Normal 3 7 2" xfId="2354"/>
    <cellStyle name="Normal 3 7 2 2" xfId="3301"/>
    <cellStyle name="Normal 3 7 2 2 2" xfId="5570"/>
    <cellStyle name="Normal 3 7 2 2 2 2" xfId="10034"/>
    <cellStyle name="Normal 3 7 2 2 3" xfId="7806"/>
    <cellStyle name="Normal 3 7 2 3" xfId="3884"/>
    <cellStyle name="Normal 3 7 2 3 2" xfId="5014"/>
    <cellStyle name="Normal 3 7 2 3 2 2" xfId="9478"/>
    <cellStyle name="Normal 3 7 2 3 3" xfId="8363"/>
    <cellStyle name="Normal 3 7 2 4" xfId="4457"/>
    <cellStyle name="Normal 3 7 2 4 2" xfId="8921"/>
    <cellStyle name="Normal 3 7 2 5" xfId="6127"/>
    <cellStyle name="Normal 3 7 2 5 2" xfId="10591"/>
    <cellStyle name="Normal 3 7 2 6" xfId="6693"/>
    <cellStyle name="Normal 3 7 2 6 2" xfId="11148"/>
    <cellStyle name="Normal 3 7 2 7" xfId="7250"/>
    <cellStyle name="Normal 3 7 3" xfId="2355"/>
    <cellStyle name="Normal 3 7 3 2" xfId="3302"/>
    <cellStyle name="Normal 3 7 3 2 2" xfId="5571"/>
    <cellStyle name="Normal 3 7 3 2 2 2" xfId="10035"/>
    <cellStyle name="Normal 3 7 3 2 3" xfId="7807"/>
    <cellStyle name="Normal 3 7 3 3" xfId="3885"/>
    <cellStyle name="Normal 3 7 3 3 2" xfId="5015"/>
    <cellStyle name="Normal 3 7 3 3 2 2" xfId="9479"/>
    <cellStyle name="Normal 3 7 3 3 3" xfId="8364"/>
    <cellStyle name="Normal 3 7 3 4" xfId="4458"/>
    <cellStyle name="Normal 3 7 3 4 2" xfId="8922"/>
    <cellStyle name="Normal 3 7 3 5" xfId="6128"/>
    <cellStyle name="Normal 3 7 3 5 2" xfId="10592"/>
    <cellStyle name="Normal 3 7 3 6" xfId="6694"/>
    <cellStyle name="Normal 3 7 3 6 2" xfId="11149"/>
    <cellStyle name="Normal 3 7 3 7" xfId="7251"/>
    <cellStyle name="Normal 3 8" xfId="1656"/>
    <cellStyle name="Normal 3 8 2" xfId="2890"/>
    <cellStyle name="Normal 3 8 2 2" xfId="5159"/>
    <cellStyle name="Normal 3 8 2 2 2" xfId="9623"/>
    <cellStyle name="Normal 3 8 2 3" xfId="7395"/>
    <cellStyle name="Normal 3 8 3" xfId="3473"/>
    <cellStyle name="Normal 3 8 3 2" xfId="4603"/>
    <cellStyle name="Normal 3 8 3 2 2" xfId="9067"/>
    <cellStyle name="Normal 3 8 3 3" xfId="7952"/>
    <cellStyle name="Normal 3 8 4" xfId="4046"/>
    <cellStyle name="Normal 3 8 4 2" xfId="8510"/>
    <cellStyle name="Normal 3 8 5" xfId="5716"/>
    <cellStyle name="Normal 3 8 5 2" xfId="10180"/>
    <cellStyle name="Normal 3 8 6" xfId="6282"/>
    <cellStyle name="Normal 3 8 6 2" xfId="10737"/>
    <cellStyle name="Normal 3 8 7" xfId="6839"/>
    <cellStyle name="Normal 3 9" xfId="1913"/>
    <cellStyle name="Normal 3 9 2" xfId="2926"/>
    <cellStyle name="Normal 3 9 2 2" xfId="5195"/>
    <cellStyle name="Normal 3 9 2 2 2" xfId="9659"/>
    <cellStyle name="Normal 3 9 2 3" xfId="7431"/>
    <cellStyle name="Normal 3 9 3" xfId="3509"/>
    <cellStyle name="Normal 3 9 3 2" xfId="4639"/>
    <cellStyle name="Normal 3 9 3 2 2" xfId="9103"/>
    <cellStyle name="Normal 3 9 3 3" xfId="7988"/>
    <cellStyle name="Normal 3 9 4" xfId="4082"/>
    <cellStyle name="Normal 3 9 4 2" xfId="8546"/>
    <cellStyle name="Normal 3 9 5" xfId="5752"/>
    <cellStyle name="Normal 3 9 5 2" xfId="10216"/>
    <cellStyle name="Normal 3 9 6" xfId="6318"/>
    <cellStyle name="Normal 3 9 6 2" xfId="10773"/>
    <cellStyle name="Normal 3 9 7" xfId="6875"/>
    <cellStyle name="Normal 30" xfId="922"/>
    <cellStyle name="Normal 30 2" xfId="11829"/>
    <cellStyle name="Normal 30 3" xfId="2555"/>
    <cellStyle name="Normal 31" xfId="964"/>
    <cellStyle name="Normal 31 2" xfId="11845"/>
    <cellStyle name="Normal 31 3" xfId="2502"/>
    <cellStyle name="Normal 32" xfId="966"/>
    <cellStyle name="Normal 32 2" xfId="11847"/>
    <cellStyle name="Normal 32 3" xfId="2551"/>
    <cellStyle name="Normal 33" xfId="968"/>
    <cellStyle name="Normal 34" xfId="969"/>
    <cellStyle name="Normal 35" xfId="974"/>
    <cellStyle name="Normal 35 2" xfId="11851"/>
    <cellStyle name="Normal 35 3" xfId="2493"/>
    <cellStyle name="Normal 36" xfId="976"/>
    <cellStyle name="Normal 36 2" xfId="11853"/>
    <cellStyle name="Normal 36 3" xfId="2548"/>
    <cellStyle name="Normal 37" xfId="977"/>
    <cellStyle name="Normal 37 2" xfId="11854"/>
    <cellStyle name="Normal 37 3" xfId="2490"/>
    <cellStyle name="Normal 38" xfId="978"/>
    <cellStyle name="Normal 39" xfId="981"/>
    <cellStyle name="Normal 4" xfId="523"/>
    <cellStyle name="Normal 4 10" xfId="2356"/>
    <cellStyle name="Normal 4 11" xfId="2357"/>
    <cellStyle name="Normal 4 11 2" xfId="3303"/>
    <cellStyle name="Normal 4 11 2 2" xfId="5572"/>
    <cellStyle name="Normal 4 11 2 2 2" xfId="10036"/>
    <cellStyle name="Normal 4 11 2 3" xfId="7808"/>
    <cellStyle name="Normal 4 11 3" xfId="3886"/>
    <cellStyle name="Normal 4 11 3 2" xfId="5016"/>
    <cellStyle name="Normal 4 11 3 2 2" xfId="9480"/>
    <cellStyle name="Normal 4 11 3 3" xfId="8365"/>
    <cellStyle name="Normal 4 11 4" xfId="4459"/>
    <cellStyle name="Normal 4 11 4 2" xfId="8923"/>
    <cellStyle name="Normal 4 11 5" xfId="6129"/>
    <cellStyle name="Normal 4 11 5 2" xfId="10593"/>
    <cellStyle name="Normal 4 11 6" xfId="6695"/>
    <cellStyle name="Normal 4 11 6 2" xfId="11150"/>
    <cellStyle name="Normal 4 11 7" xfId="7252"/>
    <cellStyle name="Normal 4 12" xfId="3457"/>
    <cellStyle name="Normal 4 12 2" xfId="4038"/>
    <cellStyle name="Normal 4 12 2 2" xfId="5710"/>
    <cellStyle name="Normal 4 12 2 2 2" xfId="10174"/>
    <cellStyle name="Normal 4 12 2 3" xfId="8504"/>
    <cellStyle name="Normal 4 12 3" xfId="4597"/>
    <cellStyle name="Normal 4 12 3 2" xfId="9061"/>
    <cellStyle name="Normal 4 12 4" xfId="6273"/>
    <cellStyle name="Normal 4 12 4 2" xfId="10731"/>
    <cellStyle name="Normal 4 12 5" xfId="6833"/>
    <cellStyle name="Normal 4 12 5 2" xfId="11288"/>
    <cellStyle name="Normal 4 12 6" xfId="7946"/>
    <cellStyle name="Normal 4 13" xfId="11296"/>
    <cellStyle name="Normal 4 14" xfId="11345"/>
    <cellStyle name="Normal 4 15" xfId="1540"/>
    <cellStyle name="Normal 4 16" xfId="1141"/>
    <cellStyle name="Normal 4 2" xfId="610"/>
    <cellStyle name="Normal 4 2 2" xfId="1798"/>
    <cellStyle name="Normal 4 2 3" xfId="1541"/>
    <cellStyle name="Normal 4 2 4" xfId="1236"/>
    <cellStyle name="Normal 4 3" xfId="740"/>
    <cellStyle name="Normal 4 3 10" xfId="1542"/>
    <cellStyle name="Normal 4 3 2" xfId="1543"/>
    <cellStyle name="Normal 4 3 2 2" xfId="2358"/>
    <cellStyle name="Normal 4 3 2 2 10" xfId="7253"/>
    <cellStyle name="Normal 4 3 2 2 2" xfId="2359"/>
    <cellStyle name="Normal 4 3 2 2 2 2" xfId="2360"/>
    <cellStyle name="Normal 4 3 2 2 2 2 2" xfId="3306"/>
    <cellStyle name="Normal 4 3 2 2 2 2 2 2" xfId="5575"/>
    <cellStyle name="Normal 4 3 2 2 2 2 2 2 2" xfId="10039"/>
    <cellStyle name="Normal 4 3 2 2 2 2 2 3" xfId="7811"/>
    <cellStyle name="Normal 4 3 2 2 2 2 3" xfId="3889"/>
    <cellStyle name="Normal 4 3 2 2 2 2 3 2" xfId="5019"/>
    <cellStyle name="Normal 4 3 2 2 2 2 3 2 2" xfId="9483"/>
    <cellStyle name="Normal 4 3 2 2 2 2 3 3" xfId="8368"/>
    <cellStyle name="Normal 4 3 2 2 2 2 4" xfId="4462"/>
    <cellStyle name="Normal 4 3 2 2 2 2 4 2" xfId="8926"/>
    <cellStyle name="Normal 4 3 2 2 2 2 5" xfId="6132"/>
    <cellStyle name="Normal 4 3 2 2 2 2 5 2" xfId="10596"/>
    <cellStyle name="Normal 4 3 2 2 2 2 6" xfId="6698"/>
    <cellStyle name="Normal 4 3 2 2 2 2 6 2" xfId="11153"/>
    <cellStyle name="Normal 4 3 2 2 2 2 7" xfId="7255"/>
    <cellStyle name="Normal 4 3 2 2 2 3" xfId="2361"/>
    <cellStyle name="Normal 4 3 2 2 2 3 2" xfId="3307"/>
    <cellStyle name="Normal 4 3 2 2 2 3 2 2" xfId="5576"/>
    <cellStyle name="Normal 4 3 2 2 2 3 2 2 2" xfId="10040"/>
    <cellStyle name="Normal 4 3 2 2 2 3 2 3" xfId="7812"/>
    <cellStyle name="Normal 4 3 2 2 2 3 3" xfId="3890"/>
    <cellStyle name="Normal 4 3 2 2 2 3 3 2" xfId="5020"/>
    <cellStyle name="Normal 4 3 2 2 2 3 3 2 2" xfId="9484"/>
    <cellStyle name="Normal 4 3 2 2 2 3 3 3" xfId="8369"/>
    <cellStyle name="Normal 4 3 2 2 2 3 4" xfId="4463"/>
    <cellStyle name="Normal 4 3 2 2 2 3 4 2" xfId="8927"/>
    <cellStyle name="Normal 4 3 2 2 2 3 5" xfId="6133"/>
    <cellStyle name="Normal 4 3 2 2 2 3 5 2" xfId="10597"/>
    <cellStyle name="Normal 4 3 2 2 2 3 6" xfId="6699"/>
    <cellStyle name="Normal 4 3 2 2 2 3 6 2" xfId="11154"/>
    <cellStyle name="Normal 4 3 2 2 2 3 7" xfId="7256"/>
    <cellStyle name="Normal 4 3 2 2 2 4" xfId="3305"/>
    <cellStyle name="Normal 4 3 2 2 2 4 2" xfId="5574"/>
    <cellStyle name="Normal 4 3 2 2 2 4 2 2" xfId="10038"/>
    <cellStyle name="Normal 4 3 2 2 2 4 3" xfId="7810"/>
    <cellStyle name="Normal 4 3 2 2 2 5" xfId="3888"/>
    <cellStyle name="Normal 4 3 2 2 2 5 2" xfId="5018"/>
    <cellStyle name="Normal 4 3 2 2 2 5 2 2" xfId="9482"/>
    <cellStyle name="Normal 4 3 2 2 2 5 3" xfId="8367"/>
    <cellStyle name="Normal 4 3 2 2 2 6" xfId="4461"/>
    <cellStyle name="Normal 4 3 2 2 2 6 2" xfId="8925"/>
    <cellStyle name="Normal 4 3 2 2 2 7" xfId="6131"/>
    <cellStyle name="Normal 4 3 2 2 2 7 2" xfId="10595"/>
    <cellStyle name="Normal 4 3 2 2 2 8" xfId="6697"/>
    <cellStyle name="Normal 4 3 2 2 2 8 2" xfId="11152"/>
    <cellStyle name="Normal 4 3 2 2 2 9" xfId="7254"/>
    <cellStyle name="Normal 4 3 2 2 3" xfId="2362"/>
    <cellStyle name="Normal 4 3 2 2 3 2" xfId="3308"/>
    <cellStyle name="Normal 4 3 2 2 3 2 2" xfId="5577"/>
    <cellStyle name="Normal 4 3 2 2 3 2 2 2" xfId="10041"/>
    <cellStyle name="Normal 4 3 2 2 3 2 3" xfId="7813"/>
    <cellStyle name="Normal 4 3 2 2 3 3" xfId="3891"/>
    <cellStyle name="Normal 4 3 2 2 3 3 2" xfId="5021"/>
    <cellStyle name="Normal 4 3 2 2 3 3 2 2" xfId="9485"/>
    <cellStyle name="Normal 4 3 2 2 3 3 3" xfId="8370"/>
    <cellStyle name="Normal 4 3 2 2 3 4" xfId="4464"/>
    <cellStyle name="Normal 4 3 2 2 3 4 2" xfId="8928"/>
    <cellStyle name="Normal 4 3 2 2 3 5" xfId="6134"/>
    <cellStyle name="Normal 4 3 2 2 3 5 2" xfId="10598"/>
    <cellStyle name="Normal 4 3 2 2 3 6" xfId="6700"/>
    <cellStyle name="Normal 4 3 2 2 3 6 2" xfId="11155"/>
    <cellStyle name="Normal 4 3 2 2 3 7" xfId="7257"/>
    <cellStyle name="Normal 4 3 2 2 4" xfId="2363"/>
    <cellStyle name="Normal 4 3 2 2 4 2" xfId="3309"/>
    <cellStyle name="Normal 4 3 2 2 4 2 2" xfId="5578"/>
    <cellStyle name="Normal 4 3 2 2 4 2 2 2" xfId="10042"/>
    <cellStyle name="Normal 4 3 2 2 4 2 3" xfId="7814"/>
    <cellStyle name="Normal 4 3 2 2 4 3" xfId="3892"/>
    <cellStyle name="Normal 4 3 2 2 4 3 2" xfId="5022"/>
    <cellStyle name="Normal 4 3 2 2 4 3 2 2" xfId="9486"/>
    <cellStyle name="Normal 4 3 2 2 4 3 3" xfId="8371"/>
    <cellStyle name="Normal 4 3 2 2 4 4" xfId="4465"/>
    <cellStyle name="Normal 4 3 2 2 4 4 2" xfId="8929"/>
    <cellStyle name="Normal 4 3 2 2 4 5" xfId="6135"/>
    <cellStyle name="Normal 4 3 2 2 4 5 2" xfId="10599"/>
    <cellStyle name="Normal 4 3 2 2 4 6" xfId="6701"/>
    <cellStyle name="Normal 4 3 2 2 4 6 2" xfId="11156"/>
    <cellStyle name="Normal 4 3 2 2 4 7" xfId="7258"/>
    <cellStyle name="Normal 4 3 2 2 5" xfId="3304"/>
    <cellStyle name="Normal 4 3 2 2 5 2" xfId="5573"/>
    <cellStyle name="Normal 4 3 2 2 5 2 2" xfId="10037"/>
    <cellStyle name="Normal 4 3 2 2 5 3" xfId="7809"/>
    <cellStyle name="Normal 4 3 2 2 6" xfId="3887"/>
    <cellStyle name="Normal 4 3 2 2 6 2" xfId="5017"/>
    <cellStyle name="Normal 4 3 2 2 6 2 2" xfId="9481"/>
    <cellStyle name="Normal 4 3 2 2 6 3" xfId="8366"/>
    <cellStyle name="Normal 4 3 2 2 7" xfId="4460"/>
    <cellStyle name="Normal 4 3 2 2 7 2" xfId="8924"/>
    <cellStyle name="Normal 4 3 2 2 8" xfId="6130"/>
    <cellStyle name="Normal 4 3 2 2 8 2" xfId="10594"/>
    <cellStyle name="Normal 4 3 2 2 9" xfId="6696"/>
    <cellStyle name="Normal 4 3 2 2 9 2" xfId="11151"/>
    <cellStyle name="Normal 4 3 2 3" xfId="2364"/>
    <cellStyle name="Normal 4 3 2 3 2" xfId="2365"/>
    <cellStyle name="Normal 4 3 2 3 2 2" xfId="3311"/>
    <cellStyle name="Normal 4 3 2 3 2 2 2" xfId="5580"/>
    <cellStyle name="Normal 4 3 2 3 2 2 2 2" xfId="10044"/>
    <cellStyle name="Normal 4 3 2 3 2 2 3" xfId="7816"/>
    <cellStyle name="Normal 4 3 2 3 2 3" xfId="3894"/>
    <cellStyle name="Normal 4 3 2 3 2 3 2" xfId="5024"/>
    <cellStyle name="Normal 4 3 2 3 2 3 2 2" xfId="9488"/>
    <cellStyle name="Normal 4 3 2 3 2 3 3" xfId="8373"/>
    <cellStyle name="Normal 4 3 2 3 2 4" xfId="4467"/>
    <cellStyle name="Normal 4 3 2 3 2 4 2" xfId="8931"/>
    <cellStyle name="Normal 4 3 2 3 2 5" xfId="6137"/>
    <cellStyle name="Normal 4 3 2 3 2 5 2" xfId="10601"/>
    <cellStyle name="Normal 4 3 2 3 2 6" xfId="6703"/>
    <cellStyle name="Normal 4 3 2 3 2 6 2" xfId="11158"/>
    <cellStyle name="Normal 4 3 2 3 2 7" xfId="7260"/>
    <cellStyle name="Normal 4 3 2 3 3" xfId="2366"/>
    <cellStyle name="Normal 4 3 2 3 3 2" xfId="3312"/>
    <cellStyle name="Normal 4 3 2 3 3 2 2" xfId="5581"/>
    <cellStyle name="Normal 4 3 2 3 3 2 2 2" xfId="10045"/>
    <cellStyle name="Normal 4 3 2 3 3 2 3" xfId="7817"/>
    <cellStyle name="Normal 4 3 2 3 3 3" xfId="3895"/>
    <cellStyle name="Normal 4 3 2 3 3 3 2" xfId="5025"/>
    <cellStyle name="Normal 4 3 2 3 3 3 2 2" xfId="9489"/>
    <cellStyle name="Normal 4 3 2 3 3 3 3" xfId="8374"/>
    <cellStyle name="Normal 4 3 2 3 3 4" xfId="4468"/>
    <cellStyle name="Normal 4 3 2 3 3 4 2" xfId="8932"/>
    <cellStyle name="Normal 4 3 2 3 3 5" xfId="6138"/>
    <cellStyle name="Normal 4 3 2 3 3 5 2" xfId="10602"/>
    <cellStyle name="Normal 4 3 2 3 3 6" xfId="6704"/>
    <cellStyle name="Normal 4 3 2 3 3 6 2" xfId="11159"/>
    <cellStyle name="Normal 4 3 2 3 3 7" xfId="7261"/>
    <cellStyle name="Normal 4 3 2 3 4" xfId="3310"/>
    <cellStyle name="Normal 4 3 2 3 4 2" xfId="5579"/>
    <cellStyle name="Normal 4 3 2 3 4 2 2" xfId="10043"/>
    <cellStyle name="Normal 4 3 2 3 4 3" xfId="7815"/>
    <cellStyle name="Normal 4 3 2 3 5" xfId="3893"/>
    <cellStyle name="Normal 4 3 2 3 5 2" xfId="5023"/>
    <cellStyle name="Normal 4 3 2 3 5 2 2" xfId="9487"/>
    <cellStyle name="Normal 4 3 2 3 5 3" xfId="8372"/>
    <cellStyle name="Normal 4 3 2 3 6" xfId="4466"/>
    <cellStyle name="Normal 4 3 2 3 6 2" xfId="8930"/>
    <cellStyle name="Normal 4 3 2 3 7" xfId="6136"/>
    <cellStyle name="Normal 4 3 2 3 7 2" xfId="10600"/>
    <cellStyle name="Normal 4 3 2 3 8" xfId="6702"/>
    <cellStyle name="Normal 4 3 2 3 8 2" xfId="11157"/>
    <cellStyle name="Normal 4 3 2 3 9" xfId="7259"/>
    <cellStyle name="Normal 4 3 2 4" xfId="2367"/>
    <cellStyle name="Normal 4 3 2 4 2" xfId="3313"/>
    <cellStyle name="Normal 4 3 2 4 2 2" xfId="5582"/>
    <cellStyle name="Normal 4 3 2 4 2 2 2" xfId="10046"/>
    <cellStyle name="Normal 4 3 2 4 2 3" xfId="7818"/>
    <cellStyle name="Normal 4 3 2 4 3" xfId="3896"/>
    <cellStyle name="Normal 4 3 2 4 3 2" xfId="5026"/>
    <cellStyle name="Normal 4 3 2 4 3 2 2" xfId="9490"/>
    <cellStyle name="Normal 4 3 2 4 3 3" xfId="8375"/>
    <cellStyle name="Normal 4 3 2 4 4" xfId="4469"/>
    <cellStyle name="Normal 4 3 2 4 4 2" xfId="8933"/>
    <cellStyle name="Normal 4 3 2 4 5" xfId="6139"/>
    <cellStyle name="Normal 4 3 2 4 5 2" xfId="10603"/>
    <cellStyle name="Normal 4 3 2 4 6" xfId="6705"/>
    <cellStyle name="Normal 4 3 2 4 6 2" xfId="11160"/>
    <cellStyle name="Normal 4 3 2 4 7" xfId="7262"/>
    <cellStyle name="Normal 4 3 2 5" xfId="2368"/>
    <cellStyle name="Normal 4 3 2 5 2" xfId="3314"/>
    <cellStyle name="Normal 4 3 2 5 2 2" xfId="5583"/>
    <cellStyle name="Normal 4 3 2 5 2 2 2" xfId="10047"/>
    <cellStyle name="Normal 4 3 2 5 2 3" xfId="7819"/>
    <cellStyle name="Normal 4 3 2 5 3" xfId="3897"/>
    <cellStyle name="Normal 4 3 2 5 3 2" xfId="5027"/>
    <cellStyle name="Normal 4 3 2 5 3 2 2" xfId="9491"/>
    <cellStyle name="Normal 4 3 2 5 3 3" xfId="8376"/>
    <cellStyle name="Normal 4 3 2 5 4" xfId="4470"/>
    <cellStyle name="Normal 4 3 2 5 4 2" xfId="8934"/>
    <cellStyle name="Normal 4 3 2 5 5" xfId="6140"/>
    <cellStyle name="Normal 4 3 2 5 5 2" xfId="10604"/>
    <cellStyle name="Normal 4 3 2 5 6" xfId="6706"/>
    <cellStyle name="Normal 4 3 2 5 6 2" xfId="11161"/>
    <cellStyle name="Normal 4 3 2 5 7" xfId="7263"/>
    <cellStyle name="Normal 4 3 3" xfId="1544"/>
    <cellStyle name="Normal 4 3 3 2" xfId="2369"/>
    <cellStyle name="Normal 4 3 3 2 2" xfId="2370"/>
    <cellStyle name="Normal 4 3 3 2 2 2" xfId="3316"/>
    <cellStyle name="Normal 4 3 3 2 2 2 2" xfId="5585"/>
    <cellStyle name="Normal 4 3 3 2 2 2 2 2" xfId="10049"/>
    <cellStyle name="Normal 4 3 3 2 2 2 3" xfId="7821"/>
    <cellStyle name="Normal 4 3 3 2 2 3" xfId="3899"/>
    <cellStyle name="Normal 4 3 3 2 2 3 2" xfId="5029"/>
    <cellStyle name="Normal 4 3 3 2 2 3 2 2" xfId="9493"/>
    <cellStyle name="Normal 4 3 3 2 2 3 3" xfId="8378"/>
    <cellStyle name="Normal 4 3 3 2 2 4" xfId="4472"/>
    <cellStyle name="Normal 4 3 3 2 2 4 2" xfId="8936"/>
    <cellStyle name="Normal 4 3 3 2 2 5" xfId="6142"/>
    <cellStyle name="Normal 4 3 3 2 2 5 2" xfId="10606"/>
    <cellStyle name="Normal 4 3 3 2 2 6" xfId="6708"/>
    <cellStyle name="Normal 4 3 3 2 2 6 2" xfId="11163"/>
    <cellStyle name="Normal 4 3 3 2 2 7" xfId="7265"/>
    <cellStyle name="Normal 4 3 3 2 3" xfId="2371"/>
    <cellStyle name="Normal 4 3 3 2 3 2" xfId="3317"/>
    <cellStyle name="Normal 4 3 3 2 3 2 2" xfId="5586"/>
    <cellStyle name="Normal 4 3 3 2 3 2 2 2" xfId="10050"/>
    <cellStyle name="Normal 4 3 3 2 3 2 3" xfId="7822"/>
    <cellStyle name="Normal 4 3 3 2 3 3" xfId="3900"/>
    <cellStyle name="Normal 4 3 3 2 3 3 2" xfId="5030"/>
    <cellStyle name="Normal 4 3 3 2 3 3 2 2" xfId="9494"/>
    <cellStyle name="Normal 4 3 3 2 3 3 3" xfId="8379"/>
    <cellStyle name="Normal 4 3 3 2 3 4" xfId="4473"/>
    <cellStyle name="Normal 4 3 3 2 3 4 2" xfId="8937"/>
    <cellStyle name="Normal 4 3 3 2 3 5" xfId="6143"/>
    <cellStyle name="Normal 4 3 3 2 3 5 2" xfId="10607"/>
    <cellStyle name="Normal 4 3 3 2 3 6" xfId="6709"/>
    <cellStyle name="Normal 4 3 3 2 3 6 2" xfId="11164"/>
    <cellStyle name="Normal 4 3 3 2 3 7" xfId="7266"/>
    <cellStyle name="Normal 4 3 3 2 4" xfId="3315"/>
    <cellStyle name="Normal 4 3 3 2 4 2" xfId="5584"/>
    <cellStyle name="Normal 4 3 3 2 4 2 2" xfId="10048"/>
    <cellStyle name="Normal 4 3 3 2 4 3" xfId="7820"/>
    <cellStyle name="Normal 4 3 3 2 5" xfId="3898"/>
    <cellStyle name="Normal 4 3 3 2 5 2" xfId="5028"/>
    <cellStyle name="Normal 4 3 3 2 5 2 2" xfId="9492"/>
    <cellStyle name="Normal 4 3 3 2 5 3" xfId="8377"/>
    <cellStyle name="Normal 4 3 3 2 6" xfId="4471"/>
    <cellStyle name="Normal 4 3 3 2 6 2" xfId="8935"/>
    <cellStyle name="Normal 4 3 3 2 7" xfId="6141"/>
    <cellStyle name="Normal 4 3 3 2 7 2" xfId="10605"/>
    <cellStyle name="Normal 4 3 3 2 8" xfId="6707"/>
    <cellStyle name="Normal 4 3 3 2 8 2" xfId="11162"/>
    <cellStyle name="Normal 4 3 3 2 9" xfId="7264"/>
    <cellStyle name="Normal 4 3 3 3" xfId="2372"/>
    <cellStyle name="Normal 4 3 3 3 2" xfId="2373"/>
    <cellStyle name="Normal 4 3 3 3 2 2" xfId="3319"/>
    <cellStyle name="Normal 4 3 3 3 2 2 2" xfId="5588"/>
    <cellStyle name="Normal 4 3 3 3 2 2 2 2" xfId="10052"/>
    <cellStyle name="Normal 4 3 3 3 2 2 3" xfId="7824"/>
    <cellStyle name="Normal 4 3 3 3 2 3" xfId="3902"/>
    <cellStyle name="Normal 4 3 3 3 2 3 2" xfId="5032"/>
    <cellStyle name="Normal 4 3 3 3 2 3 2 2" xfId="9496"/>
    <cellStyle name="Normal 4 3 3 3 2 3 3" xfId="8381"/>
    <cellStyle name="Normal 4 3 3 3 2 4" xfId="4475"/>
    <cellStyle name="Normal 4 3 3 3 2 4 2" xfId="8939"/>
    <cellStyle name="Normal 4 3 3 3 2 5" xfId="6145"/>
    <cellStyle name="Normal 4 3 3 3 2 5 2" xfId="10609"/>
    <cellStyle name="Normal 4 3 3 3 2 6" xfId="6711"/>
    <cellStyle name="Normal 4 3 3 3 2 6 2" xfId="11166"/>
    <cellStyle name="Normal 4 3 3 3 2 7" xfId="7268"/>
    <cellStyle name="Normal 4 3 3 3 3" xfId="2374"/>
    <cellStyle name="Normal 4 3 3 3 3 2" xfId="3320"/>
    <cellStyle name="Normal 4 3 3 3 3 2 2" xfId="5589"/>
    <cellStyle name="Normal 4 3 3 3 3 2 2 2" xfId="10053"/>
    <cellStyle name="Normal 4 3 3 3 3 2 3" xfId="7825"/>
    <cellStyle name="Normal 4 3 3 3 3 3" xfId="3903"/>
    <cellStyle name="Normal 4 3 3 3 3 3 2" xfId="5033"/>
    <cellStyle name="Normal 4 3 3 3 3 3 2 2" xfId="9497"/>
    <cellStyle name="Normal 4 3 3 3 3 3 3" xfId="8382"/>
    <cellStyle name="Normal 4 3 3 3 3 4" xfId="4476"/>
    <cellStyle name="Normal 4 3 3 3 3 4 2" xfId="8940"/>
    <cellStyle name="Normal 4 3 3 3 3 5" xfId="6146"/>
    <cellStyle name="Normal 4 3 3 3 3 5 2" xfId="10610"/>
    <cellStyle name="Normal 4 3 3 3 3 6" xfId="6712"/>
    <cellStyle name="Normal 4 3 3 3 3 6 2" xfId="11167"/>
    <cellStyle name="Normal 4 3 3 3 3 7" xfId="7269"/>
    <cellStyle name="Normal 4 3 3 3 4" xfId="3318"/>
    <cellStyle name="Normal 4 3 3 3 4 2" xfId="5587"/>
    <cellStyle name="Normal 4 3 3 3 4 2 2" xfId="10051"/>
    <cellStyle name="Normal 4 3 3 3 4 3" xfId="7823"/>
    <cellStyle name="Normal 4 3 3 3 5" xfId="3901"/>
    <cellStyle name="Normal 4 3 3 3 5 2" xfId="5031"/>
    <cellStyle name="Normal 4 3 3 3 5 2 2" xfId="9495"/>
    <cellStyle name="Normal 4 3 3 3 5 3" xfId="8380"/>
    <cellStyle name="Normal 4 3 3 3 6" xfId="4474"/>
    <cellStyle name="Normal 4 3 3 3 6 2" xfId="8938"/>
    <cellStyle name="Normal 4 3 3 3 7" xfId="6144"/>
    <cellStyle name="Normal 4 3 3 3 7 2" xfId="10608"/>
    <cellStyle name="Normal 4 3 3 3 8" xfId="6710"/>
    <cellStyle name="Normal 4 3 3 3 8 2" xfId="11165"/>
    <cellStyle name="Normal 4 3 3 3 9" xfId="7267"/>
    <cellStyle name="Normal 4 3 3 4" xfId="2375"/>
    <cellStyle name="Normal 4 3 3 4 2" xfId="3321"/>
    <cellStyle name="Normal 4 3 3 4 2 2" xfId="5590"/>
    <cellStyle name="Normal 4 3 3 4 2 2 2" xfId="10054"/>
    <cellStyle name="Normal 4 3 3 4 2 3" xfId="7826"/>
    <cellStyle name="Normal 4 3 3 4 3" xfId="3904"/>
    <cellStyle name="Normal 4 3 3 4 3 2" xfId="5034"/>
    <cellStyle name="Normal 4 3 3 4 3 2 2" xfId="9498"/>
    <cellStyle name="Normal 4 3 3 4 3 3" xfId="8383"/>
    <cellStyle name="Normal 4 3 3 4 4" xfId="4477"/>
    <cellStyle name="Normal 4 3 3 4 4 2" xfId="8941"/>
    <cellStyle name="Normal 4 3 3 4 5" xfId="6147"/>
    <cellStyle name="Normal 4 3 3 4 5 2" xfId="10611"/>
    <cellStyle name="Normal 4 3 3 4 6" xfId="6713"/>
    <cellStyle name="Normal 4 3 3 4 6 2" xfId="11168"/>
    <cellStyle name="Normal 4 3 3 4 7" xfId="7270"/>
    <cellStyle name="Normal 4 3 3 5" xfId="2376"/>
    <cellStyle name="Normal 4 3 3 5 2" xfId="3322"/>
    <cellStyle name="Normal 4 3 3 5 2 2" xfId="5591"/>
    <cellStyle name="Normal 4 3 3 5 2 2 2" xfId="10055"/>
    <cellStyle name="Normal 4 3 3 5 2 3" xfId="7827"/>
    <cellStyle name="Normal 4 3 3 5 3" xfId="3905"/>
    <cellStyle name="Normal 4 3 3 5 3 2" xfId="5035"/>
    <cellStyle name="Normal 4 3 3 5 3 2 2" xfId="9499"/>
    <cellStyle name="Normal 4 3 3 5 3 3" xfId="8384"/>
    <cellStyle name="Normal 4 3 3 5 4" xfId="4478"/>
    <cellStyle name="Normal 4 3 3 5 4 2" xfId="8942"/>
    <cellStyle name="Normal 4 3 3 5 5" xfId="6148"/>
    <cellStyle name="Normal 4 3 3 5 5 2" xfId="10612"/>
    <cellStyle name="Normal 4 3 3 5 6" xfId="6714"/>
    <cellStyle name="Normal 4 3 3 5 6 2" xfId="11169"/>
    <cellStyle name="Normal 4 3 3 5 7" xfId="7271"/>
    <cellStyle name="Normal 4 3 4" xfId="1812"/>
    <cellStyle name="Normal 4 3 4 10" xfId="6855"/>
    <cellStyle name="Normal 4 3 4 2" xfId="2377"/>
    <cellStyle name="Normal 4 3 4 2 2" xfId="2378"/>
    <cellStyle name="Normal 4 3 4 2 2 2" xfId="3324"/>
    <cellStyle name="Normal 4 3 4 2 2 2 2" xfId="5593"/>
    <cellStyle name="Normal 4 3 4 2 2 2 2 2" xfId="10057"/>
    <cellStyle name="Normal 4 3 4 2 2 2 3" xfId="7829"/>
    <cellStyle name="Normal 4 3 4 2 2 3" xfId="3907"/>
    <cellStyle name="Normal 4 3 4 2 2 3 2" xfId="5037"/>
    <cellStyle name="Normal 4 3 4 2 2 3 2 2" xfId="9501"/>
    <cellStyle name="Normal 4 3 4 2 2 3 3" xfId="8386"/>
    <cellStyle name="Normal 4 3 4 2 2 4" xfId="4480"/>
    <cellStyle name="Normal 4 3 4 2 2 4 2" xfId="8944"/>
    <cellStyle name="Normal 4 3 4 2 2 5" xfId="6150"/>
    <cellStyle name="Normal 4 3 4 2 2 5 2" xfId="10614"/>
    <cellStyle name="Normal 4 3 4 2 2 6" xfId="6716"/>
    <cellStyle name="Normal 4 3 4 2 2 6 2" xfId="11171"/>
    <cellStyle name="Normal 4 3 4 2 2 7" xfId="7273"/>
    <cellStyle name="Normal 4 3 4 2 3" xfId="2379"/>
    <cellStyle name="Normal 4 3 4 2 3 2" xfId="3325"/>
    <cellStyle name="Normal 4 3 4 2 3 2 2" xfId="5594"/>
    <cellStyle name="Normal 4 3 4 2 3 2 2 2" xfId="10058"/>
    <cellStyle name="Normal 4 3 4 2 3 2 3" xfId="7830"/>
    <cellStyle name="Normal 4 3 4 2 3 3" xfId="3908"/>
    <cellStyle name="Normal 4 3 4 2 3 3 2" xfId="5038"/>
    <cellStyle name="Normal 4 3 4 2 3 3 2 2" xfId="9502"/>
    <cellStyle name="Normal 4 3 4 2 3 3 3" xfId="8387"/>
    <cellStyle name="Normal 4 3 4 2 3 4" xfId="4481"/>
    <cellStyle name="Normal 4 3 4 2 3 4 2" xfId="8945"/>
    <cellStyle name="Normal 4 3 4 2 3 5" xfId="6151"/>
    <cellStyle name="Normal 4 3 4 2 3 5 2" xfId="10615"/>
    <cellStyle name="Normal 4 3 4 2 3 6" xfId="6717"/>
    <cellStyle name="Normal 4 3 4 2 3 6 2" xfId="11172"/>
    <cellStyle name="Normal 4 3 4 2 3 7" xfId="7274"/>
    <cellStyle name="Normal 4 3 4 2 4" xfId="3323"/>
    <cellStyle name="Normal 4 3 4 2 4 2" xfId="5592"/>
    <cellStyle name="Normal 4 3 4 2 4 2 2" xfId="10056"/>
    <cellStyle name="Normal 4 3 4 2 4 3" xfId="7828"/>
    <cellStyle name="Normal 4 3 4 2 5" xfId="3906"/>
    <cellStyle name="Normal 4 3 4 2 5 2" xfId="5036"/>
    <cellStyle name="Normal 4 3 4 2 5 2 2" xfId="9500"/>
    <cellStyle name="Normal 4 3 4 2 5 3" xfId="8385"/>
    <cellStyle name="Normal 4 3 4 2 6" xfId="4479"/>
    <cellStyle name="Normal 4 3 4 2 6 2" xfId="8943"/>
    <cellStyle name="Normal 4 3 4 2 7" xfId="6149"/>
    <cellStyle name="Normal 4 3 4 2 7 2" xfId="10613"/>
    <cellStyle name="Normal 4 3 4 2 8" xfId="6715"/>
    <cellStyle name="Normal 4 3 4 2 8 2" xfId="11170"/>
    <cellStyle name="Normal 4 3 4 2 9" xfId="7272"/>
    <cellStyle name="Normal 4 3 4 3" xfId="2380"/>
    <cellStyle name="Normal 4 3 4 3 2" xfId="3326"/>
    <cellStyle name="Normal 4 3 4 3 2 2" xfId="5595"/>
    <cellStyle name="Normal 4 3 4 3 2 2 2" xfId="10059"/>
    <cellStyle name="Normal 4 3 4 3 2 3" xfId="7831"/>
    <cellStyle name="Normal 4 3 4 3 3" xfId="3909"/>
    <cellStyle name="Normal 4 3 4 3 3 2" xfId="5039"/>
    <cellStyle name="Normal 4 3 4 3 3 2 2" xfId="9503"/>
    <cellStyle name="Normal 4 3 4 3 3 3" xfId="8388"/>
    <cellStyle name="Normal 4 3 4 3 4" xfId="4482"/>
    <cellStyle name="Normal 4 3 4 3 4 2" xfId="8946"/>
    <cellStyle name="Normal 4 3 4 3 5" xfId="6152"/>
    <cellStyle name="Normal 4 3 4 3 5 2" xfId="10616"/>
    <cellStyle name="Normal 4 3 4 3 6" xfId="6718"/>
    <cellStyle name="Normal 4 3 4 3 6 2" xfId="11173"/>
    <cellStyle name="Normal 4 3 4 3 7" xfId="7275"/>
    <cellStyle name="Normal 4 3 4 4" xfId="2381"/>
    <cellStyle name="Normal 4 3 4 4 2" xfId="3327"/>
    <cellStyle name="Normal 4 3 4 4 2 2" xfId="5596"/>
    <cellStyle name="Normal 4 3 4 4 2 2 2" xfId="10060"/>
    <cellStyle name="Normal 4 3 4 4 2 3" xfId="7832"/>
    <cellStyle name="Normal 4 3 4 4 3" xfId="3910"/>
    <cellStyle name="Normal 4 3 4 4 3 2" xfId="5040"/>
    <cellStyle name="Normal 4 3 4 4 3 2 2" xfId="9504"/>
    <cellStyle name="Normal 4 3 4 4 3 3" xfId="8389"/>
    <cellStyle name="Normal 4 3 4 4 4" xfId="4483"/>
    <cellStyle name="Normal 4 3 4 4 4 2" xfId="8947"/>
    <cellStyle name="Normal 4 3 4 4 5" xfId="6153"/>
    <cellStyle name="Normal 4 3 4 4 5 2" xfId="10617"/>
    <cellStyle name="Normal 4 3 4 4 6" xfId="6719"/>
    <cellStyle name="Normal 4 3 4 4 6 2" xfId="11174"/>
    <cellStyle name="Normal 4 3 4 4 7" xfId="7276"/>
    <cellStyle name="Normal 4 3 4 5" xfId="2906"/>
    <cellStyle name="Normal 4 3 4 5 2" xfId="5175"/>
    <cellStyle name="Normal 4 3 4 5 2 2" xfId="9639"/>
    <cellStyle name="Normal 4 3 4 5 3" xfId="7411"/>
    <cellStyle name="Normal 4 3 4 6" xfId="3489"/>
    <cellStyle name="Normal 4 3 4 6 2" xfId="4619"/>
    <cellStyle name="Normal 4 3 4 6 2 2" xfId="9083"/>
    <cellStyle name="Normal 4 3 4 6 3" xfId="7968"/>
    <cellStyle name="Normal 4 3 4 7" xfId="4062"/>
    <cellStyle name="Normal 4 3 4 7 2" xfId="8526"/>
    <cellStyle name="Normal 4 3 4 8" xfId="5732"/>
    <cellStyle name="Normal 4 3 4 8 2" xfId="10196"/>
    <cellStyle name="Normal 4 3 4 9" xfId="6298"/>
    <cellStyle name="Normal 4 3 4 9 2" xfId="10753"/>
    <cellStyle name="Normal 4 3 5" xfId="2382"/>
    <cellStyle name="Normal 4 3 5 2" xfId="2383"/>
    <cellStyle name="Normal 4 3 5 2 2" xfId="3329"/>
    <cellStyle name="Normal 4 3 5 2 2 2" xfId="5598"/>
    <cellStyle name="Normal 4 3 5 2 2 2 2" xfId="10062"/>
    <cellStyle name="Normal 4 3 5 2 2 3" xfId="7834"/>
    <cellStyle name="Normal 4 3 5 2 3" xfId="3912"/>
    <cellStyle name="Normal 4 3 5 2 3 2" xfId="5042"/>
    <cellStyle name="Normal 4 3 5 2 3 2 2" xfId="9506"/>
    <cellStyle name="Normal 4 3 5 2 3 3" xfId="8391"/>
    <cellStyle name="Normal 4 3 5 2 4" xfId="4485"/>
    <cellStyle name="Normal 4 3 5 2 4 2" xfId="8949"/>
    <cellStyle name="Normal 4 3 5 2 5" xfId="6155"/>
    <cellStyle name="Normal 4 3 5 2 5 2" xfId="10619"/>
    <cellStyle name="Normal 4 3 5 2 6" xfId="6721"/>
    <cellStyle name="Normal 4 3 5 2 6 2" xfId="11176"/>
    <cellStyle name="Normal 4 3 5 2 7" xfId="7278"/>
    <cellStyle name="Normal 4 3 5 3" xfId="2384"/>
    <cellStyle name="Normal 4 3 5 3 2" xfId="3330"/>
    <cellStyle name="Normal 4 3 5 3 2 2" xfId="5599"/>
    <cellStyle name="Normal 4 3 5 3 2 2 2" xfId="10063"/>
    <cellStyle name="Normal 4 3 5 3 2 3" xfId="7835"/>
    <cellStyle name="Normal 4 3 5 3 3" xfId="3913"/>
    <cellStyle name="Normal 4 3 5 3 3 2" xfId="5043"/>
    <cellStyle name="Normal 4 3 5 3 3 2 2" xfId="9507"/>
    <cellStyle name="Normal 4 3 5 3 3 3" xfId="8392"/>
    <cellStyle name="Normal 4 3 5 3 4" xfId="4486"/>
    <cellStyle name="Normal 4 3 5 3 4 2" xfId="8950"/>
    <cellStyle name="Normal 4 3 5 3 5" xfId="6156"/>
    <cellStyle name="Normal 4 3 5 3 5 2" xfId="10620"/>
    <cellStyle name="Normal 4 3 5 3 6" xfId="6722"/>
    <cellStyle name="Normal 4 3 5 3 6 2" xfId="11177"/>
    <cellStyle name="Normal 4 3 5 3 7" xfId="7279"/>
    <cellStyle name="Normal 4 3 5 4" xfId="3328"/>
    <cellStyle name="Normal 4 3 5 4 2" xfId="5597"/>
    <cellStyle name="Normal 4 3 5 4 2 2" xfId="10061"/>
    <cellStyle name="Normal 4 3 5 4 3" xfId="7833"/>
    <cellStyle name="Normal 4 3 5 5" xfId="3911"/>
    <cellStyle name="Normal 4 3 5 5 2" xfId="5041"/>
    <cellStyle name="Normal 4 3 5 5 2 2" xfId="9505"/>
    <cellStyle name="Normal 4 3 5 5 3" xfId="8390"/>
    <cellStyle name="Normal 4 3 5 6" xfId="4484"/>
    <cellStyle name="Normal 4 3 5 6 2" xfId="8948"/>
    <cellStyle name="Normal 4 3 5 7" xfId="6154"/>
    <cellStyle name="Normal 4 3 5 7 2" xfId="10618"/>
    <cellStyle name="Normal 4 3 5 8" xfId="6720"/>
    <cellStyle name="Normal 4 3 5 8 2" xfId="11175"/>
    <cellStyle name="Normal 4 3 5 9" xfId="7277"/>
    <cellStyle name="Normal 4 3 6" xfId="2385"/>
    <cellStyle name="Normal 4 3 6 2" xfId="3331"/>
    <cellStyle name="Normal 4 3 6 2 2" xfId="5600"/>
    <cellStyle name="Normal 4 3 6 2 2 2" xfId="10064"/>
    <cellStyle name="Normal 4 3 6 2 3" xfId="7836"/>
    <cellStyle name="Normal 4 3 6 3" xfId="3914"/>
    <cellStyle name="Normal 4 3 6 3 2" xfId="5044"/>
    <cellStyle name="Normal 4 3 6 3 2 2" xfId="9508"/>
    <cellStyle name="Normal 4 3 6 3 3" xfId="8393"/>
    <cellStyle name="Normal 4 3 6 4" xfId="4487"/>
    <cellStyle name="Normal 4 3 6 4 2" xfId="8951"/>
    <cellStyle name="Normal 4 3 6 5" xfId="6157"/>
    <cellStyle name="Normal 4 3 6 5 2" xfId="10621"/>
    <cellStyle name="Normal 4 3 6 6" xfId="6723"/>
    <cellStyle name="Normal 4 3 6 6 2" xfId="11178"/>
    <cellStyle name="Normal 4 3 6 7" xfId="7280"/>
    <cellStyle name="Normal 4 3 7" xfId="2386"/>
    <cellStyle name="Normal 4 3 7 2" xfId="3332"/>
    <cellStyle name="Normal 4 3 7 2 2" xfId="5601"/>
    <cellStyle name="Normal 4 3 7 2 2 2" xfId="10065"/>
    <cellStyle name="Normal 4 3 7 2 3" xfId="7837"/>
    <cellStyle name="Normal 4 3 7 3" xfId="3915"/>
    <cellStyle name="Normal 4 3 7 3 2" xfId="5045"/>
    <cellStyle name="Normal 4 3 7 3 2 2" xfId="9509"/>
    <cellStyle name="Normal 4 3 7 3 3" xfId="8394"/>
    <cellStyle name="Normal 4 3 7 4" xfId="4488"/>
    <cellStyle name="Normal 4 3 7 4 2" xfId="8952"/>
    <cellStyle name="Normal 4 3 7 5" xfId="6158"/>
    <cellStyle name="Normal 4 3 7 5 2" xfId="10622"/>
    <cellStyle name="Normal 4 3 7 6" xfId="6724"/>
    <cellStyle name="Normal 4 3 7 6 2" xfId="11179"/>
    <cellStyle name="Normal 4 3 7 7" xfId="7281"/>
    <cellStyle name="Normal 4 3 8" xfId="2387"/>
    <cellStyle name="Normal 4 3 8 2" xfId="3333"/>
    <cellStyle name="Normal 4 3 8 2 2" xfId="5602"/>
    <cellStyle name="Normal 4 3 8 2 2 2" xfId="10066"/>
    <cellStyle name="Normal 4 3 8 2 3" xfId="7838"/>
    <cellStyle name="Normal 4 3 8 3" xfId="3916"/>
    <cellStyle name="Normal 4 3 8 3 2" xfId="5046"/>
    <cellStyle name="Normal 4 3 8 3 2 2" xfId="9510"/>
    <cellStyle name="Normal 4 3 8 3 3" xfId="8395"/>
    <cellStyle name="Normal 4 3 8 4" xfId="4489"/>
    <cellStyle name="Normal 4 3 8 4 2" xfId="8953"/>
    <cellStyle name="Normal 4 3 8 5" xfId="6159"/>
    <cellStyle name="Normal 4 3 8 5 2" xfId="10623"/>
    <cellStyle name="Normal 4 3 8 6" xfId="6725"/>
    <cellStyle name="Normal 4 3 8 6 2" xfId="11180"/>
    <cellStyle name="Normal 4 3 8 7" xfId="7282"/>
    <cellStyle name="Normal 4 3 9" xfId="11697"/>
    <cellStyle name="Normal 4 4" xfId="1111"/>
    <cellStyle name="Normal 4 4 2" xfId="2388"/>
    <cellStyle name="Normal 4 4 2 10" xfId="7283"/>
    <cellStyle name="Normal 4 4 2 2" xfId="2389"/>
    <cellStyle name="Normal 4 4 2 2 2" xfId="2390"/>
    <cellStyle name="Normal 4 4 2 2 2 2" xfId="3336"/>
    <cellStyle name="Normal 4 4 2 2 2 2 2" xfId="5605"/>
    <cellStyle name="Normal 4 4 2 2 2 2 2 2" xfId="10069"/>
    <cellStyle name="Normal 4 4 2 2 2 2 3" xfId="7841"/>
    <cellStyle name="Normal 4 4 2 2 2 3" xfId="3919"/>
    <cellStyle name="Normal 4 4 2 2 2 3 2" xfId="5049"/>
    <cellStyle name="Normal 4 4 2 2 2 3 2 2" xfId="9513"/>
    <cellStyle name="Normal 4 4 2 2 2 3 3" xfId="8398"/>
    <cellStyle name="Normal 4 4 2 2 2 4" xfId="4492"/>
    <cellStyle name="Normal 4 4 2 2 2 4 2" xfId="8956"/>
    <cellStyle name="Normal 4 4 2 2 2 5" xfId="6162"/>
    <cellStyle name="Normal 4 4 2 2 2 5 2" xfId="10626"/>
    <cellStyle name="Normal 4 4 2 2 2 6" xfId="6728"/>
    <cellStyle name="Normal 4 4 2 2 2 6 2" xfId="11183"/>
    <cellStyle name="Normal 4 4 2 2 2 7" xfId="7285"/>
    <cellStyle name="Normal 4 4 2 2 3" xfId="2391"/>
    <cellStyle name="Normal 4 4 2 2 3 2" xfId="3337"/>
    <cellStyle name="Normal 4 4 2 2 3 2 2" xfId="5606"/>
    <cellStyle name="Normal 4 4 2 2 3 2 2 2" xfId="10070"/>
    <cellStyle name="Normal 4 4 2 2 3 2 3" xfId="7842"/>
    <cellStyle name="Normal 4 4 2 2 3 3" xfId="3920"/>
    <cellStyle name="Normal 4 4 2 2 3 3 2" xfId="5050"/>
    <cellStyle name="Normal 4 4 2 2 3 3 2 2" xfId="9514"/>
    <cellStyle name="Normal 4 4 2 2 3 3 3" xfId="8399"/>
    <cellStyle name="Normal 4 4 2 2 3 4" xfId="4493"/>
    <cellStyle name="Normal 4 4 2 2 3 4 2" xfId="8957"/>
    <cellStyle name="Normal 4 4 2 2 3 5" xfId="6163"/>
    <cellStyle name="Normal 4 4 2 2 3 5 2" xfId="10627"/>
    <cellStyle name="Normal 4 4 2 2 3 6" xfId="6729"/>
    <cellStyle name="Normal 4 4 2 2 3 6 2" xfId="11184"/>
    <cellStyle name="Normal 4 4 2 2 3 7" xfId="7286"/>
    <cellStyle name="Normal 4 4 2 2 4" xfId="3335"/>
    <cellStyle name="Normal 4 4 2 2 4 2" xfId="5604"/>
    <cellStyle name="Normal 4 4 2 2 4 2 2" xfId="10068"/>
    <cellStyle name="Normal 4 4 2 2 4 3" xfId="7840"/>
    <cellStyle name="Normal 4 4 2 2 5" xfId="3918"/>
    <cellStyle name="Normal 4 4 2 2 5 2" xfId="5048"/>
    <cellStyle name="Normal 4 4 2 2 5 2 2" xfId="9512"/>
    <cellStyle name="Normal 4 4 2 2 5 3" xfId="8397"/>
    <cellStyle name="Normal 4 4 2 2 6" xfId="4491"/>
    <cellStyle name="Normal 4 4 2 2 6 2" xfId="8955"/>
    <cellStyle name="Normal 4 4 2 2 7" xfId="6161"/>
    <cellStyle name="Normal 4 4 2 2 7 2" xfId="10625"/>
    <cellStyle name="Normal 4 4 2 2 8" xfId="6727"/>
    <cellStyle name="Normal 4 4 2 2 8 2" xfId="11182"/>
    <cellStyle name="Normal 4 4 2 2 9" xfId="7284"/>
    <cellStyle name="Normal 4 4 2 3" xfId="2392"/>
    <cellStyle name="Normal 4 4 2 3 2" xfId="3338"/>
    <cellStyle name="Normal 4 4 2 3 2 2" xfId="5607"/>
    <cellStyle name="Normal 4 4 2 3 2 2 2" xfId="10071"/>
    <cellStyle name="Normal 4 4 2 3 2 3" xfId="7843"/>
    <cellStyle name="Normal 4 4 2 3 3" xfId="3921"/>
    <cellStyle name="Normal 4 4 2 3 3 2" xfId="5051"/>
    <cellStyle name="Normal 4 4 2 3 3 2 2" xfId="9515"/>
    <cellStyle name="Normal 4 4 2 3 3 3" xfId="8400"/>
    <cellStyle name="Normal 4 4 2 3 4" xfId="4494"/>
    <cellStyle name="Normal 4 4 2 3 4 2" xfId="8958"/>
    <cellStyle name="Normal 4 4 2 3 5" xfId="6164"/>
    <cellStyle name="Normal 4 4 2 3 5 2" xfId="10628"/>
    <cellStyle name="Normal 4 4 2 3 6" xfId="6730"/>
    <cellStyle name="Normal 4 4 2 3 6 2" xfId="11185"/>
    <cellStyle name="Normal 4 4 2 3 7" xfId="7287"/>
    <cellStyle name="Normal 4 4 2 4" xfId="2393"/>
    <cellStyle name="Normal 4 4 2 4 2" xfId="3339"/>
    <cellStyle name="Normal 4 4 2 4 2 2" xfId="5608"/>
    <cellStyle name="Normal 4 4 2 4 2 2 2" xfId="10072"/>
    <cellStyle name="Normal 4 4 2 4 2 3" xfId="7844"/>
    <cellStyle name="Normal 4 4 2 4 3" xfId="3922"/>
    <cellStyle name="Normal 4 4 2 4 3 2" xfId="5052"/>
    <cellStyle name="Normal 4 4 2 4 3 2 2" xfId="9516"/>
    <cellStyle name="Normal 4 4 2 4 3 3" xfId="8401"/>
    <cellStyle name="Normal 4 4 2 4 4" xfId="4495"/>
    <cellStyle name="Normal 4 4 2 4 4 2" xfId="8959"/>
    <cellStyle name="Normal 4 4 2 4 5" xfId="6165"/>
    <cellStyle name="Normal 4 4 2 4 5 2" xfId="10629"/>
    <cellStyle name="Normal 4 4 2 4 6" xfId="6731"/>
    <cellStyle name="Normal 4 4 2 4 6 2" xfId="11186"/>
    <cellStyle name="Normal 4 4 2 4 7" xfId="7288"/>
    <cellStyle name="Normal 4 4 2 5" xfId="3334"/>
    <cellStyle name="Normal 4 4 2 5 2" xfId="5603"/>
    <cellStyle name="Normal 4 4 2 5 2 2" xfId="10067"/>
    <cellStyle name="Normal 4 4 2 5 3" xfId="7839"/>
    <cellStyle name="Normal 4 4 2 6" xfId="3917"/>
    <cellStyle name="Normal 4 4 2 6 2" xfId="5047"/>
    <cellStyle name="Normal 4 4 2 6 2 2" xfId="9511"/>
    <cellStyle name="Normal 4 4 2 6 3" xfId="8396"/>
    <cellStyle name="Normal 4 4 2 7" xfId="4490"/>
    <cellStyle name="Normal 4 4 2 7 2" xfId="8954"/>
    <cellStyle name="Normal 4 4 2 8" xfId="6160"/>
    <cellStyle name="Normal 4 4 2 8 2" xfId="10624"/>
    <cellStyle name="Normal 4 4 2 9" xfId="6726"/>
    <cellStyle name="Normal 4 4 2 9 2" xfId="11181"/>
    <cellStyle name="Normal 4 4 3" xfId="2394"/>
    <cellStyle name="Normal 4 4 3 2" xfId="2395"/>
    <cellStyle name="Normal 4 4 3 2 2" xfId="3341"/>
    <cellStyle name="Normal 4 4 3 2 2 2" xfId="5610"/>
    <cellStyle name="Normal 4 4 3 2 2 2 2" xfId="10074"/>
    <cellStyle name="Normal 4 4 3 2 2 3" xfId="7846"/>
    <cellStyle name="Normal 4 4 3 2 3" xfId="3924"/>
    <cellStyle name="Normal 4 4 3 2 3 2" xfId="5054"/>
    <cellStyle name="Normal 4 4 3 2 3 2 2" xfId="9518"/>
    <cellStyle name="Normal 4 4 3 2 3 3" xfId="8403"/>
    <cellStyle name="Normal 4 4 3 2 4" xfId="4497"/>
    <cellStyle name="Normal 4 4 3 2 4 2" xfId="8961"/>
    <cellStyle name="Normal 4 4 3 2 5" xfId="6167"/>
    <cellStyle name="Normal 4 4 3 2 5 2" xfId="10631"/>
    <cellStyle name="Normal 4 4 3 2 6" xfId="6733"/>
    <cellStyle name="Normal 4 4 3 2 6 2" xfId="11188"/>
    <cellStyle name="Normal 4 4 3 2 7" xfId="7290"/>
    <cellStyle name="Normal 4 4 3 3" xfId="2396"/>
    <cellStyle name="Normal 4 4 3 3 2" xfId="3342"/>
    <cellStyle name="Normal 4 4 3 3 2 2" xfId="5611"/>
    <cellStyle name="Normal 4 4 3 3 2 2 2" xfId="10075"/>
    <cellStyle name="Normal 4 4 3 3 2 3" xfId="7847"/>
    <cellStyle name="Normal 4 4 3 3 3" xfId="3925"/>
    <cellStyle name="Normal 4 4 3 3 3 2" xfId="5055"/>
    <cellStyle name="Normal 4 4 3 3 3 2 2" xfId="9519"/>
    <cellStyle name="Normal 4 4 3 3 3 3" xfId="8404"/>
    <cellStyle name="Normal 4 4 3 3 4" xfId="4498"/>
    <cellStyle name="Normal 4 4 3 3 4 2" xfId="8962"/>
    <cellStyle name="Normal 4 4 3 3 5" xfId="6168"/>
    <cellStyle name="Normal 4 4 3 3 5 2" xfId="10632"/>
    <cellStyle name="Normal 4 4 3 3 6" xfId="6734"/>
    <cellStyle name="Normal 4 4 3 3 6 2" xfId="11189"/>
    <cellStyle name="Normal 4 4 3 3 7" xfId="7291"/>
    <cellStyle name="Normal 4 4 3 4" xfId="3340"/>
    <cellStyle name="Normal 4 4 3 4 2" xfId="5609"/>
    <cellStyle name="Normal 4 4 3 4 2 2" xfId="10073"/>
    <cellStyle name="Normal 4 4 3 4 3" xfId="7845"/>
    <cellStyle name="Normal 4 4 3 5" xfId="3923"/>
    <cellStyle name="Normal 4 4 3 5 2" xfId="5053"/>
    <cellStyle name="Normal 4 4 3 5 2 2" xfId="9517"/>
    <cellStyle name="Normal 4 4 3 5 3" xfId="8402"/>
    <cellStyle name="Normal 4 4 3 6" xfId="4496"/>
    <cellStyle name="Normal 4 4 3 6 2" xfId="8960"/>
    <cellStyle name="Normal 4 4 3 7" xfId="6166"/>
    <cellStyle name="Normal 4 4 3 7 2" xfId="10630"/>
    <cellStyle name="Normal 4 4 3 8" xfId="6732"/>
    <cellStyle name="Normal 4 4 3 8 2" xfId="11187"/>
    <cellStyle name="Normal 4 4 3 9" xfId="7289"/>
    <cellStyle name="Normal 4 4 4" xfId="2397"/>
    <cellStyle name="Normal 4 4 4 2" xfId="3343"/>
    <cellStyle name="Normal 4 4 4 2 2" xfId="5612"/>
    <cellStyle name="Normal 4 4 4 2 2 2" xfId="10076"/>
    <cellStyle name="Normal 4 4 4 2 3" xfId="7848"/>
    <cellStyle name="Normal 4 4 4 3" xfId="3926"/>
    <cellStyle name="Normal 4 4 4 3 2" xfId="5056"/>
    <cellStyle name="Normal 4 4 4 3 2 2" xfId="9520"/>
    <cellStyle name="Normal 4 4 4 3 3" xfId="8405"/>
    <cellStyle name="Normal 4 4 4 4" xfId="4499"/>
    <cellStyle name="Normal 4 4 4 4 2" xfId="8963"/>
    <cellStyle name="Normal 4 4 4 5" xfId="6169"/>
    <cellStyle name="Normal 4 4 4 5 2" xfId="10633"/>
    <cellStyle name="Normal 4 4 4 6" xfId="6735"/>
    <cellStyle name="Normal 4 4 4 6 2" xfId="11190"/>
    <cellStyle name="Normal 4 4 4 7" xfId="7292"/>
    <cellStyle name="Normal 4 4 5" xfId="2398"/>
    <cellStyle name="Normal 4 4 5 2" xfId="3344"/>
    <cellStyle name="Normal 4 4 5 2 2" xfId="5613"/>
    <cellStyle name="Normal 4 4 5 2 2 2" xfId="10077"/>
    <cellStyle name="Normal 4 4 5 2 3" xfId="7849"/>
    <cellStyle name="Normal 4 4 5 3" xfId="3927"/>
    <cellStyle name="Normal 4 4 5 3 2" xfId="5057"/>
    <cellStyle name="Normal 4 4 5 3 2 2" xfId="9521"/>
    <cellStyle name="Normal 4 4 5 3 3" xfId="8406"/>
    <cellStyle name="Normal 4 4 5 4" xfId="4500"/>
    <cellStyle name="Normal 4 4 5 4 2" xfId="8964"/>
    <cellStyle name="Normal 4 4 5 5" xfId="6170"/>
    <cellStyle name="Normal 4 4 5 5 2" xfId="10634"/>
    <cellStyle name="Normal 4 4 5 6" xfId="6736"/>
    <cellStyle name="Normal 4 4 5 6 2" xfId="11191"/>
    <cellStyle name="Normal 4 4 5 7" xfId="7293"/>
    <cellStyle name="Normal 4 4 6" xfId="11976"/>
    <cellStyle name="Normal 4 4 7" xfId="1545"/>
    <cellStyle name="Normal 4 5" xfId="1546"/>
    <cellStyle name="Normal 4 5 2" xfId="2399"/>
    <cellStyle name="Normal 4 5 2 2" xfId="2400"/>
    <cellStyle name="Normal 4 5 2 2 2" xfId="3346"/>
    <cellStyle name="Normal 4 5 2 2 2 2" xfId="5615"/>
    <cellStyle name="Normal 4 5 2 2 2 2 2" xfId="10079"/>
    <cellStyle name="Normal 4 5 2 2 2 3" xfId="7851"/>
    <cellStyle name="Normal 4 5 2 2 3" xfId="3929"/>
    <cellStyle name="Normal 4 5 2 2 3 2" xfId="5059"/>
    <cellStyle name="Normal 4 5 2 2 3 2 2" xfId="9523"/>
    <cellStyle name="Normal 4 5 2 2 3 3" xfId="8408"/>
    <cellStyle name="Normal 4 5 2 2 4" xfId="4502"/>
    <cellStyle name="Normal 4 5 2 2 4 2" xfId="8966"/>
    <cellStyle name="Normal 4 5 2 2 5" xfId="6172"/>
    <cellStyle name="Normal 4 5 2 2 5 2" xfId="10636"/>
    <cellStyle name="Normal 4 5 2 2 6" xfId="6738"/>
    <cellStyle name="Normal 4 5 2 2 6 2" xfId="11193"/>
    <cellStyle name="Normal 4 5 2 2 7" xfId="7295"/>
    <cellStyle name="Normal 4 5 2 3" xfId="2401"/>
    <cellStyle name="Normal 4 5 2 3 2" xfId="3347"/>
    <cellStyle name="Normal 4 5 2 3 2 2" xfId="5616"/>
    <cellStyle name="Normal 4 5 2 3 2 2 2" xfId="10080"/>
    <cellStyle name="Normal 4 5 2 3 2 3" xfId="7852"/>
    <cellStyle name="Normal 4 5 2 3 3" xfId="3930"/>
    <cellStyle name="Normal 4 5 2 3 3 2" xfId="5060"/>
    <cellStyle name="Normal 4 5 2 3 3 2 2" xfId="9524"/>
    <cellStyle name="Normal 4 5 2 3 3 3" xfId="8409"/>
    <cellStyle name="Normal 4 5 2 3 4" xfId="4503"/>
    <cellStyle name="Normal 4 5 2 3 4 2" xfId="8967"/>
    <cellStyle name="Normal 4 5 2 3 5" xfId="6173"/>
    <cellStyle name="Normal 4 5 2 3 5 2" xfId="10637"/>
    <cellStyle name="Normal 4 5 2 3 6" xfId="6739"/>
    <cellStyle name="Normal 4 5 2 3 6 2" xfId="11194"/>
    <cellStyle name="Normal 4 5 2 3 7" xfId="7296"/>
    <cellStyle name="Normal 4 5 2 4" xfId="3345"/>
    <cellStyle name="Normal 4 5 2 4 2" xfId="5614"/>
    <cellStyle name="Normal 4 5 2 4 2 2" xfId="10078"/>
    <cellStyle name="Normal 4 5 2 4 3" xfId="7850"/>
    <cellStyle name="Normal 4 5 2 5" xfId="3928"/>
    <cellStyle name="Normal 4 5 2 5 2" xfId="5058"/>
    <cellStyle name="Normal 4 5 2 5 2 2" xfId="9522"/>
    <cellStyle name="Normal 4 5 2 5 3" xfId="8407"/>
    <cellStyle name="Normal 4 5 2 6" xfId="4501"/>
    <cellStyle name="Normal 4 5 2 6 2" xfId="8965"/>
    <cellStyle name="Normal 4 5 2 7" xfId="6171"/>
    <cellStyle name="Normal 4 5 2 7 2" xfId="10635"/>
    <cellStyle name="Normal 4 5 2 8" xfId="6737"/>
    <cellStyle name="Normal 4 5 2 8 2" xfId="11192"/>
    <cellStyle name="Normal 4 5 2 9" xfId="7294"/>
    <cellStyle name="Normal 4 5 3" xfId="2402"/>
    <cellStyle name="Normal 4 5 3 2" xfId="2403"/>
    <cellStyle name="Normal 4 5 3 2 2" xfId="3349"/>
    <cellStyle name="Normal 4 5 3 2 2 2" xfId="5618"/>
    <cellStyle name="Normal 4 5 3 2 2 2 2" xfId="10082"/>
    <cellStyle name="Normal 4 5 3 2 2 3" xfId="7854"/>
    <cellStyle name="Normal 4 5 3 2 3" xfId="3932"/>
    <cellStyle name="Normal 4 5 3 2 3 2" xfId="5062"/>
    <cellStyle name="Normal 4 5 3 2 3 2 2" xfId="9526"/>
    <cellStyle name="Normal 4 5 3 2 3 3" xfId="8411"/>
    <cellStyle name="Normal 4 5 3 2 4" xfId="4505"/>
    <cellStyle name="Normal 4 5 3 2 4 2" xfId="8969"/>
    <cellStyle name="Normal 4 5 3 2 5" xfId="6175"/>
    <cellStyle name="Normal 4 5 3 2 5 2" xfId="10639"/>
    <cellStyle name="Normal 4 5 3 2 6" xfId="6741"/>
    <cellStyle name="Normal 4 5 3 2 6 2" xfId="11196"/>
    <cellStyle name="Normal 4 5 3 2 7" xfId="7298"/>
    <cellStyle name="Normal 4 5 3 3" xfId="2404"/>
    <cellStyle name="Normal 4 5 3 3 2" xfId="3350"/>
    <cellStyle name="Normal 4 5 3 3 2 2" xfId="5619"/>
    <cellStyle name="Normal 4 5 3 3 2 2 2" xfId="10083"/>
    <cellStyle name="Normal 4 5 3 3 2 3" xfId="7855"/>
    <cellStyle name="Normal 4 5 3 3 3" xfId="3933"/>
    <cellStyle name="Normal 4 5 3 3 3 2" xfId="5063"/>
    <cellStyle name="Normal 4 5 3 3 3 2 2" xfId="9527"/>
    <cellStyle name="Normal 4 5 3 3 3 3" xfId="8412"/>
    <cellStyle name="Normal 4 5 3 3 4" xfId="4506"/>
    <cellStyle name="Normal 4 5 3 3 4 2" xfId="8970"/>
    <cellStyle name="Normal 4 5 3 3 5" xfId="6176"/>
    <cellStyle name="Normal 4 5 3 3 5 2" xfId="10640"/>
    <cellStyle name="Normal 4 5 3 3 6" xfId="6742"/>
    <cellStyle name="Normal 4 5 3 3 6 2" xfId="11197"/>
    <cellStyle name="Normal 4 5 3 3 7" xfId="7299"/>
    <cellStyle name="Normal 4 5 3 4" xfId="3348"/>
    <cellStyle name="Normal 4 5 3 4 2" xfId="5617"/>
    <cellStyle name="Normal 4 5 3 4 2 2" xfId="10081"/>
    <cellStyle name="Normal 4 5 3 4 3" xfId="7853"/>
    <cellStyle name="Normal 4 5 3 5" xfId="3931"/>
    <cellStyle name="Normal 4 5 3 5 2" xfId="5061"/>
    <cellStyle name="Normal 4 5 3 5 2 2" xfId="9525"/>
    <cellStyle name="Normal 4 5 3 5 3" xfId="8410"/>
    <cellStyle name="Normal 4 5 3 6" xfId="4504"/>
    <cellStyle name="Normal 4 5 3 6 2" xfId="8968"/>
    <cellStyle name="Normal 4 5 3 7" xfId="6174"/>
    <cellStyle name="Normal 4 5 3 7 2" xfId="10638"/>
    <cellStyle name="Normal 4 5 3 8" xfId="6740"/>
    <cellStyle name="Normal 4 5 3 8 2" xfId="11195"/>
    <cellStyle name="Normal 4 5 3 9" xfId="7297"/>
    <cellStyle name="Normal 4 5 4" xfId="2405"/>
    <cellStyle name="Normal 4 5 4 2" xfId="3351"/>
    <cellStyle name="Normal 4 5 4 2 2" xfId="5620"/>
    <cellStyle name="Normal 4 5 4 2 2 2" xfId="10084"/>
    <cellStyle name="Normal 4 5 4 2 3" xfId="7856"/>
    <cellStyle name="Normal 4 5 4 3" xfId="3934"/>
    <cellStyle name="Normal 4 5 4 3 2" xfId="5064"/>
    <cellStyle name="Normal 4 5 4 3 2 2" xfId="9528"/>
    <cellStyle name="Normal 4 5 4 3 3" xfId="8413"/>
    <cellStyle name="Normal 4 5 4 4" xfId="4507"/>
    <cellStyle name="Normal 4 5 4 4 2" xfId="8971"/>
    <cellStyle name="Normal 4 5 4 5" xfId="6177"/>
    <cellStyle name="Normal 4 5 4 5 2" xfId="10641"/>
    <cellStyle name="Normal 4 5 4 6" xfId="6743"/>
    <cellStyle name="Normal 4 5 4 6 2" xfId="11198"/>
    <cellStyle name="Normal 4 5 4 7" xfId="7300"/>
    <cellStyle name="Normal 4 5 5" xfId="2406"/>
    <cellStyle name="Normal 4 5 5 2" xfId="3352"/>
    <cellStyle name="Normal 4 5 5 2 2" xfId="5621"/>
    <cellStyle name="Normal 4 5 5 2 2 2" xfId="10085"/>
    <cellStyle name="Normal 4 5 5 2 3" xfId="7857"/>
    <cellStyle name="Normal 4 5 5 3" xfId="3935"/>
    <cellStyle name="Normal 4 5 5 3 2" xfId="5065"/>
    <cellStyle name="Normal 4 5 5 3 2 2" xfId="9529"/>
    <cellStyle name="Normal 4 5 5 3 3" xfId="8414"/>
    <cellStyle name="Normal 4 5 5 4" xfId="4508"/>
    <cellStyle name="Normal 4 5 5 4 2" xfId="8972"/>
    <cellStyle name="Normal 4 5 5 5" xfId="6178"/>
    <cellStyle name="Normal 4 5 5 5 2" xfId="10642"/>
    <cellStyle name="Normal 4 5 5 6" xfId="6744"/>
    <cellStyle name="Normal 4 5 5 6 2" xfId="11199"/>
    <cellStyle name="Normal 4 5 5 7" xfId="7301"/>
    <cellStyle name="Normal 4 6" xfId="1547"/>
    <cellStyle name="Normal 4 6 2" xfId="2407"/>
    <cellStyle name="Normal 4 6 2 2" xfId="2408"/>
    <cellStyle name="Normal 4 6 2 2 2" xfId="3354"/>
    <cellStyle name="Normal 4 6 2 2 2 2" xfId="5623"/>
    <cellStyle name="Normal 4 6 2 2 2 2 2" xfId="10087"/>
    <cellStyle name="Normal 4 6 2 2 2 3" xfId="7859"/>
    <cellStyle name="Normal 4 6 2 2 3" xfId="3937"/>
    <cellStyle name="Normal 4 6 2 2 3 2" xfId="5067"/>
    <cellStyle name="Normal 4 6 2 2 3 2 2" xfId="9531"/>
    <cellStyle name="Normal 4 6 2 2 3 3" xfId="8416"/>
    <cellStyle name="Normal 4 6 2 2 4" xfId="4510"/>
    <cellStyle name="Normal 4 6 2 2 4 2" xfId="8974"/>
    <cellStyle name="Normal 4 6 2 2 5" xfId="6180"/>
    <cellStyle name="Normal 4 6 2 2 5 2" xfId="10644"/>
    <cellStyle name="Normal 4 6 2 2 6" xfId="6746"/>
    <cellStyle name="Normal 4 6 2 2 6 2" xfId="11201"/>
    <cellStyle name="Normal 4 6 2 2 7" xfId="7303"/>
    <cellStyle name="Normal 4 6 2 3" xfId="2409"/>
    <cellStyle name="Normal 4 6 2 3 2" xfId="3355"/>
    <cellStyle name="Normal 4 6 2 3 2 2" xfId="5624"/>
    <cellStyle name="Normal 4 6 2 3 2 2 2" xfId="10088"/>
    <cellStyle name="Normal 4 6 2 3 2 3" xfId="7860"/>
    <cellStyle name="Normal 4 6 2 3 3" xfId="3938"/>
    <cellStyle name="Normal 4 6 2 3 3 2" xfId="5068"/>
    <cellStyle name="Normal 4 6 2 3 3 2 2" xfId="9532"/>
    <cellStyle name="Normal 4 6 2 3 3 3" xfId="8417"/>
    <cellStyle name="Normal 4 6 2 3 4" xfId="4511"/>
    <cellStyle name="Normal 4 6 2 3 4 2" xfId="8975"/>
    <cellStyle name="Normal 4 6 2 3 5" xfId="6181"/>
    <cellStyle name="Normal 4 6 2 3 5 2" xfId="10645"/>
    <cellStyle name="Normal 4 6 2 3 6" xfId="6747"/>
    <cellStyle name="Normal 4 6 2 3 6 2" xfId="11202"/>
    <cellStyle name="Normal 4 6 2 3 7" xfId="7304"/>
    <cellStyle name="Normal 4 6 2 4" xfId="3353"/>
    <cellStyle name="Normal 4 6 2 4 2" xfId="5622"/>
    <cellStyle name="Normal 4 6 2 4 2 2" xfId="10086"/>
    <cellStyle name="Normal 4 6 2 4 3" xfId="7858"/>
    <cellStyle name="Normal 4 6 2 5" xfId="3936"/>
    <cellStyle name="Normal 4 6 2 5 2" xfId="5066"/>
    <cellStyle name="Normal 4 6 2 5 2 2" xfId="9530"/>
    <cellStyle name="Normal 4 6 2 5 3" xfId="8415"/>
    <cellStyle name="Normal 4 6 2 6" xfId="4509"/>
    <cellStyle name="Normal 4 6 2 6 2" xfId="8973"/>
    <cellStyle name="Normal 4 6 2 7" xfId="6179"/>
    <cellStyle name="Normal 4 6 2 7 2" xfId="10643"/>
    <cellStyle name="Normal 4 6 2 8" xfId="6745"/>
    <cellStyle name="Normal 4 6 2 8 2" xfId="11200"/>
    <cellStyle name="Normal 4 6 2 9" xfId="7302"/>
    <cellStyle name="Normal 4 6 3" xfId="2410"/>
    <cellStyle name="Normal 4 6 3 2" xfId="3356"/>
    <cellStyle name="Normal 4 6 3 2 2" xfId="5625"/>
    <cellStyle name="Normal 4 6 3 2 2 2" xfId="10089"/>
    <cellStyle name="Normal 4 6 3 2 3" xfId="7861"/>
    <cellStyle name="Normal 4 6 3 3" xfId="3939"/>
    <cellStyle name="Normal 4 6 3 3 2" xfId="5069"/>
    <cellStyle name="Normal 4 6 3 3 2 2" xfId="9533"/>
    <cellStyle name="Normal 4 6 3 3 3" xfId="8418"/>
    <cellStyle name="Normal 4 6 3 4" xfId="4512"/>
    <cellStyle name="Normal 4 6 3 4 2" xfId="8976"/>
    <cellStyle name="Normal 4 6 3 5" xfId="6182"/>
    <cellStyle name="Normal 4 6 3 5 2" xfId="10646"/>
    <cellStyle name="Normal 4 6 3 6" xfId="6748"/>
    <cellStyle name="Normal 4 6 3 6 2" xfId="11203"/>
    <cellStyle name="Normal 4 6 3 7" xfId="7305"/>
    <cellStyle name="Normal 4 6 4" xfId="2411"/>
    <cellStyle name="Normal 4 6 4 2" xfId="3357"/>
    <cellStyle name="Normal 4 6 4 2 2" xfId="5626"/>
    <cellStyle name="Normal 4 6 4 2 2 2" xfId="10090"/>
    <cellStyle name="Normal 4 6 4 2 3" xfId="7862"/>
    <cellStyle name="Normal 4 6 4 3" xfId="3940"/>
    <cellStyle name="Normal 4 6 4 3 2" xfId="5070"/>
    <cellStyle name="Normal 4 6 4 3 2 2" xfId="9534"/>
    <cellStyle name="Normal 4 6 4 3 3" xfId="8419"/>
    <cellStyle name="Normal 4 6 4 4" xfId="4513"/>
    <cellStyle name="Normal 4 6 4 4 2" xfId="8977"/>
    <cellStyle name="Normal 4 6 4 5" xfId="6183"/>
    <cellStyle name="Normal 4 6 4 5 2" xfId="10647"/>
    <cellStyle name="Normal 4 6 4 6" xfId="6749"/>
    <cellStyle name="Normal 4 6 4 6 2" xfId="11204"/>
    <cellStyle name="Normal 4 6 4 7" xfId="7306"/>
    <cellStyle name="Normal 4 7" xfId="1548"/>
    <cellStyle name="Normal 4 7 2" xfId="2412"/>
    <cellStyle name="Normal 4 7 2 2" xfId="3358"/>
    <cellStyle name="Normal 4 7 2 2 2" xfId="5627"/>
    <cellStyle name="Normal 4 7 2 2 2 2" xfId="10091"/>
    <cellStyle name="Normal 4 7 2 2 3" xfId="7863"/>
    <cellStyle name="Normal 4 7 2 3" xfId="3941"/>
    <cellStyle name="Normal 4 7 2 3 2" xfId="5071"/>
    <cellStyle name="Normal 4 7 2 3 2 2" xfId="9535"/>
    <cellStyle name="Normal 4 7 2 3 3" xfId="8420"/>
    <cellStyle name="Normal 4 7 2 4" xfId="4514"/>
    <cellStyle name="Normal 4 7 2 4 2" xfId="8978"/>
    <cellStyle name="Normal 4 7 2 5" xfId="6184"/>
    <cellStyle name="Normal 4 7 2 5 2" xfId="10648"/>
    <cellStyle name="Normal 4 7 2 6" xfId="6750"/>
    <cellStyle name="Normal 4 7 2 6 2" xfId="11205"/>
    <cellStyle name="Normal 4 7 2 7" xfId="7307"/>
    <cellStyle name="Normal 4 7 3" xfId="2413"/>
    <cellStyle name="Normal 4 7 3 2" xfId="3359"/>
    <cellStyle name="Normal 4 7 3 2 2" xfId="5628"/>
    <cellStyle name="Normal 4 7 3 2 2 2" xfId="10092"/>
    <cellStyle name="Normal 4 7 3 2 3" xfId="7864"/>
    <cellStyle name="Normal 4 7 3 3" xfId="3942"/>
    <cellStyle name="Normal 4 7 3 3 2" xfId="5072"/>
    <cellStyle name="Normal 4 7 3 3 2 2" xfId="9536"/>
    <cellStyle name="Normal 4 7 3 3 3" xfId="8421"/>
    <cellStyle name="Normal 4 7 3 4" xfId="4515"/>
    <cellStyle name="Normal 4 7 3 4 2" xfId="8979"/>
    <cellStyle name="Normal 4 7 3 5" xfId="6185"/>
    <cellStyle name="Normal 4 7 3 5 2" xfId="10649"/>
    <cellStyle name="Normal 4 7 3 6" xfId="6751"/>
    <cellStyle name="Normal 4 7 3 6 2" xfId="11206"/>
    <cellStyle name="Normal 4 7 3 7" xfId="7308"/>
    <cellStyle name="Normal 4 8" xfId="1797"/>
    <cellStyle name="Normal 4 8 2" xfId="2905"/>
    <cellStyle name="Normal 4 8 2 2" xfId="5174"/>
    <cellStyle name="Normal 4 8 2 2 2" xfId="9638"/>
    <cellStyle name="Normal 4 8 2 3" xfId="7410"/>
    <cellStyle name="Normal 4 8 3" xfId="3488"/>
    <cellStyle name="Normal 4 8 3 2" xfId="4618"/>
    <cellStyle name="Normal 4 8 3 2 2" xfId="9082"/>
    <cellStyle name="Normal 4 8 3 3" xfId="7967"/>
    <cellStyle name="Normal 4 8 4" xfId="4061"/>
    <cellStyle name="Normal 4 8 4 2" xfId="8525"/>
    <cellStyle name="Normal 4 8 5" xfId="5731"/>
    <cellStyle name="Normal 4 8 5 2" xfId="10195"/>
    <cellStyle name="Normal 4 8 6" xfId="6297"/>
    <cellStyle name="Normal 4 8 6 2" xfId="10752"/>
    <cellStyle name="Normal 4 8 7" xfId="6854"/>
    <cellStyle name="Normal 4 9" xfId="1914"/>
    <cellStyle name="Normal 4 9 2" xfId="2927"/>
    <cellStyle name="Normal 4 9 2 2" xfId="5196"/>
    <cellStyle name="Normal 4 9 2 2 2" xfId="9660"/>
    <cellStyle name="Normal 4 9 2 3" xfId="7432"/>
    <cellStyle name="Normal 4 9 3" xfId="3510"/>
    <cellStyle name="Normal 4 9 3 2" xfId="4640"/>
    <cellStyle name="Normal 4 9 3 2 2" xfId="9104"/>
    <cellStyle name="Normal 4 9 3 3" xfId="7989"/>
    <cellStyle name="Normal 4 9 4" xfId="4083"/>
    <cellStyle name="Normal 4 9 4 2" xfId="8547"/>
    <cellStyle name="Normal 4 9 5" xfId="5753"/>
    <cellStyle name="Normal 4 9 5 2" xfId="10217"/>
    <cellStyle name="Normal 4 9 6" xfId="6319"/>
    <cellStyle name="Normal 4 9 6 2" xfId="10774"/>
    <cellStyle name="Normal 4 9 7" xfId="6876"/>
    <cellStyle name="Normal 40" xfId="984"/>
    <cellStyle name="Normal 41" xfId="986"/>
    <cellStyle name="Normal 41 2" xfId="11857"/>
    <cellStyle name="Normal 41 3" xfId="2544"/>
    <cellStyle name="Normal 42" xfId="987"/>
    <cellStyle name="Normal 42 2" xfId="11858"/>
    <cellStyle name="Normal 42 3" xfId="2487"/>
    <cellStyle name="Normal 43" xfId="1001"/>
    <cellStyle name="Normal 43 2" xfId="11872"/>
    <cellStyle name="Normal 43 3" xfId="2546"/>
    <cellStyle name="Normal 44" xfId="1010"/>
    <cellStyle name="Normal 44 2" xfId="11881"/>
    <cellStyle name="Normal 44 3" xfId="2488"/>
    <cellStyle name="Normal 45" xfId="1006"/>
    <cellStyle name="Normal 45 2" xfId="11877"/>
    <cellStyle name="Normal 45 3" xfId="2550"/>
    <cellStyle name="Normal 46" xfId="1012"/>
    <cellStyle name="Normal 46 2" xfId="11883"/>
    <cellStyle name="Normal 46 3" xfId="2492"/>
    <cellStyle name="Normal 47" xfId="1005"/>
    <cellStyle name="Normal 47 2" xfId="11876"/>
    <cellStyle name="Normal 47 3" xfId="2477"/>
    <cellStyle name="Normal 48" xfId="1003"/>
    <cellStyle name="Normal 48 2" xfId="11874"/>
    <cellStyle name="Normal 48 3" xfId="2542"/>
    <cellStyle name="Normal 49" xfId="1007"/>
    <cellStyle name="Normal 49 2" xfId="11878"/>
    <cellStyle name="Normal 49 3" xfId="2486"/>
    <cellStyle name="Normal 5" xfId="524"/>
    <cellStyle name="Normal 5 10" xfId="11318"/>
    <cellStyle name="Normal 5 11" xfId="11348"/>
    <cellStyle name="Normal 5 12" xfId="1549"/>
    <cellStyle name="Normal 5 13" xfId="11561"/>
    <cellStyle name="Normal 5 14" xfId="1144"/>
    <cellStyle name="Normal 5 2" xfId="768"/>
    <cellStyle name="Normal 5 2 2" xfId="1121"/>
    <cellStyle name="Normal 5 2 2 2" xfId="3396"/>
    <cellStyle name="Normal 5 2 2 2 2" xfId="5664"/>
    <cellStyle name="Normal 5 2 2 2 2 2" xfId="10128"/>
    <cellStyle name="Normal 5 2 2 2 3" xfId="7900"/>
    <cellStyle name="Normal 5 2 2 3" xfId="3979"/>
    <cellStyle name="Normal 5 2 2 3 2" xfId="5108"/>
    <cellStyle name="Normal 5 2 2 3 2 2" xfId="9572"/>
    <cellStyle name="Normal 5 2 2 3 3" xfId="8457"/>
    <cellStyle name="Normal 5 2 2 4" xfId="4551"/>
    <cellStyle name="Normal 5 2 2 4 2" xfId="9015"/>
    <cellStyle name="Normal 5 2 2 5" xfId="6221"/>
    <cellStyle name="Normal 5 2 2 5 2" xfId="10685"/>
    <cellStyle name="Normal 5 2 2 6" xfId="6787"/>
    <cellStyle name="Normal 5 2 2 6 2" xfId="11242"/>
    <cellStyle name="Normal 5 2 2 7" xfId="7344"/>
    <cellStyle name="Normal 5 2 2 8" xfId="11986"/>
    <cellStyle name="Normal 5 2 2 9" xfId="2507"/>
    <cellStyle name="Normal 5 2 3" xfId="11325"/>
    <cellStyle name="Normal 5 2 4" xfId="11356"/>
    <cellStyle name="Normal 5 2 5" xfId="1550"/>
    <cellStyle name="Normal 5 2 6" xfId="11703"/>
    <cellStyle name="Normal 5 2 7" xfId="1151"/>
    <cellStyle name="Normal 5 3" xfId="742"/>
    <cellStyle name="Normal 5 3 2" xfId="2706"/>
    <cellStyle name="Normal 5 3 2 2" xfId="3429"/>
    <cellStyle name="Normal 5 3 2 2 2" xfId="5697"/>
    <cellStyle name="Normal 5 3 2 2 2 2" xfId="10161"/>
    <cellStyle name="Normal 5 3 2 2 3" xfId="7933"/>
    <cellStyle name="Normal 5 3 2 3" xfId="4012"/>
    <cellStyle name="Normal 5 3 2 3 2" xfId="5141"/>
    <cellStyle name="Normal 5 3 2 3 2 2" xfId="9605"/>
    <cellStyle name="Normal 5 3 2 3 3" xfId="8490"/>
    <cellStyle name="Normal 5 3 2 4" xfId="4584"/>
    <cellStyle name="Normal 5 3 2 4 2" xfId="9048"/>
    <cellStyle name="Normal 5 3 2 5" xfId="6254"/>
    <cellStyle name="Normal 5 3 2 5 2" xfId="10718"/>
    <cellStyle name="Normal 5 3 2 6" xfId="6820"/>
    <cellStyle name="Normal 5 3 2 6 2" xfId="11275"/>
    <cellStyle name="Normal 5 3 2 7" xfId="7377"/>
    <cellStyle name="Normal 5 3 3" xfId="11699"/>
    <cellStyle name="Normal 5 3 4" xfId="1551"/>
    <cellStyle name="Normal 5 4" xfId="923"/>
    <cellStyle name="Normal 5 4 2" xfId="2754"/>
    <cellStyle name="Normal 5 4 2 2" xfId="3435"/>
    <cellStyle name="Normal 5 4 2 2 2" xfId="5703"/>
    <cellStyle name="Normal 5 4 2 2 2 2" xfId="10167"/>
    <cellStyle name="Normal 5 4 2 2 3" xfId="7939"/>
    <cellStyle name="Normal 5 4 2 3" xfId="4018"/>
    <cellStyle name="Normal 5 4 2 3 2" xfId="5147"/>
    <cellStyle name="Normal 5 4 2 3 2 2" xfId="9611"/>
    <cellStyle name="Normal 5 4 2 3 3" xfId="8496"/>
    <cellStyle name="Normal 5 4 2 4" xfId="4590"/>
    <cellStyle name="Normal 5 4 2 4 2" xfId="9054"/>
    <cellStyle name="Normal 5 4 2 5" xfId="6260"/>
    <cellStyle name="Normal 5 4 2 5 2" xfId="10724"/>
    <cellStyle name="Normal 5 4 2 6" xfId="6826"/>
    <cellStyle name="Normal 5 4 2 6 2" xfId="11281"/>
    <cellStyle name="Normal 5 4 2 7" xfId="7383"/>
    <cellStyle name="Normal 5 4 3" xfId="11830"/>
    <cellStyle name="Normal 5 4 4" xfId="1552"/>
    <cellStyle name="Normal 5 5" xfId="1114"/>
    <cellStyle name="Normal 5 5 2" xfId="2761"/>
    <cellStyle name="Normal 5 5 2 2" xfId="3438"/>
    <cellStyle name="Normal 5 5 2 2 2" xfId="5706"/>
    <cellStyle name="Normal 5 5 2 2 2 2" xfId="10170"/>
    <cellStyle name="Normal 5 5 2 2 3" xfId="7942"/>
    <cellStyle name="Normal 5 5 2 3" xfId="4021"/>
    <cellStyle name="Normal 5 5 2 3 2" xfId="5150"/>
    <cellStyle name="Normal 5 5 2 3 2 2" xfId="9614"/>
    <cellStyle name="Normal 5 5 2 3 3" xfId="8499"/>
    <cellStyle name="Normal 5 5 2 4" xfId="4593"/>
    <cellStyle name="Normal 5 5 2 4 2" xfId="9057"/>
    <cellStyle name="Normal 5 5 2 5" xfId="6263"/>
    <cellStyle name="Normal 5 5 2 5 2" xfId="10727"/>
    <cellStyle name="Normal 5 5 2 6" xfId="6829"/>
    <cellStyle name="Normal 5 5 2 6 2" xfId="11284"/>
    <cellStyle name="Normal 5 5 2 7" xfId="7386"/>
    <cellStyle name="Normal 5 5 3" xfId="11979"/>
    <cellStyle name="Normal 5 5 4" xfId="1553"/>
    <cellStyle name="Normal 5 6" xfId="1554"/>
    <cellStyle name="Normal 5 6 2" xfId="2806"/>
    <cellStyle name="Normal 5 7" xfId="1655"/>
    <cellStyle name="Normal 5 7 2" xfId="2889"/>
    <cellStyle name="Normal 5 7 2 2" xfId="5158"/>
    <cellStyle name="Normal 5 7 2 2 2" xfId="9622"/>
    <cellStyle name="Normal 5 7 2 3" xfId="7394"/>
    <cellStyle name="Normal 5 7 3" xfId="3472"/>
    <cellStyle name="Normal 5 7 3 2" xfId="4602"/>
    <cellStyle name="Normal 5 7 3 2 2" xfId="9066"/>
    <cellStyle name="Normal 5 7 3 3" xfId="7951"/>
    <cellStyle name="Normal 5 7 4" xfId="4045"/>
    <cellStyle name="Normal 5 7 4 2" xfId="8509"/>
    <cellStyle name="Normal 5 7 5" xfId="5715"/>
    <cellStyle name="Normal 5 7 5 2" xfId="10179"/>
    <cellStyle name="Normal 5 7 6" xfId="6281"/>
    <cellStyle name="Normal 5 7 6 2" xfId="10736"/>
    <cellStyle name="Normal 5 7 7" xfId="6838"/>
    <cellStyle name="Normal 5 8" xfId="1915"/>
    <cellStyle name="Normal 5 8 2" xfId="2928"/>
    <cellStyle name="Normal 5 8 2 2" xfId="5197"/>
    <cellStyle name="Normal 5 8 2 2 2" xfId="9661"/>
    <cellStyle name="Normal 5 8 2 3" xfId="7433"/>
    <cellStyle name="Normal 5 8 3" xfId="3511"/>
    <cellStyle name="Normal 5 8 3 2" xfId="4641"/>
    <cellStyle name="Normal 5 8 3 2 2" xfId="9105"/>
    <cellStyle name="Normal 5 8 3 3" xfId="7990"/>
    <cellStyle name="Normal 5 8 4" xfId="4084"/>
    <cellStyle name="Normal 5 8 4 2" xfId="8548"/>
    <cellStyle name="Normal 5 8 5" xfId="5754"/>
    <cellStyle name="Normal 5 8 5 2" xfId="10218"/>
    <cellStyle name="Normal 5 8 6" xfId="6320"/>
    <cellStyle name="Normal 5 8 6 2" xfId="10775"/>
    <cellStyle name="Normal 5 8 7" xfId="6877"/>
    <cellStyle name="Normal 5 9" xfId="2465"/>
    <cellStyle name="Normal 5 9 2" xfId="3388"/>
    <cellStyle name="Normal 5 9 2 2" xfId="5656"/>
    <cellStyle name="Normal 5 9 2 2 2" xfId="10120"/>
    <cellStyle name="Normal 5 9 2 3" xfId="7892"/>
    <cellStyle name="Normal 5 9 3" xfId="3971"/>
    <cellStyle name="Normal 5 9 3 2" xfId="5100"/>
    <cellStyle name="Normal 5 9 3 2 2" xfId="9564"/>
    <cellStyle name="Normal 5 9 3 3" xfId="8449"/>
    <cellStyle name="Normal 5 9 4" xfId="4543"/>
    <cellStyle name="Normal 5 9 4 2" xfId="9007"/>
    <cellStyle name="Normal 5 9 5" xfId="6213"/>
    <cellStyle name="Normal 5 9 5 2" xfId="10677"/>
    <cellStyle name="Normal 5 9 6" xfId="6779"/>
    <cellStyle name="Normal 5 9 6 2" xfId="11234"/>
    <cellStyle name="Normal 5 9 7" xfId="7336"/>
    <cellStyle name="Normal 50" xfId="1030"/>
    <cellStyle name="Normal 50 2" xfId="11901"/>
    <cellStyle name="Normal 50 3" xfId="2561"/>
    <cellStyle name="Normal 51" xfId="1004"/>
    <cellStyle name="Normal 51 2" xfId="11875"/>
    <cellStyle name="Normal 51 3" xfId="2563"/>
    <cellStyle name="Normal 52" xfId="1008"/>
    <cellStyle name="Normal 52 2" xfId="11879"/>
    <cellStyle name="Normal 52 3" xfId="2568"/>
    <cellStyle name="Normal 53" xfId="1009"/>
    <cellStyle name="Normal 53 2" xfId="11880"/>
    <cellStyle name="Normal 53 3" xfId="2558"/>
    <cellStyle name="Normal 54" xfId="1026"/>
    <cellStyle name="Normal 54 2" xfId="11897"/>
    <cellStyle name="Normal 54 3" xfId="2569"/>
    <cellStyle name="Normal 55" xfId="1041"/>
    <cellStyle name="Normal 55 2" xfId="11912"/>
    <cellStyle name="Normal 55 3" xfId="2567"/>
    <cellStyle name="Normal 56" xfId="1048"/>
    <cellStyle name="Normal 56 2" xfId="11919"/>
    <cellStyle name="Normal 56 3" xfId="2547"/>
    <cellStyle name="Normal 57" xfId="1043"/>
    <cellStyle name="Normal 57 2" xfId="11914"/>
    <cellStyle name="Normal 57 3" xfId="2565"/>
    <cellStyle name="Normal 58" xfId="1044"/>
    <cellStyle name="Normal 58 2" xfId="11915"/>
    <cellStyle name="Normal 58 3" xfId="2572"/>
    <cellStyle name="Normal 59" xfId="1050"/>
    <cellStyle name="Normal 59 2" xfId="11921"/>
    <cellStyle name="Normal 59 3" xfId="2470"/>
    <cellStyle name="Normal 6" xfId="525"/>
    <cellStyle name="Normal 6 10" xfId="1147"/>
    <cellStyle name="Normal 6 2" xfId="745"/>
    <cellStyle name="Normal 6 2 2" xfId="2528"/>
    <cellStyle name="Normal 6 2 2 2" xfId="3417"/>
    <cellStyle name="Normal 6 2 2 2 2" xfId="5685"/>
    <cellStyle name="Normal 6 2 2 2 2 2" xfId="10149"/>
    <cellStyle name="Normal 6 2 2 2 3" xfId="7921"/>
    <cellStyle name="Normal 6 2 2 3" xfId="4000"/>
    <cellStyle name="Normal 6 2 2 3 2" xfId="5129"/>
    <cellStyle name="Normal 6 2 2 3 2 2" xfId="9593"/>
    <cellStyle name="Normal 6 2 2 3 3" xfId="8478"/>
    <cellStyle name="Normal 6 2 2 4" xfId="4572"/>
    <cellStyle name="Normal 6 2 2 4 2" xfId="9036"/>
    <cellStyle name="Normal 6 2 2 5" xfId="6242"/>
    <cellStyle name="Normal 6 2 2 5 2" xfId="10706"/>
    <cellStyle name="Normal 6 2 2 6" xfId="6808"/>
    <cellStyle name="Normal 6 2 2 6 2" xfId="11263"/>
    <cellStyle name="Normal 6 2 2 7" xfId="7365"/>
    <cellStyle name="Normal 6 2 3" xfId="11702"/>
    <cellStyle name="Normal 6 2 4" xfId="1556"/>
    <cellStyle name="Normal 6 3" xfId="1117"/>
    <cellStyle name="Normal 6 3 2" xfId="2810"/>
    <cellStyle name="Normal 6 3 3" xfId="11982"/>
    <cellStyle name="Normal 6 3 4" xfId="1557"/>
    <cellStyle name="Normal 6 4" xfId="1916"/>
    <cellStyle name="Normal 6 4 2" xfId="2929"/>
    <cellStyle name="Normal 6 4 2 2" xfId="5198"/>
    <cellStyle name="Normal 6 4 2 2 2" xfId="9662"/>
    <cellStyle name="Normal 6 4 2 3" xfId="7434"/>
    <cellStyle name="Normal 6 4 3" xfId="3512"/>
    <cellStyle name="Normal 6 4 3 2" xfId="4642"/>
    <cellStyle name="Normal 6 4 3 2 2" xfId="9106"/>
    <cellStyle name="Normal 6 4 3 3" xfId="7991"/>
    <cellStyle name="Normal 6 4 4" xfId="4085"/>
    <cellStyle name="Normal 6 4 4 2" xfId="8549"/>
    <cellStyle name="Normal 6 4 5" xfId="5755"/>
    <cellStyle name="Normal 6 4 5 2" xfId="10219"/>
    <cellStyle name="Normal 6 4 6" xfId="6321"/>
    <cellStyle name="Normal 6 4 6 2" xfId="10776"/>
    <cellStyle name="Normal 6 4 7" xfId="6878"/>
    <cellStyle name="Normal 6 5" xfId="2466"/>
    <cellStyle name="Normal 6 5 2" xfId="3389"/>
    <cellStyle name="Normal 6 5 2 2" xfId="5657"/>
    <cellStyle name="Normal 6 5 2 2 2" xfId="10121"/>
    <cellStyle name="Normal 6 5 2 3" xfId="7893"/>
    <cellStyle name="Normal 6 5 3" xfId="3972"/>
    <cellStyle name="Normal 6 5 3 2" xfId="5101"/>
    <cellStyle name="Normal 6 5 3 2 2" xfId="9565"/>
    <cellStyle name="Normal 6 5 3 3" xfId="8450"/>
    <cellStyle name="Normal 6 5 4" xfId="4544"/>
    <cellStyle name="Normal 6 5 4 2" xfId="9008"/>
    <cellStyle name="Normal 6 5 5" xfId="6214"/>
    <cellStyle name="Normal 6 5 5 2" xfId="10678"/>
    <cellStyle name="Normal 6 5 6" xfId="6780"/>
    <cellStyle name="Normal 6 5 6 2" xfId="11235"/>
    <cellStyle name="Normal 6 5 7" xfId="7337"/>
    <cellStyle name="Normal 6 6" xfId="11321"/>
    <cellStyle name="Normal 6 7" xfId="11351"/>
    <cellStyle name="Normal 6 8" xfId="1555"/>
    <cellStyle name="Normal 6 9" xfId="11562"/>
    <cellStyle name="Normal 60" xfId="1051"/>
    <cellStyle name="Normal 60 2" xfId="11922"/>
    <cellStyle name="Normal 60 3" xfId="2573"/>
    <cellStyle name="Normal 61" xfId="1039"/>
    <cellStyle name="Normal 61 2" xfId="3387"/>
    <cellStyle name="Normal 61 3" xfId="3970"/>
    <cellStyle name="Normal 61 4" xfId="11910"/>
    <cellStyle name="Normal 61 5" xfId="2462"/>
    <cellStyle name="Normal 62" xfId="1042"/>
    <cellStyle name="Normal 62 2" xfId="3442"/>
    <cellStyle name="Normal 62 3" xfId="4025"/>
    <cellStyle name="Normal 62 4" xfId="11913"/>
    <cellStyle name="Normal 62 5" xfId="2837"/>
    <cellStyle name="Normal 63" xfId="1046"/>
    <cellStyle name="Normal 63 2" xfId="3445"/>
    <cellStyle name="Normal 63 3" xfId="4028"/>
    <cellStyle name="Normal 63 4" xfId="11917"/>
    <cellStyle name="Normal 63 5" xfId="2852"/>
    <cellStyle name="Normal 64" xfId="1049"/>
    <cellStyle name="Normal 64 2" xfId="3443"/>
    <cellStyle name="Normal 64 3" xfId="4026"/>
    <cellStyle name="Normal 64 4" xfId="11920"/>
    <cellStyle name="Normal 64 5" xfId="2846"/>
    <cellStyle name="Normal 65" xfId="1045"/>
    <cellStyle name="Normal 65 2" xfId="3444"/>
    <cellStyle name="Normal 65 3" xfId="4027"/>
    <cellStyle name="Normal 65 4" xfId="11916"/>
    <cellStyle name="Normal 65 5" xfId="2847"/>
    <cellStyle name="Normal 66" xfId="1059"/>
    <cellStyle name="Normal 66 2" xfId="3446"/>
    <cellStyle name="Normal 66 3" xfId="4029"/>
    <cellStyle name="Normal 66 4" xfId="11930"/>
    <cellStyle name="Normal 66 5" xfId="2855"/>
    <cellStyle name="Normal 67" xfId="1062"/>
    <cellStyle name="Normal 67 2" xfId="4032"/>
    <cellStyle name="Normal 67 3" xfId="6267"/>
    <cellStyle name="Normal 67 4" xfId="11933"/>
    <cellStyle name="Normal 67 5" xfId="3447"/>
    <cellStyle name="Normal 68" xfId="1061"/>
    <cellStyle name="Normal 68 2" xfId="4040"/>
    <cellStyle name="Normal 68 3" xfId="6276"/>
    <cellStyle name="Normal 68 4" xfId="11932"/>
    <cellStyle name="Normal 68 5" xfId="3460"/>
    <cellStyle name="Normal 69" xfId="1076"/>
    <cellStyle name="Normal 69 2" xfId="11947"/>
    <cellStyle name="Normal 69 3" xfId="11290"/>
    <cellStyle name="Normal 7" xfId="526"/>
    <cellStyle name="Normal 7 2" xfId="1799"/>
    <cellStyle name="Normal 7 2 2" xfId="2522"/>
    <cellStyle name="Normal 7 2 2 2" xfId="3411"/>
    <cellStyle name="Normal 7 2 2 2 2" xfId="5679"/>
    <cellStyle name="Normal 7 2 2 2 2 2" xfId="10143"/>
    <cellStyle name="Normal 7 2 2 2 3" xfId="7915"/>
    <cellStyle name="Normal 7 2 2 3" xfId="3994"/>
    <cellStyle name="Normal 7 2 2 3 2" xfId="5123"/>
    <cellStyle name="Normal 7 2 2 3 2 2" xfId="9587"/>
    <cellStyle name="Normal 7 2 2 3 3" xfId="8472"/>
    <cellStyle name="Normal 7 2 2 4" xfId="4566"/>
    <cellStyle name="Normal 7 2 2 4 2" xfId="9030"/>
    <cellStyle name="Normal 7 2 2 5" xfId="6236"/>
    <cellStyle name="Normal 7 2 2 5 2" xfId="10700"/>
    <cellStyle name="Normal 7 2 2 6" xfId="6802"/>
    <cellStyle name="Normal 7 2 2 6 2" xfId="11257"/>
    <cellStyle name="Normal 7 2 2 7" xfId="7359"/>
    <cellStyle name="Normal 7 3" xfId="1917"/>
    <cellStyle name="Normal 7 3 2" xfId="2930"/>
    <cellStyle name="Normal 7 3 2 2" xfId="5199"/>
    <cellStyle name="Normal 7 3 2 2 2" xfId="9663"/>
    <cellStyle name="Normal 7 3 2 3" xfId="7435"/>
    <cellStyle name="Normal 7 3 3" xfId="3513"/>
    <cellStyle name="Normal 7 3 3 2" xfId="4643"/>
    <cellStyle name="Normal 7 3 3 2 2" xfId="9107"/>
    <cellStyle name="Normal 7 3 3 3" xfId="7992"/>
    <cellStyle name="Normal 7 3 4" xfId="4086"/>
    <cellStyle name="Normal 7 3 4 2" xfId="8550"/>
    <cellStyle name="Normal 7 3 5" xfId="5756"/>
    <cellStyle name="Normal 7 3 5 2" xfId="10220"/>
    <cellStyle name="Normal 7 3 6" xfId="6322"/>
    <cellStyle name="Normal 7 3 6 2" xfId="10777"/>
    <cellStyle name="Normal 7 3 7" xfId="6879"/>
    <cellStyle name="Normal 7 4" xfId="1558"/>
    <cellStyle name="Normal 7 5" xfId="11563"/>
    <cellStyle name="Normal 7 6" xfId="1157"/>
    <cellStyle name="Normal 70" xfId="1091"/>
    <cellStyle name="Normal 71" xfId="1096"/>
    <cellStyle name="Normal 72" xfId="11331"/>
    <cellStyle name="Normal 73" xfId="1288"/>
    <cellStyle name="Normal 74" xfId="11361"/>
    <cellStyle name="Normal 75" xfId="11364"/>
    <cellStyle name="Normal 76" xfId="11368"/>
    <cellStyle name="Normal 77" xfId="11369"/>
    <cellStyle name="Normal 78" xfId="11366"/>
    <cellStyle name="Normal 79" xfId="11370"/>
    <cellStyle name="Normal 8" xfId="527"/>
    <cellStyle name="Normal 8 2" xfId="1560"/>
    <cellStyle name="Normal 8 2 2" xfId="2512"/>
    <cellStyle name="Normal 8 2 2 2" xfId="3401"/>
    <cellStyle name="Normal 8 2 2 2 2" xfId="5669"/>
    <cellStyle name="Normal 8 2 2 2 2 2" xfId="10133"/>
    <cellStyle name="Normal 8 2 2 2 3" xfId="7905"/>
    <cellStyle name="Normal 8 2 2 3" xfId="3984"/>
    <cellStyle name="Normal 8 2 2 3 2" xfId="5113"/>
    <cellStyle name="Normal 8 2 2 3 2 2" xfId="9577"/>
    <cellStyle name="Normal 8 2 2 3 3" xfId="8462"/>
    <cellStyle name="Normal 8 2 2 4" xfId="4556"/>
    <cellStyle name="Normal 8 2 2 4 2" xfId="9020"/>
    <cellStyle name="Normal 8 2 2 5" xfId="6226"/>
    <cellStyle name="Normal 8 2 2 5 2" xfId="10690"/>
    <cellStyle name="Normal 8 2 2 6" xfId="6792"/>
    <cellStyle name="Normal 8 2 2 6 2" xfId="11247"/>
    <cellStyle name="Normal 8 2 2 7" xfId="7349"/>
    <cellStyle name="Normal 8 2 3" xfId="2807"/>
    <cellStyle name="Normal 8 3" xfId="1918"/>
    <cellStyle name="Normal 8 3 2" xfId="2931"/>
    <cellStyle name="Normal 8 3 2 2" xfId="5200"/>
    <cellStyle name="Normal 8 3 2 2 2" xfId="9664"/>
    <cellStyle name="Normal 8 3 2 3" xfId="7436"/>
    <cellStyle name="Normal 8 3 3" xfId="3514"/>
    <cellStyle name="Normal 8 3 3 2" xfId="4644"/>
    <cellStyle name="Normal 8 3 3 2 2" xfId="9108"/>
    <cellStyle name="Normal 8 3 3 3" xfId="7993"/>
    <cellStyle name="Normal 8 3 4" xfId="4087"/>
    <cellStyle name="Normal 8 3 4 2" xfId="8551"/>
    <cellStyle name="Normal 8 3 5" xfId="5757"/>
    <cellStyle name="Normal 8 3 5 2" xfId="10221"/>
    <cellStyle name="Normal 8 3 6" xfId="6323"/>
    <cellStyle name="Normal 8 3 6 2" xfId="10778"/>
    <cellStyle name="Normal 8 3 7" xfId="6880"/>
    <cellStyle name="Normal 8 4" xfId="2467"/>
    <cellStyle name="Normal 8 4 2" xfId="3390"/>
    <cellStyle name="Normal 8 4 2 2" xfId="5658"/>
    <cellStyle name="Normal 8 4 2 2 2" xfId="10122"/>
    <cellStyle name="Normal 8 4 2 3" xfId="7894"/>
    <cellStyle name="Normal 8 4 3" xfId="3973"/>
    <cellStyle name="Normal 8 4 3 2" xfId="5102"/>
    <cellStyle name="Normal 8 4 3 2 2" xfId="9566"/>
    <cellStyle name="Normal 8 4 3 3" xfId="8451"/>
    <cellStyle name="Normal 8 4 4" xfId="4545"/>
    <cellStyle name="Normal 8 4 4 2" xfId="9009"/>
    <cellStyle name="Normal 8 4 5" xfId="6215"/>
    <cellStyle name="Normal 8 4 5 2" xfId="10679"/>
    <cellStyle name="Normal 8 4 6" xfId="6781"/>
    <cellStyle name="Normal 8 4 6 2" xfId="11236"/>
    <cellStyle name="Normal 8 4 7" xfId="7338"/>
    <cellStyle name="Normal 8 5" xfId="1559"/>
    <cellStyle name="Normal 8 6" xfId="11564"/>
    <cellStyle name="Normal 8 7" xfId="1247"/>
    <cellStyle name="Normal 80" xfId="1124"/>
    <cellStyle name="Normal 9" xfId="528"/>
    <cellStyle name="Normal 9 2" xfId="1919"/>
    <cellStyle name="Normal 9 2 2" xfId="2525"/>
    <cellStyle name="Normal 9 2 2 2" xfId="3414"/>
    <cellStyle name="Normal 9 2 2 2 2" xfId="5682"/>
    <cellStyle name="Normal 9 2 2 2 2 2" xfId="10146"/>
    <cellStyle name="Normal 9 2 2 2 3" xfId="7918"/>
    <cellStyle name="Normal 9 2 2 3" xfId="3997"/>
    <cellStyle name="Normal 9 2 2 3 2" xfId="5126"/>
    <cellStyle name="Normal 9 2 2 3 2 2" xfId="9590"/>
    <cellStyle name="Normal 9 2 2 3 3" xfId="8475"/>
    <cellStyle name="Normal 9 2 2 4" xfId="4569"/>
    <cellStyle name="Normal 9 2 2 4 2" xfId="9033"/>
    <cellStyle name="Normal 9 2 2 5" xfId="6239"/>
    <cellStyle name="Normal 9 2 2 5 2" xfId="10703"/>
    <cellStyle name="Normal 9 2 2 6" xfId="6805"/>
    <cellStyle name="Normal 9 2 2 6 2" xfId="11260"/>
    <cellStyle name="Normal 9 2 2 7" xfId="7362"/>
    <cellStyle name="Normal 9 2 3" xfId="2932"/>
    <cellStyle name="Normal 9 2 3 2" xfId="5201"/>
    <cellStyle name="Normal 9 2 3 2 2" xfId="9665"/>
    <cellStyle name="Normal 9 2 3 3" xfId="7437"/>
    <cellStyle name="Normal 9 2 4" xfId="3515"/>
    <cellStyle name="Normal 9 2 4 2" xfId="4645"/>
    <cellStyle name="Normal 9 2 4 2 2" xfId="9109"/>
    <cellStyle name="Normal 9 2 4 3" xfId="7994"/>
    <cellStyle name="Normal 9 2 5" xfId="4088"/>
    <cellStyle name="Normal 9 2 5 2" xfId="8552"/>
    <cellStyle name="Normal 9 2 6" xfId="5758"/>
    <cellStyle name="Normal 9 2 6 2" xfId="10222"/>
    <cellStyle name="Normal 9 2 7" xfId="6324"/>
    <cellStyle name="Normal 9 2 7 2" xfId="10779"/>
    <cellStyle name="Normal 9 2 8" xfId="6881"/>
    <cellStyle name="Normal 9 3" xfId="2468"/>
    <cellStyle name="Normal 9 3 2" xfId="3391"/>
    <cellStyle name="Normal 9 3 2 2" xfId="5659"/>
    <cellStyle name="Normal 9 3 2 2 2" xfId="10123"/>
    <cellStyle name="Normal 9 3 2 3" xfId="7895"/>
    <cellStyle name="Normal 9 3 3" xfId="3974"/>
    <cellStyle name="Normal 9 3 3 2" xfId="5103"/>
    <cellStyle name="Normal 9 3 3 2 2" xfId="9567"/>
    <cellStyle name="Normal 9 3 3 3" xfId="8452"/>
    <cellStyle name="Normal 9 3 4" xfId="4546"/>
    <cellStyle name="Normal 9 3 4 2" xfId="9010"/>
    <cellStyle name="Normal 9 3 5" xfId="6216"/>
    <cellStyle name="Normal 9 3 5 2" xfId="10680"/>
    <cellStyle name="Normal 9 3 6" xfId="6782"/>
    <cellStyle name="Normal 9 3 6 2" xfId="11237"/>
    <cellStyle name="Normal 9 3 7" xfId="7339"/>
    <cellStyle name="Normal 9 4" xfId="11565"/>
    <cellStyle name="Normal 9 5" xfId="1561"/>
    <cellStyle name="Note 10" xfId="529"/>
    <cellStyle name="Note 10 2" xfId="2414"/>
    <cellStyle name="Note 11" xfId="530"/>
    <cellStyle name="Note 11 2" xfId="2415"/>
    <cellStyle name="Note 12" xfId="531"/>
    <cellStyle name="Note 12 2" xfId="2416"/>
    <cellStyle name="Note 13" xfId="532"/>
    <cellStyle name="Note 13 2" xfId="2417"/>
    <cellStyle name="Note 14" xfId="533"/>
    <cellStyle name="Note 14 2" xfId="2418"/>
    <cellStyle name="Note 15" xfId="534"/>
    <cellStyle name="Note 15 2" xfId="2419"/>
    <cellStyle name="Note 16" xfId="778"/>
    <cellStyle name="Note 17" xfId="965"/>
    <cellStyle name="Note 17 2" xfId="11846"/>
    <cellStyle name="Note 18" xfId="988"/>
    <cellStyle name="Note 18 2" xfId="11859"/>
    <cellStyle name="Note 19" xfId="1011"/>
    <cellStyle name="Note 19 2" xfId="11882"/>
    <cellStyle name="Note 2" xfId="535"/>
    <cellStyle name="Note 2 10" xfId="2420"/>
    <cellStyle name="Note 2 10 2" xfId="3360"/>
    <cellStyle name="Note 2 10 2 2" xfId="5629"/>
    <cellStyle name="Note 2 10 2 2 2" xfId="10093"/>
    <cellStyle name="Note 2 10 2 3" xfId="7865"/>
    <cellStyle name="Note 2 10 3" xfId="3943"/>
    <cellStyle name="Note 2 10 3 2" xfId="5073"/>
    <cellStyle name="Note 2 10 3 2 2" xfId="9537"/>
    <cellStyle name="Note 2 10 3 3" xfId="8422"/>
    <cellStyle name="Note 2 10 4" xfId="4516"/>
    <cellStyle name="Note 2 10 4 2" xfId="8980"/>
    <cellStyle name="Note 2 10 5" xfId="6186"/>
    <cellStyle name="Note 2 10 5 2" xfId="10650"/>
    <cellStyle name="Note 2 10 6" xfId="6752"/>
    <cellStyle name="Note 2 10 6 2" xfId="11207"/>
    <cellStyle name="Note 2 10 7" xfId="7309"/>
    <cellStyle name="Note 2 11" xfId="2600"/>
    <cellStyle name="Note 2 12" xfId="11303"/>
    <cellStyle name="Note 2 13" xfId="11332"/>
    <cellStyle name="Note 2 14" xfId="1562"/>
    <cellStyle name="Note 2 15" xfId="1128"/>
    <cellStyle name="Note 2 2" xfId="713"/>
    <cellStyle name="Note 2 2 2" xfId="1800"/>
    <cellStyle name="Note 2 2 3" xfId="1563"/>
    <cellStyle name="Note 2 2 4" xfId="11670"/>
    <cellStyle name="Note 2 2 5" xfId="1238"/>
    <cellStyle name="Note 2 3" xfId="1097"/>
    <cellStyle name="Note 2 3 2" xfId="2421"/>
    <cellStyle name="Note 2 3 2 10" xfId="7310"/>
    <cellStyle name="Note 2 3 2 2" xfId="2422"/>
    <cellStyle name="Note 2 3 2 2 2" xfId="2423"/>
    <cellStyle name="Note 2 3 2 2 2 2" xfId="3363"/>
    <cellStyle name="Note 2 3 2 2 2 2 2" xfId="5632"/>
    <cellStyle name="Note 2 3 2 2 2 2 2 2" xfId="10096"/>
    <cellStyle name="Note 2 3 2 2 2 2 3" xfId="7868"/>
    <cellStyle name="Note 2 3 2 2 2 3" xfId="3946"/>
    <cellStyle name="Note 2 3 2 2 2 3 2" xfId="5076"/>
    <cellStyle name="Note 2 3 2 2 2 3 2 2" xfId="9540"/>
    <cellStyle name="Note 2 3 2 2 2 3 3" xfId="8425"/>
    <cellStyle name="Note 2 3 2 2 2 4" xfId="4519"/>
    <cellStyle name="Note 2 3 2 2 2 4 2" xfId="8983"/>
    <cellStyle name="Note 2 3 2 2 2 5" xfId="6189"/>
    <cellStyle name="Note 2 3 2 2 2 5 2" xfId="10653"/>
    <cellStyle name="Note 2 3 2 2 2 6" xfId="6755"/>
    <cellStyle name="Note 2 3 2 2 2 6 2" xfId="11210"/>
    <cellStyle name="Note 2 3 2 2 2 7" xfId="7312"/>
    <cellStyle name="Note 2 3 2 2 3" xfId="2424"/>
    <cellStyle name="Note 2 3 2 2 3 2" xfId="3364"/>
    <cellStyle name="Note 2 3 2 2 3 2 2" xfId="5633"/>
    <cellStyle name="Note 2 3 2 2 3 2 2 2" xfId="10097"/>
    <cellStyle name="Note 2 3 2 2 3 2 3" xfId="7869"/>
    <cellStyle name="Note 2 3 2 2 3 3" xfId="3947"/>
    <cellStyle name="Note 2 3 2 2 3 3 2" xfId="5077"/>
    <cellStyle name="Note 2 3 2 2 3 3 2 2" xfId="9541"/>
    <cellStyle name="Note 2 3 2 2 3 3 3" xfId="8426"/>
    <cellStyle name="Note 2 3 2 2 3 4" xfId="4520"/>
    <cellStyle name="Note 2 3 2 2 3 4 2" xfId="8984"/>
    <cellStyle name="Note 2 3 2 2 3 5" xfId="6190"/>
    <cellStyle name="Note 2 3 2 2 3 5 2" xfId="10654"/>
    <cellStyle name="Note 2 3 2 2 3 6" xfId="6756"/>
    <cellStyle name="Note 2 3 2 2 3 6 2" xfId="11211"/>
    <cellStyle name="Note 2 3 2 2 3 7" xfId="7313"/>
    <cellStyle name="Note 2 3 2 2 4" xfId="3362"/>
    <cellStyle name="Note 2 3 2 2 4 2" xfId="5631"/>
    <cellStyle name="Note 2 3 2 2 4 2 2" xfId="10095"/>
    <cellStyle name="Note 2 3 2 2 4 3" xfId="7867"/>
    <cellStyle name="Note 2 3 2 2 5" xfId="3945"/>
    <cellStyle name="Note 2 3 2 2 5 2" xfId="5075"/>
    <cellStyle name="Note 2 3 2 2 5 2 2" xfId="9539"/>
    <cellStyle name="Note 2 3 2 2 5 3" xfId="8424"/>
    <cellStyle name="Note 2 3 2 2 6" xfId="4518"/>
    <cellStyle name="Note 2 3 2 2 6 2" xfId="8982"/>
    <cellStyle name="Note 2 3 2 2 7" xfId="6188"/>
    <cellStyle name="Note 2 3 2 2 7 2" xfId="10652"/>
    <cellStyle name="Note 2 3 2 2 8" xfId="6754"/>
    <cellStyle name="Note 2 3 2 2 8 2" xfId="11209"/>
    <cellStyle name="Note 2 3 2 2 9" xfId="7311"/>
    <cellStyle name="Note 2 3 2 3" xfId="2425"/>
    <cellStyle name="Note 2 3 2 3 2" xfId="3365"/>
    <cellStyle name="Note 2 3 2 3 2 2" xfId="5634"/>
    <cellStyle name="Note 2 3 2 3 2 2 2" xfId="10098"/>
    <cellStyle name="Note 2 3 2 3 2 3" xfId="7870"/>
    <cellStyle name="Note 2 3 2 3 3" xfId="3948"/>
    <cellStyle name="Note 2 3 2 3 3 2" xfId="5078"/>
    <cellStyle name="Note 2 3 2 3 3 2 2" xfId="9542"/>
    <cellStyle name="Note 2 3 2 3 3 3" xfId="8427"/>
    <cellStyle name="Note 2 3 2 3 4" xfId="4521"/>
    <cellStyle name="Note 2 3 2 3 4 2" xfId="8985"/>
    <cellStyle name="Note 2 3 2 3 5" xfId="6191"/>
    <cellStyle name="Note 2 3 2 3 5 2" xfId="10655"/>
    <cellStyle name="Note 2 3 2 3 6" xfId="6757"/>
    <cellStyle name="Note 2 3 2 3 6 2" xfId="11212"/>
    <cellStyle name="Note 2 3 2 3 7" xfId="7314"/>
    <cellStyle name="Note 2 3 2 4" xfId="2426"/>
    <cellStyle name="Note 2 3 2 4 2" xfId="3366"/>
    <cellStyle name="Note 2 3 2 4 2 2" xfId="5635"/>
    <cellStyle name="Note 2 3 2 4 2 2 2" xfId="10099"/>
    <cellStyle name="Note 2 3 2 4 2 3" xfId="7871"/>
    <cellStyle name="Note 2 3 2 4 3" xfId="3949"/>
    <cellStyle name="Note 2 3 2 4 3 2" xfId="5079"/>
    <cellStyle name="Note 2 3 2 4 3 2 2" xfId="9543"/>
    <cellStyle name="Note 2 3 2 4 3 3" xfId="8428"/>
    <cellStyle name="Note 2 3 2 4 4" xfId="4522"/>
    <cellStyle name="Note 2 3 2 4 4 2" xfId="8986"/>
    <cellStyle name="Note 2 3 2 4 5" xfId="6192"/>
    <cellStyle name="Note 2 3 2 4 5 2" xfId="10656"/>
    <cellStyle name="Note 2 3 2 4 6" xfId="6758"/>
    <cellStyle name="Note 2 3 2 4 6 2" xfId="11213"/>
    <cellStyle name="Note 2 3 2 4 7" xfId="7315"/>
    <cellStyle name="Note 2 3 2 5" xfId="3361"/>
    <cellStyle name="Note 2 3 2 5 2" xfId="5630"/>
    <cellStyle name="Note 2 3 2 5 2 2" xfId="10094"/>
    <cellStyle name="Note 2 3 2 5 3" xfId="7866"/>
    <cellStyle name="Note 2 3 2 6" xfId="3944"/>
    <cellStyle name="Note 2 3 2 6 2" xfId="5074"/>
    <cellStyle name="Note 2 3 2 6 2 2" xfId="9538"/>
    <cellStyle name="Note 2 3 2 6 3" xfId="8423"/>
    <cellStyle name="Note 2 3 2 7" xfId="4517"/>
    <cellStyle name="Note 2 3 2 7 2" xfId="8981"/>
    <cellStyle name="Note 2 3 2 8" xfId="6187"/>
    <cellStyle name="Note 2 3 2 8 2" xfId="10651"/>
    <cellStyle name="Note 2 3 2 9" xfId="6753"/>
    <cellStyle name="Note 2 3 2 9 2" xfId="11208"/>
    <cellStyle name="Note 2 3 3" xfId="2427"/>
    <cellStyle name="Note 2 3 3 2" xfId="2428"/>
    <cellStyle name="Note 2 3 3 2 2" xfId="3368"/>
    <cellStyle name="Note 2 3 3 2 2 2" xfId="5637"/>
    <cellStyle name="Note 2 3 3 2 2 2 2" xfId="10101"/>
    <cellStyle name="Note 2 3 3 2 2 3" xfId="7873"/>
    <cellStyle name="Note 2 3 3 2 3" xfId="3951"/>
    <cellStyle name="Note 2 3 3 2 3 2" xfId="5081"/>
    <cellStyle name="Note 2 3 3 2 3 2 2" xfId="9545"/>
    <cellStyle name="Note 2 3 3 2 3 3" xfId="8430"/>
    <cellStyle name="Note 2 3 3 2 4" xfId="4524"/>
    <cellStyle name="Note 2 3 3 2 4 2" xfId="8988"/>
    <cellStyle name="Note 2 3 3 2 5" xfId="6194"/>
    <cellStyle name="Note 2 3 3 2 5 2" xfId="10658"/>
    <cellStyle name="Note 2 3 3 2 6" xfId="6760"/>
    <cellStyle name="Note 2 3 3 2 6 2" xfId="11215"/>
    <cellStyle name="Note 2 3 3 2 7" xfId="7317"/>
    <cellStyle name="Note 2 3 3 3" xfId="2429"/>
    <cellStyle name="Note 2 3 3 3 2" xfId="3369"/>
    <cellStyle name="Note 2 3 3 3 2 2" xfId="5638"/>
    <cellStyle name="Note 2 3 3 3 2 2 2" xfId="10102"/>
    <cellStyle name="Note 2 3 3 3 2 3" xfId="7874"/>
    <cellStyle name="Note 2 3 3 3 3" xfId="3952"/>
    <cellStyle name="Note 2 3 3 3 3 2" xfId="5082"/>
    <cellStyle name="Note 2 3 3 3 3 2 2" xfId="9546"/>
    <cellStyle name="Note 2 3 3 3 3 3" xfId="8431"/>
    <cellStyle name="Note 2 3 3 3 4" xfId="4525"/>
    <cellStyle name="Note 2 3 3 3 4 2" xfId="8989"/>
    <cellStyle name="Note 2 3 3 3 5" xfId="6195"/>
    <cellStyle name="Note 2 3 3 3 5 2" xfId="10659"/>
    <cellStyle name="Note 2 3 3 3 6" xfId="6761"/>
    <cellStyle name="Note 2 3 3 3 6 2" xfId="11216"/>
    <cellStyle name="Note 2 3 3 3 7" xfId="7318"/>
    <cellStyle name="Note 2 3 3 4" xfId="3367"/>
    <cellStyle name="Note 2 3 3 4 2" xfId="5636"/>
    <cellStyle name="Note 2 3 3 4 2 2" xfId="10100"/>
    <cellStyle name="Note 2 3 3 4 3" xfId="7872"/>
    <cellStyle name="Note 2 3 3 5" xfId="3950"/>
    <cellStyle name="Note 2 3 3 5 2" xfId="5080"/>
    <cellStyle name="Note 2 3 3 5 2 2" xfId="9544"/>
    <cellStyle name="Note 2 3 3 5 3" xfId="8429"/>
    <cellStyle name="Note 2 3 3 6" xfId="4523"/>
    <cellStyle name="Note 2 3 3 6 2" xfId="8987"/>
    <cellStyle name="Note 2 3 3 7" xfId="6193"/>
    <cellStyle name="Note 2 3 3 7 2" xfId="10657"/>
    <cellStyle name="Note 2 3 3 8" xfId="6759"/>
    <cellStyle name="Note 2 3 3 8 2" xfId="11214"/>
    <cellStyle name="Note 2 3 3 9" xfId="7316"/>
    <cellStyle name="Note 2 3 4" xfId="2430"/>
    <cellStyle name="Note 2 3 4 2" xfId="3370"/>
    <cellStyle name="Note 2 3 4 2 2" xfId="5639"/>
    <cellStyle name="Note 2 3 4 2 2 2" xfId="10103"/>
    <cellStyle name="Note 2 3 4 2 3" xfId="7875"/>
    <cellStyle name="Note 2 3 4 3" xfId="3953"/>
    <cellStyle name="Note 2 3 4 3 2" xfId="5083"/>
    <cellStyle name="Note 2 3 4 3 2 2" xfId="9547"/>
    <cellStyle name="Note 2 3 4 3 3" xfId="8432"/>
    <cellStyle name="Note 2 3 4 4" xfId="4526"/>
    <cellStyle name="Note 2 3 4 4 2" xfId="8990"/>
    <cellStyle name="Note 2 3 4 5" xfId="6196"/>
    <cellStyle name="Note 2 3 4 5 2" xfId="10660"/>
    <cellStyle name="Note 2 3 4 6" xfId="6762"/>
    <cellStyle name="Note 2 3 4 6 2" xfId="11217"/>
    <cellStyle name="Note 2 3 4 7" xfId="7319"/>
    <cellStyle name="Note 2 3 5" xfId="2431"/>
    <cellStyle name="Note 2 3 5 2" xfId="3371"/>
    <cellStyle name="Note 2 3 5 2 2" xfId="5640"/>
    <cellStyle name="Note 2 3 5 2 2 2" xfId="10104"/>
    <cellStyle name="Note 2 3 5 2 3" xfId="7876"/>
    <cellStyle name="Note 2 3 5 3" xfId="3954"/>
    <cellStyle name="Note 2 3 5 3 2" xfId="5084"/>
    <cellStyle name="Note 2 3 5 3 2 2" xfId="9548"/>
    <cellStyle name="Note 2 3 5 3 3" xfId="8433"/>
    <cellStyle name="Note 2 3 5 4" xfId="4527"/>
    <cellStyle name="Note 2 3 5 4 2" xfId="8991"/>
    <cellStyle name="Note 2 3 5 5" xfId="6197"/>
    <cellStyle name="Note 2 3 5 5 2" xfId="10661"/>
    <cellStyle name="Note 2 3 5 6" xfId="6763"/>
    <cellStyle name="Note 2 3 5 6 2" xfId="11218"/>
    <cellStyle name="Note 2 3 5 7" xfId="7320"/>
    <cellStyle name="Note 2 3 6" xfId="11963"/>
    <cellStyle name="Note 2 3 7" xfId="1564"/>
    <cellStyle name="Note 2 4" xfId="1565"/>
    <cellStyle name="Note 2 4 2" xfId="2432"/>
    <cellStyle name="Note 2 4 2 2" xfId="2433"/>
    <cellStyle name="Note 2 4 2 2 2" xfId="3373"/>
    <cellStyle name="Note 2 4 2 2 2 2" xfId="5642"/>
    <cellStyle name="Note 2 4 2 2 2 2 2" xfId="10106"/>
    <cellStyle name="Note 2 4 2 2 2 3" xfId="7878"/>
    <cellStyle name="Note 2 4 2 2 3" xfId="3956"/>
    <cellStyle name="Note 2 4 2 2 3 2" xfId="5086"/>
    <cellStyle name="Note 2 4 2 2 3 2 2" xfId="9550"/>
    <cellStyle name="Note 2 4 2 2 3 3" xfId="8435"/>
    <cellStyle name="Note 2 4 2 2 4" xfId="4529"/>
    <cellStyle name="Note 2 4 2 2 4 2" xfId="8993"/>
    <cellStyle name="Note 2 4 2 2 5" xfId="6199"/>
    <cellStyle name="Note 2 4 2 2 5 2" xfId="10663"/>
    <cellStyle name="Note 2 4 2 2 6" xfId="6765"/>
    <cellStyle name="Note 2 4 2 2 6 2" xfId="11220"/>
    <cellStyle name="Note 2 4 2 2 7" xfId="7322"/>
    <cellStyle name="Note 2 4 2 3" xfId="2434"/>
    <cellStyle name="Note 2 4 2 3 2" xfId="3374"/>
    <cellStyle name="Note 2 4 2 3 2 2" xfId="5643"/>
    <cellStyle name="Note 2 4 2 3 2 2 2" xfId="10107"/>
    <cellStyle name="Note 2 4 2 3 2 3" xfId="7879"/>
    <cellStyle name="Note 2 4 2 3 3" xfId="3957"/>
    <cellStyle name="Note 2 4 2 3 3 2" xfId="5087"/>
    <cellStyle name="Note 2 4 2 3 3 2 2" xfId="9551"/>
    <cellStyle name="Note 2 4 2 3 3 3" xfId="8436"/>
    <cellStyle name="Note 2 4 2 3 4" xfId="4530"/>
    <cellStyle name="Note 2 4 2 3 4 2" xfId="8994"/>
    <cellStyle name="Note 2 4 2 3 5" xfId="6200"/>
    <cellStyle name="Note 2 4 2 3 5 2" xfId="10664"/>
    <cellStyle name="Note 2 4 2 3 6" xfId="6766"/>
    <cellStyle name="Note 2 4 2 3 6 2" xfId="11221"/>
    <cellStyle name="Note 2 4 2 3 7" xfId="7323"/>
    <cellStyle name="Note 2 4 2 4" xfId="3372"/>
    <cellStyle name="Note 2 4 2 4 2" xfId="5641"/>
    <cellStyle name="Note 2 4 2 4 2 2" xfId="10105"/>
    <cellStyle name="Note 2 4 2 4 3" xfId="7877"/>
    <cellStyle name="Note 2 4 2 5" xfId="3955"/>
    <cellStyle name="Note 2 4 2 5 2" xfId="5085"/>
    <cellStyle name="Note 2 4 2 5 2 2" xfId="9549"/>
    <cellStyle name="Note 2 4 2 5 3" xfId="8434"/>
    <cellStyle name="Note 2 4 2 6" xfId="4528"/>
    <cellStyle name="Note 2 4 2 6 2" xfId="8992"/>
    <cellStyle name="Note 2 4 2 7" xfId="6198"/>
    <cellStyle name="Note 2 4 2 7 2" xfId="10662"/>
    <cellStyle name="Note 2 4 2 8" xfId="6764"/>
    <cellStyle name="Note 2 4 2 8 2" xfId="11219"/>
    <cellStyle name="Note 2 4 2 9" xfId="7321"/>
    <cellStyle name="Note 2 4 3" xfId="2435"/>
    <cellStyle name="Note 2 4 3 2" xfId="2436"/>
    <cellStyle name="Note 2 4 3 2 2" xfId="3376"/>
    <cellStyle name="Note 2 4 3 2 2 2" xfId="5645"/>
    <cellStyle name="Note 2 4 3 2 2 2 2" xfId="10109"/>
    <cellStyle name="Note 2 4 3 2 2 3" xfId="7881"/>
    <cellStyle name="Note 2 4 3 2 3" xfId="3959"/>
    <cellStyle name="Note 2 4 3 2 3 2" xfId="5089"/>
    <cellStyle name="Note 2 4 3 2 3 2 2" xfId="9553"/>
    <cellStyle name="Note 2 4 3 2 3 3" xfId="8438"/>
    <cellStyle name="Note 2 4 3 2 4" xfId="4532"/>
    <cellStyle name="Note 2 4 3 2 4 2" xfId="8996"/>
    <cellStyle name="Note 2 4 3 2 5" xfId="6202"/>
    <cellStyle name="Note 2 4 3 2 5 2" xfId="10666"/>
    <cellStyle name="Note 2 4 3 2 6" xfId="6768"/>
    <cellStyle name="Note 2 4 3 2 6 2" xfId="11223"/>
    <cellStyle name="Note 2 4 3 2 7" xfId="7325"/>
    <cellStyle name="Note 2 4 3 3" xfId="2437"/>
    <cellStyle name="Note 2 4 3 3 2" xfId="3377"/>
    <cellStyle name="Note 2 4 3 3 2 2" xfId="5646"/>
    <cellStyle name="Note 2 4 3 3 2 2 2" xfId="10110"/>
    <cellStyle name="Note 2 4 3 3 2 3" xfId="7882"/>
    <cellStyle name="Note 2 4 3 3 3" xfId="3960"/>
    <cellStyle name="Note 2 4 3 3 3 2" xfId="5090"/>
    <cellStyle name="Note 2 4 3 3 3 2 2" xfId="9554"/>
    <cellStyle name="Note 2 4 3 3 3 3" xfId="8439"/>
    <cellStyle name="Note 2 4 3 3 4" xfId="4533"/>
    <cellStyle name="Note 2 4 3 3 4 2" xfId="8997"/>
    <cellStyle name="Note 2 4 3 3 5" xfId="6203"/>
    <cellStyle name="Note 2 4 3 3 5 2" xfId="10667"/>
    <cellStyle name="Note 2 4 3 3 6" xfId="6769"/>
    <cellStyle name="Note 2 4 3 3 6 2" xfId="11224"/>
    <cellStyle name="Note 2 4 3 3 7" xfId="7326"/>
    <cellStyle name="Note 2 4 3 4" xfId="3375"/>
    <cellStyle name="Note 2 4 3 4 2" xfId="5644"/>
    <cellStyle name="Note 2 4 3 4 2 2" xfId="10108"/>
    <cellStyle name="Note 2 4 3 4 3" xfId="7880"/>
    <cellStyle name="Note 2 4 3 5" xfId="3958"/>
    <cellStyle name="Note 2 4 3 5 2" xfId="5088"/>
    <cellStyle name="Note 2 4 3 5 2 2" xfId="9552"/>
    <cellStyle name="Note 2 4 3 5 3" xfId="8437"/>
    <cellStyle name="Note 2 4 3 6" xfId="4531"/>
    <cellStyle name="Note 2 4 3 6 2" xfId="8995"/>
    <cellStyle name="Note 2 4 3 7" xfId="6201"/>
    <cellStyle name="Note 2 4 3 7 2" xfId="10665"/>
    <cellStyle name="Note 2 4 3 8" xfId="6767"/>
    <cellStyle name="Note 2 4 3 8 2" xfId="11222"/>
    <cellStyle name="Note 2 4 3 9" xfId="7324"/>
    <cellStyle name="Note 2 4 4" xfId="2438"/>
    <cellStyle name="Note 2 4 4 2" xfId="3378"/>
    <cellStyle name="Note 2 4 4 2 2" xfId="5647"/>
    <cellStyle name="Note 2 4 4 2 2 2" xfId="10111"/>
    <cellStyle name="Note 2 4 4 2 3" xfId="7883"/>
    <cellStyle name="Note 2 4 4 3" xfId="3961"/>
    <cellStyle name="Note 2 4 4 3 2" xfId="5091"/>
    <cellStyle name="Note 2 4 4 3 2 2" xfId="9555"/>
    <cellStyle name="Note 2 4 4 3 3" xfId="8440"/>
    <cellStyle name="Note 2 4 4 4" xfId="4534"/>
    <cellStyle name="Note 2 4 4 4 2" xfId="8998"/>
    <cellStyle name="Note 2 4 4 5" xfId="6204"/>
    <cellStyle name="Note 2 4 4 5 2" xfId="10668"/>
    <cellStyle name="Note 2 4 4 6" xfId="6770"/>
    <cellStyle name="Note 2 4 4 6 2" xfId="11225"/>
    <cellStyle name="Note 2 4 4 7" xfId="7327"/>
    <cellStyle name="Note 2 4 5" xfId="2439"/>
    <cellStyle name="Note 2 4 5 2" xfId="3379"/>
    <cellStyle name="Note 2 4 5 2 2" xfId="5648"/>
    <cellStyle name="Note 2 4 5 2 2 2" xfId="10112"/>
    <cellStyle name="Note 2 4 5 2 3" xfId="7884"/>
    <cellStyle name="Note 2 4 5 3" xfId="3962"/>
    <cellStyle name="Note 2 4 5 3 2" xfId="5092"/>
    <cellStyle name="Note 2 4 5 3 2 2" xfId="9556"/>
    <cellStyle name="Note 2 4 5 3 3" xfId="8441"/>
    <cellStyle name="Note 2 4 5 4" xfId="4535"/>
    <cellStyle name="Note 2 4 5 4 2" xfId="8999"/>
    <cellStyle name="Note 2 4 5 5" xfId="6205"/>
    <cellStyle name="Note 2 4 5 5 2" xfId="10669"/>
    <cellStyle name="Note 2 4 5 6" xfId="6771"/>
    <cellStyle name="Note 2 4 5 6 2" xfId="11226"/>
    <cellStyle name="Note 2 4 5 7" xfId="7328"/>
    <cellStyle name="Note 2 5" xfId="1566"/>
    <cellStyle name="Note 2 5 2" xfId="2440"/>
    <cellStyle name="Note 2 5 2 2" xfId="2441"/>
    <cellStyle name="Note 2 5 2 2 2" xfId="3381"/>
    <cellStyle name="Note 2 5 2 2 2 2" xfId="5650"/>
    <cellStyle name="Note 2 5 2 2 2 2 2" xfId="10114"/>
    <cellStyle name="Note 2 5 2 2 2 3" xfId="7886"/>
    <cellStyle name="Note 2 5 2 2 3" xfId="3964"/>
    <cellStyle name="Note 2 5 2 2 3 2" xfId="5094"/>
    <cellStyle name="Note 2 5 2 2 3 2 2" xfId="9558"/>
    <cellStyle name="Note 2 5 2 2 3 3" xfId="8443"/>
    <cellStyle name="Note 2 5 2 2 4" xfId="4537"/>
    <cellStyle name="Note 2 5 2 2 4 2" xfId="9001"/>
    <cellStyle name="Note 2 5 2 2 5" xfId="6207"/>
    <cellStyle name="Note 2 5 2 2 5 2" xfId="10671"/>
    <cellStyle name="Note 2 5 2 2 6" xfId="6773"/>
    <cellStyle name="Note 2 5 2 2 6 2" xfId="11228"/>
    <cellStyle name="Note 2 5 2 2 7" xfId="7330"/>
    <cellStyle name="Note 2 5 2 3" xfId="2442"/>
    <cellStyle name="Note 2 5 2 3 2" xfId="3382"/>
    <cellStyle name="Note 2 5 2 3 2 2" xfId="5651"/>
    <cellStyle name="Note 2 5 2 3 2 2 2" xfId="10115"/>
    <cellStyle name="Note 2 5 2 3 2 3" xfId="7887"/>
    <cellStyle name="Note 2 5 2 3 3" xfId="3965"/>
    <cellStyle name="Note 2 5 2 3 3 2" xfId="5095"/>
    <cellStyle name="Note 2 5 2 3 3 2 2" xfId="9559"/>
    <cellStyle name="Note 2 5 2 3 3 3" xfId="8444"/>
    <cellStyle name="Note 2 5 2 3 4" xfId="4538"/>
    <cellStyle name="Note 2 5 2 3 4 2" xfId="9002"/>
    <cellStyle name="Note 2 5 2 3 5" xfId="6208"/>
    <cellStyle name="Note 2 5 2 3 5 2" xfId="10672"/>
    <cellStyle name="Note 2 5 2 3 6" xfId="6774"/>
    <cellStyle name="Note 2 5 2 3 6 2" xfId="11229"/>
    <cellStyle name="Note 2 5 2 3 7" xfId="7331"/>
    <cellStyle name="Note 2 5 2 4" xfId="3380"/>
    <cellStyle name="Note 2 5 2 4 2" xfId="5649"/>
    <cellStyle name="Note 2 5 2 4 2 2" xfId="10113"/>
    <cellStyle name="Note 2 5 2 4 3" xfId="7885"/>
    <cellStyle name="Note 2 5 2 5" xfId="3963"/>
    <cellStyle name="Note 2 5 2 5 2" xfId="5093"/>
    <cellStyle name="Note 2 5 2 5 2 2" xfId="9557"/>
    <cellStyle name="Note 2 5 2 5 3" xfId="8442"/>
    <cellStyle name="Note 2 5 2 6" xfId="4536"/>
    <cellStyle name="Note 2 5 2 6 2" xfId="9000"/>
    <cellStyle name="Note 2 5 2 7" xfId="6206"/>
    <cellStyle name="Note 2 5 2 7 2" xfId="10670"/>
    <cellStyle name="Note 2 5 2 8" xfId="6772"/>
    <cellStyle name="Note 2 5 2 8 2" xfId="11227"/>
    <cellStyle name="Note 2 5 2 9" xfId="7329"/>
    <cellStyle name="Note 2 5 3" xfId="2443"/>
    <cellStyle name="Note 2 5 3 2" xfId="3383"/>
    <cellStyle name="Note 2 5 3 2 2" xfId="5652"/>
    <cellStyle name="Note 2 5 3 2 2 2" xfId="10116"/>
    <cellStyle name="Note 2 5 3 2 3" xfId="7888"/>
    <cellStyle name="Note 2 5 3 3" xfId="3966"/>
    <cellStyle name="Note 2 5 3 3 2" xfId="5096"/>
    <cellStyle name="Note 2 5 3 3 2 2" xfId="9560"/>
    <cellStyle name="Note 2 5 3 3 3" xfId="8445"/>
    <cellStyle name="Note 2 5 3 4" xfId="4539"/>
    <cellStyle name="Note 2 5 3 4 2" xfId="9003"/>
    <cellStyle name="Note 2 5 3 5" xfId="6209"/>
    <cellStyle name="Note 2 5 3 5 2" xfId="10673"/>
    <cellStyle name="Note 2 5 3 6" xfId="6775"/>
    <cellStyle name="Note 2 5 3 6 2" xfId="11230"/>
    <cellStyle name="Note 2 5 3 7" xfId="7332"/>
    <cellStyle name="Note 2 5 4" xfId="2444"/>
    <cellStyle name="Note 2 5 4 2" xfId="3384"/>
    <cellStyle name="Note 2 5 4 2 2" xfId="5653"/>
    <cellStyle name="Note 2 5 4 2 2 2" xfId="10117"/>
    <cellStyle name="Note 2 5 4 2 3" xfId="7889"/>
    <cellStyle name="Note 2 5 4 3" xfId="3967"/>
    <cellStyle name="Note 2 5 4 3 2" xfId="5097"/>
    <cellStyle name="Note 2 5 4 3 2 2" xfId="9561"/>
    <cellStyle name="Note 2 5 4 3 3" xfId="8446"/>
    <cellStyle name="Note 2 5 4 4" xfId="4540"/>
    <cellStyle name="Note 2 5 4 4 2" xfId="9004"/>
    <cellStyle name="Note 2 5 4 5" xfId="6210"/>
    <cellStyle name="Note 2 5 4 5 2" xfId="10674"/>
    <cellStyle name="Note 2 5 4 6" xfId="6776"/>
    <cellStyle name="Note 2 5 4 6 2" xfId="11231"/>
    <cellStyle name="Note 2 5 4 7" xfId="7333"/>
    <cellStyle name="Note 2 6" xfId="1567"/>
    <cellStyle name="Note 2 6 2" xfId="2445"/>
    <cellStyle name="Note 2 6 2 2" xfId="3385"/>
    <cellStyle name="Note 2 6 2 2 2" xfId="5654"/>
    <cellStyle name="Note 2 6 2 2 2 2" xfId="10118"/>
    <cellStyle name="Note 2 6 2 2 3" xfId="7890"/>
    <cellStyle name="Note 2 6 2 3" xfId="3968"/>
    <cellStyle name="Note 2 6 2 3 2" xfId="5098"/>
    <cellStyle name="Note 2 6 2 3 2 2" xfId="9562"/>
    <cellStyle name="Note 2 6 2 3 3" xfId="8447"/>
    <cellStyle name="Note 2 6 2 4" xfId="4541"/>
    <cellStyle name="Note 2 6 2 4 2" xfId="9005"/>
    <cellStyle name="Note 2 6 2 5" xfId="6211"/>
    <cellStyle name="Note 2 6 2 5 2" xfId="10675"/>
    <cellStyle name="Note 2 6 2 6" xfId="6777"/>
    <cellStyle name="Note 2 6 2 6 2" xfId="11232"/>
    <cellStyle name="Note 2 6 2 7" xfId="7334"/>
    <cellStyle name="Note 2 6 3" xfId="2446"/>
    <cellStyle name="Note 2 6 3 2" xfId="3386"/>
    <cellStyle name="Note 2 6 3 2 2" xfId="5655"/>
    <cellStyle name="Note 2 6 3 2 2 2" xfId="10119"/>
    <cellStyle name="Note 2 6 3 2 3" xfId="7891"/>
    <cellStyle name="Note 2 6 3 3" xfId="3969"/>
    <cellStyle name="Note 2 6 3 3 2" xfId="5099"/>
    <cellStyle name="Note 2 6 3 3 2 2" xfId="9563"/>
    <cellStyle name="Note 2 6 3 3 3" xfId="8448"/>
    <cellStyle name="Note 2 6 3 4" xfId="4542"/>
    <cellStyle name="Note 2 6 3 4 2" xfId="9006"/>
    <cellStyle name="Note 2 6 3 5" xfId="6212"/>
    <cellStyle name="Note 2 6 3 5 2" xfId="10676"/>
    <cellStyle name="Note 2 6 3 6" xfId="6778"/>
    <cellStyle name="Note 2 6 3 6 2" xfId="11233"/>
    <cellStyle name="Note 2 6 3 7" xfId="7335"/>
    <cellStyle name="Note 2 7" xfId="1717"/>
    <cellStyle name="Note 2 7 2" xfId="2892"/>
    <cellStyle name="Note 2 7 2 2" xfId="5161"/>
    <cellStyle name="Note 2 7 2 2 2" xfId="9625"/>
    <cellStyle name="Note 2 7 2 3" xfId="7397"/>
    <cellStyle name="Note 2 7 3" xfId="3475"/>
    <cellStyle name="Note 2 7 3 2" xfId="4605"/>
    <cellStyle name="Note 2 7 3 2 2" xfId="9069"/>
    <cellStyle name="Note 2 7 3 3" xfId="7954"/>
    <cellStyle name="Note 2 7 4" xfId="4048"/>
    <cellStyle name="Note 2 7 4 2" xfId="8512"/>
    <cellStyle name="Note 2 7 5" xfId="5718"/>
    <cellStyle name="Note 2 7 5 2" xfId="10182"/>
    <cellStyle name="Note 2 7 6" xfId="6284"/>
    <cellStyle name="Note 2 7 6 2" xfId="10739"/>
    <cellStyle name="Note 2 7 7" xfId="6841"/>
    <cellStyle name="Note 2 8" xfId="1921"/>
    <cellStyle name="Note 2 8 2" xfId="2933"/>
    <cellStyle name="Note 2 8 2 2" xfId="5202"/>
    <cellStyle name="Note 2 8 2 2 2" xfId="9666"/>
    <cellStyle name="Note 2 8 2 3" xfId="7438"/>
    <cellStyle name="Note 2 8 3" xfId="3516"/>
    <cellStyle name="Note 2 8 3 2" xfId="4646"/>
    <cellStyle name="Note 2 8 3 2 2" xfId="9110"/>
    <cellStyle name="Note 2 8 3 3" xfId="7995"/>
    <cellStyle name="Note 2 8 4" xfId="4089"/>
    <cellStyle name="Note 2 8 4 2" xfId="8553"/>
    <cellStyle name="Note 2 8 5" xfId="5759"/>
    <cellStyle name="Note 2 8 5 2" xfId="10223"/>
    <cellStyle name="Note 2 8 6" xfId="6325"/>
    <cellStyle name="Note 2 8 6 2" xfId="10780"/>
    <cellStyle name="Note 2 8 7" xfId="6882"/>
    <cellStyle name="Note 2 9" xfId="2447"/>
    <cellStyle name="Note 20" xfId="1063"/>
    <cellStyle name="Note 20 2" xfId="11934"/>
    <cellStyle name="Note 21" xfId="1078"/>
    <cellStyle name="Note 21 2" xfId="11949"/>
    <cellStyle name="Note 3" xfId="536"/>
    <cellStyle name="Note 3 2" xfId="2448"/>
    <cellStyle name="Note 3 3" xfId="2449"/>
    <cellStyle name="Note 3 4" xfId="2643"/>
    <cellStyle name="Note 3 5" xfId="1568"/>
    <cellStyle name="Note 3 6" xfId="11566"/>
    <cellStyle name="Note 3 7" xfId="1237"/>
    <cellStyle name="Note 4" xfId="537"/>
    <cellStyle name="Note 4 2" xfId="2450"/>
    <cellStyle name="Note 4 3" xfId="11567"/>
    <cellStyle name="Note 4 4" xfId="1698"/>
    <cellStyle name="Note 5" xfId="538"/>
    <cellStyle name="Note 5 2" xfId="2451"/>
    <cellStyle name="Note 5 3" xfId="11568"/>
    <cellStyle name="Note 5 4" xfId="1920"/>
    <cellStyle name="Note 6" xfId="539"/>
    <cellStyle name="Note 6 2" xfId="2452"/>
    <cellStyle name="Note 7" xfId="540"/>
    <cellStyle name="Note 7 2" xfId="2453"/>
    <cellStyle name="Note 8" xfId="541"/>
    <cellStyle name="Note 8 2" xfId="2454"/>
    <cellStyle name="Note 9" xfId="542"/>
    <cellStyle name="Note 9 2" xfId="2455"/>
    <cellStyle name="Output" xfId="933" builtinId="21" customBuiltin="1"/>
    <cellStyle name="Output 10" xfId="543"/>
    <cellStyle name="Output 11" xfId="544"/>
    <cellStyle name="Output 12" xfId="545"/>
    <cellStyle name="Output 13" xfId="546"/>
    <cellStyle name="Output 14" xfId="547"/>
    <cellStyle name="Output 15" xfId="548"/>
    <cellStyle name="Output 16" xfId="775"/>
    <cellStyle name="Output 2" xfId="549"/>
    <cellStyle name="Output 2 2" xfId="708"/>
    <cellStyle name="Output 2 2 2" xfId="1801"/>
    <cellStyle name="Output 2 2 3" xfId="1570"/>
    <cellStyle name="Output 2 2 4" xfId="11665"/>
    <cellStyle name="Output 2 2 5" xfId="1240"/>
    <cellStyle name="Output 2 3" xfId="1571"/>
    <cellStyle name="Output 2 3 2" xfId="2659"/>
    <cellStyle name="Output 2 3 3" xfId="2885"/>
    <cellStyle name="Output 2 3 4" xfId="3468"/>
    <cellStyle name="Output 2 4" xfId="1712"/>
    <cellStyle name="Output 2 5" xfId="1923"/>
    <cellStyle name="Output 2 6" xfId="2601"/>
    <cellStyle name="Output 2 7" xfId="1569"/>
    <cellStyle name="Output 2 8" xfId="11569"/>
    <cellStyle name="Output 3" xfId="550"/>
    <cellStyle name="Output 3 2" xfId="2456"/>
    <cellStyle name="Output 3 3" xfId="2644"/>
    <cellStyle name="Output 3 4" xfId="11570"/>
    <cellStyle name="Output 3 5" xfId="1572"/>
    <cellStyle name="Output 4" xfId="551"/>
    <cellStyle name="Output 4 2" xfId="2804"/>
    <cellStyle name="Output 4 3" xfId="11571"/>
    <cellStyle name="Output 4 4" xfId="1573"/>
    <cellStyle name="Output 5" xfId="552"/>
    <cellStyle name="Output 5 2" xfId="11572"/>
    <cellStyle name="Output 5 3" xfId="1699"/>
    <cellStyle name="Output 6" xfId="553"/>
    <cellStyle name="Output 6 2" xfId="11573"/>
    <cellStyle name="Output 6 3" xfId="1922"/>
    <cellStyle name="Output 7" xfId="554"/>
    <cellStyle name="Output 8" xfId="555"/>
    <cellStyle name="Output 9" xfId="556"/>
    <cellStyle name="Percent" xfId="557" builtinId="5"/>
    <cellStyle name="Percent [2]" xfId="767"/>
    <cellStyle name="Percent [2] 2" xfId="1576"/>
    <cellStyle name="Percent [2] 2 2" xfId="2729"/>
    <cellStyle name="Percent [2] 3" xfId="1924"/>
    <cellStyle name="Percent [2] 4" xfId="1575"/>
    <cellStyle name="Percent 10" xfId="857"/>
    <cellStyle name="Percent 10 2" xfId="2508"/>
    <cellStyle name="Percent 10 2 2" xfId="3397"/>
    <cellStyle name="Percent 10 2 2 2" xfId="5665"/>
    <cellStyle name="Percent 10 2 2 2 2" xfId="10129"/>
    <cellStyle name="Percent 10 2 2 3" xfId="7901"/>
    <cellStyle name="Percent 10 2 3" xfId="3980"/>
    <cellStyle name="Percent 10 2 3 2" xfId="5109"/>
    <cellStyle name="Percent 10 2 3 2 2" xfId="9573"/>
    <cellStyle name="Percent 10 2 3 3" xfId="8458"/>
    <cellStyle name="Percent 10 2 4" xfId="4552"/>
    <cellStyle name="Percent 10 2 4 2" xfId="9016"/>
    <cellStyle name="Percent 10 2 5" xfId="6222"/>
    <cellStyle name="Percent 10 2 5 2" xfId="10686"/>
    <cellStyle name="Percent 10 2 6" xfId="6788"/>
    <cellStyle name="Percent 10 2 6 2" xfId="11243"/>
    <cellStyle name="Percent 10 2 7" xfId="7345"/>
    <cellStyle name="Percent 10 3" xfId="2699"/>
    <cellStyle name="Percent 10 4" xfId="1577"/>
    <cellStyle name="Percent 100" xfId="2848"/>
    <cellStyle name="Percent 101" xfId="2854"/>
    <cellStyle name="Percent 102" xfId="2836"/>
    <cellStyle name="Percent 103" xfId="2857"/>
    <cellStyle name="Percent 104" xfId="2856"/>
    <cellStyle name="Percent 105" xfId="2838"/>
    <cellStyle name="Percent 106" xfId="2841"/>
    <cellStyle name="Percent 107" xfId="2862"/>
    <cellStyle name="Percent 108" xfId="2842"/>
    <cellStyle name="Percent 109" xfId="2861"/>
    <cellStyle name="Percent 11" xfId="864"/>
    <cellStyle name="Percent 11 2" xfId="2524"/>
    <cellStyle name="Percent 11 2 2" xfId="3413"/>
    <cellStyle name="Percent 11 2 2 2" xfId="5681"/>
    <cellStyle name="Percent 11 2 2 2 2" xfId="10145"/>
    <cellStyle name="Percent 11 2 2 3" xfId="7917"/>
    <cellStyle name="Percent 11 2 3" xfId="3996"/>
    <cellStyle name="Percent 11 2 3 2" xfId="5125"/>
    <cellStyle name="Percent 11 2 3 2 2" xfId="9589"/>
    <cellStyle name="Percent 11 2 3 3" xfId="8474"/>
    <cellStyle name="Percent 11 2 4" xfId="4568"/>
    <cellStyle name="Percent 11 2 4 2" xfId="9032"/>
    <cellStyle name="Percent 11 2 5" xfId="6238"/>
    <cellStyle name="Percent 11 2 5 2" xfId="10702"/>
    <cellStyle name="Percent 11 2 6" xfId="6804"/>
    <cellStyle name="Percent 11 2 6 2" xfId="11259"/>
    <cellStyle name="Percent 11 2 7" xfId="7361"/>
    <cellStyle name="Percent 11 3" xfId="2698"/>
    <cellStyle name="Percent 11 4" xfId="11771"/>
    <cellStyle name="Percent 11 5" xfId="1578"/>
    <cellStyle name="Percent 110" xfId="2865"/>
    <cellStyle name="Percent 111" xfId="2878"/>
    <cellStyle name="Percent 112" xfId="2879"/>
    <cellStyle name="Percent 112 2" xfId="4030"/>
    <cellStyle name="Percent 112 3" xfId="6274"/>
    <cellStyle name="Percent 113" xfId="3462"/>
    <cellStyle name="Percent 114" xfId="11297"/>
    <cellStyle name="Percent 115" xfId="11299"/>
    <cellStyle name="Percent 116" xfId="11301"/>
    <cellStyle name="Percent 117" xfId="11329"/>
    <cellStyle name="Percent 118" xfId="11360"/>
    <cellStyle name="Percent 119" xfId="1574"/>
    <cellStyle name="Percent 12" xfId="972"/>
    <cellStyle name="Percent 12 2" xfId="2514"/>
    <cellStyle name="Percent 12 2 2" xfId="3403"/>
    <cellStyle name="Percent 12 2 2 2" xfId="5671"/>
    <cellStyle name="Percent 12 2 2 2 2" xfId="10135"/>
    <cellStyle name="Percent 12 2 2 3" xfId="7907"/>
    <cellStyle name="Percent 12 2 3" xfId="3986"/>
    <cellStyle name="Percent 12 2 3 2" xfId="5115"/>
    <cellStyle name="Percent 12 2 3 2 2" xfId="9579"/>
    <cellStyle name="Percent 12 2 3 3" xfId="8464"/>
    <cellStyle name="Percent 12 2 4" xfId="4558"/>
    <cellStyle name="Percent 12 2 4 2" xfId="9022"/>
    <cellStyle name="Percent 12 2 5" xfId="6228"/>
    <cellStyle name="Percent 12 2 5 2" xfId="10692"/>
    <cellStyle name="Percent 12 2 6" xfId="6794"/>
    <cellStyle name="Percent 12 2 6 2" xfId="11249"/>
    <cellStyle name="Percent 12 2 7" xfId="7351"/>
    <cellStyle name="Percent 12 3" xfId="2700"/>
    <cellStyle name="Percent 12 4" xfId="1579"/>
    <cellStyle name="Percent 120" xfId="11363"/>
    <cellStyle name="Percent 121" xfId="11367"/>
    <cellStyle name="Percent 122" xfId="11362"/>
    <cellStyle name="Percent 123" xfId="11365"/>
    <cellStyle name="Percent 124" xfId="11574"/>
    <cellStyle name="Percent 125" xfId="1126"/>
    <cellStyle name="Percent 13" xfId="973"/>
    <cellStyle name="Percent 13 2" xfId="2506"/>
    <cellStyle name="Percent 13 2 2" xfId="3395"/>
    <cellStyle name="Percent 13 2 2 2" xfId="5663"/>
    <cellStyle name="Percent 13 2 2 2 2" xfId="10127"/>
    <cellStyle name="Percent 13 2 2 3" xfId="7899"/>
    <cellStyle name="Percent 13 2 3" xfId="3978"/>
    <cellStyle name="Percent 13 2 3 2" xfId="5107"/>
    <cellStyle name="Percent 13 2 3 2 2" xfId="9571"/>
    <cellStyle name="Percent 13 2 3 3" xfId="8456"/>
    <cellStyle name="Percent 13 2 4" xfId="4550"/>
    <cellStyle name="Percent 13 2 4 2" xfId="9014"/>
    <cellStyle name="Percent 13 2 5" xfId="6220"/>
    <cellStyle name="Percent 13 2 5 2" xfId="10684"/>
    <cellStyle name="Percent 13 2 6" xfId="6786"/>
    <cellStyle name="Percent 13 2 6 2" xfId="11241"/>
    <cellStyle name="Percent 13 2 7" xfId="7343"/>
    <cellStyle name="Percent 13 3" xfId="2703"/>
    <cellStyle name="Percent 13 4" xfId="1580"/>
    <cellStyle name="Percent 14" xfId="979"/>
    <cellStyle name="Percent 14 2" xfId="2523"/>
    <cellStyle name="Percent 14 2 2" xfId="3412"/>
    <cellStyle name="Percent 14 2 2 2" xfId="5680"/>
    <cellStyle name="Percent 14 2 2 2 2" xfId="10144"/>
    <cellStyle name="Percent 14 2 2 3" xfId="7916"/>
    <cellStyle name="Percent 14 2 3" xfId="3995"/>
    <cellStyle name="Percent 14 2 3 2" xfId="5124"/>
    <cellStyle name="Percent 14 2 3 2 2" xfId="9588"/>
    <cellStyle name="Percent 14 2 3 3" xfId="8473"/>
    <cellStyle name="Percent 14 2 4" xfId="4567"/>
    <cellStyle name="Percent 14 2 4 2" xfId="9031"/>
    <cellStyle name="Percent 14 2 5" xfId="6237"/>
    <cellStyle name="Percent 14 2 5 2" xfId="10701"/>
    <cellStyle name="Percent 14 2 6" xfId="6803"/>
    <cellStyle name="Percent 14 2 6 2" xfId="11258"/>
    <cellStyle name="Percent 14 2 7" xfId="7360"/>
    <cellStyle name="Percent 14 3" xfId="2739"/>
    <cellStyle name="Percent 14 4" xfId="1581"/>
    <cellStyle name="Percent 15" xfId="982"/>
    <cellStyle name="Percent 15 2" xfId="2519"/>
    <cellStyle name="Percent 15 2 2" xfId="3408"/>
    <cellStyle name="Percent 15 2 2 2" xfId="5676"/>
    <cellStyle name="Percent 15 2 2 2 2" xfId="10140"/>
    <cellStyle name="Percent 15 2 2 3" xfId="7912"/>
    <cellStyle name="Percent 15 2 3" xfId="3991"/>
    <cellStyle name="Percent 15 2 3 2" xfId="5120"/>
    <cellStyle name="Percent 15 2 3 2 2" xfId="9584"/>
    <cellStyle name="Percent 15 2 3 3" xfId="8469"/>
    <cellStyle name="Percent 15 2 4" xfId="4563"/>
    <cellStyle name="Percent 15 2 4 2" xfId="9027"/>
    <cellStyle name="Percent 15 2 5" xfId="6233"/>
    <cellStyle name="Percent 15 2 5 2" xfId="10697"/>
    <cellStyle name="Percent 15 2 6" xfId="6799"/>
    <cellStyle name="Percent 15 2 6 2" xfId="11254"/>
    <cellStyle name="Percent 15 2 7" xfId="7356"/>
    <cellStyle name="Percent 15 3" xfId="2740"/>
    <cellStyle name="Percent 15 4" xfId="1582"/>
    <cellStyle name="Percent 16" xfId="985"/>
    <cellStyle name="Percent 16 2" xfId="2527"/>
    <cellStyle name="Percent 16 2 2" xfId="3416"/>
    <cellStyle name="Percent 16 2 2 2" xfId="5684"/>
    <cellStyle name="Percent 16 2 2 2 2" xfId="10148"/>
    <cellStyle name="Percent 16 2 2 3" xfId="7920"/>
    <cellStyle name="Percent 16 2 3" xfId="3999"/>
    <cellStyle name="Percent 16 2 3 2" xfId="5128"/>
    <cellStyle name="Percent 16 2 3 2 2" xfId="9592"/>
    <cellStyle name="Percent 16 2 3 3" xfId="8477"/>
    <cellStyle name="Percent 16 2 4" xfId="4571"/>
    <cellStyle name="Percent 16 2 4 2" xfId="9035"/>
    <cellStyle name="Percent 16 2 5" xfId="6241"/>
    <cellStyle name="Percent 16 2 5 2" xfId="10705"/>
    <cellStyle name="Percent 16 2 6" xfId="6807"/>
    <cellStyle name="Percent 16 2 6 2" xfId="11262"/>
    <cellStyle name="Percent 16 2 7" xfId="7364"/>
    <cellStyle name="Percent 16 3" xfId="2750"/>
    <cellStyle name="Percent 16 4" xfId="1583"/>
    <cellStyle name="Percent 17" xfId="1002"/>
    <cellStyle name="Percent 17 2" xfId="2513"/>
    <cellStyle name="Percent 17 2 2" xfId="3402"/>
    <cellStyle name="Percent 17 2 2 2" xfId="5670"/>
    <cellStyle name="Percent 17 2 2 2 2" xfId="10134"/>
    <cellStyle name="Percent 17 2 2 3" xfId="7906"/>
    <cellStyle name="Percent 17 2 3" xfId="3985"/>
    <cellStyle name="Percent 17 2 3 2" xfId="5114"/>
    <cellStyle name="Percent 17 2 3 2 2" xfId="9578"/>
    <cellStyle name="Percent 17 2 3 3" xfId="8463"/>
    <cellStyle name="Percent 17 2 4" xfId="4557"/>
    <cellStyle name="Percent 17 2 4 2" xfId="9021"/>
    <cellStyle name="Percent 17 2 5" xfId="6227"/>
    <cellStyle name="Percent 17 2 5 2" xfId="10691"/>
    <cellStyle name="Percent 17 2 6" xfId="6793"/>
    <cellStyle name="Percent 17 2 6 2" xfId="11248"/>
    <cellStyle name="Percent 17 2 7" xfId="7350"/>
    <cellStyle name="Percent 17 3" xfId="2730"/>
    <cellStyle name="Percent 17 4" xfId="11873"/>
    <cellStyle name="Percent 17 5" xfId="1584"/>
    <cellStyle name="Percent 18" xfId="1013"/>
    <cellStyle name="Percent 18 2" xfId="2529"/>
    <cellStyle name="Percent 18 2 2" xfId="3418"/>
    <cellStyle name="Percent 18 2 2 2" xfId="5686"/>
    <cellStyle name="Percent 18 2 2 2 2" xfId="10150"/>
    <cellStyle name="Percent 18 2 2 3" xfId="7922"/>
    <cellStyle name="Percent 18 2 3" xfId="4001"/>
    <cellStyle name="Percent 18 2 3 2" xfId="5130"/>
    <cellStyle name="Percent 18 2 3 2 2" xfId="9594"/>
    <cellStyle name="Percent 18 2 3 3" xfId="8479"/>
    <cellStyle name="Percent 18 2 4" xfId="4573"/>
    <cellStyle name="Percent 18 2 4 2" xfId="9037"/>
    <cellStyle name="Percent 18 2 5" xfId="6243"/>
    <cellStyle name="Percent 18 2 5 2" xfId="10707"/>
    <cellStyle name="Percent 18 2 6" xfId="6809"/>
    <cellStyle name="Percent 18 2 6 2" xfId="11264"/>
    <cellStyle name="Percent 18 2 7" xfId="7366"/>
    <cellStyle name="Percent 18 3" xfId="2741"/>
    <cellStyle name="Percent 18 4" xfId="11884"/>
    <cellStyle name="Percent 18 5" xfId="1585"/>
    <cellStyle name="Percent 19" xfId="1023"/>
    <cellStyle name="Percent 19 2" xfId="2520"/>
    <cellStyle name="Percent 19 2 2" xfId="3409"/>
    <cellStyle name="Percent 19 2 2 2" xfId="5677"/>
    <cellStyle name="Percent 19 2 2 2 2" xfId="10141"/>
    <cellStyle name="Percent 19 2 2 3" xfId="7913"/>
    <cellStyle name="Percent 19 2 3" xfId="3992"/>
    <cellStyle name="Percent 19 2 3 2" xfId="5121"/>
    <cellStyle name="Percent 19 2 3 2 2" xfId="9585"/>
    <cellStyle name="Percent 19 2 3 3" xfId="8470"/>
    <cellStyle name="Percent 19 2 4" xfId="4564"/>
    <cellStyle name="Percent 19 2 4 2" xfId="9028"/>
    <cellStyle name="Percent 19 2 5" xfId="6234"/>
    <cellStyle name="Percent 19 2 5 2" xfId="10698"/>
    <cellStyle name="Percent 19 2 6" xfId="6800"/>
    <cellStyle name="Percent 19 2 6 2" xfId="11255"/>
    <cellStyle name="Percent 19 2 7" xfId="7357"/>
    <cellStyle name="Percent 19 3" xfId="2743"/>
    <cellStyle name="Percent 19 4" xfId="11894"/>
    <cellStyle name="Percent 19 5" xfId="1586"/>
    <cellStyle name="Percent 2" xfId="558"/>
    <cellStyle name="Percent 2 10" xfId="11575"/>
    <cellStyle name="Percent 2 11" xfId="1143"/>
    <cellStyle name="Percent 2 2" xfId="611"/>
    <cellStyle name="Percent 2 2 2" xfId="623"/>
    <cellStyle name="Percent 2 2 2 2" xfId="660"/>
    <cellStyle name="Percent 2 2 2 2 2" xfId="839"/>
    <cellStyle name="Percent 2 2 2 2 2 2" xfId="11758"/>
    <cellStyle name="Percent 2 2 2 2 3" xfId="909"/>
    <cellStyle name="Percent 2 2 2 2 3 2" xfId="11816"/>
    <cellStyle name="Percent 2 2 2 2 4" xfId="11646"/>
    <cellStyle name="Percent 2 2 2 3" xfId="806"/>
    <cellStyle name="Percent 2 2 2 3 2" xfId="11727"/>
    <cellStyle name="Percent 2 2 2 4" xfId="879"/>
    <cellStyle name="Percent 2 2 2 4 2" xfId="11786"/>
    <cellStyle name="Percent 2 2 2 5" xfId="11609"/>
    <cellStyle name="Percent 2 2 2 6" xfId="2457"/>
    <cellStyle name="Percent 2 2 3" xfId="631"/>
    <cellStyle name="Percent 2 2 3 2" xfId="668"/>
    <cellStyle name="Percent 2 2 3 2 2" xfId="847"/>
    <cellStyle name="Percent 2 2 3 2 2 2" xfId="11766"/>
    <cellStyle name="Percent 2 2 3 2 3" xfId="917"/>
    <cellStyle name="Percent 2 2 3 2 3 2" xfId="11824"/>
    <cellStyle name="Percent 2 2 3 2 4" xfId="11654"/>
    <cellStyle name="Percent 2 2 3 3" xfId="814"/>
    <cellStyle name="Percent 2 2 3 3 2" xfId="11735"/>
    <cellStyle name="Percent 2 2 3 4" xfId="887"/>
    <cellStyle name="Percent 2 2 3 4 2" xfId="11794"/>
    <cellStyle name="Percent 2 2 3 5" xfId="11617"/>
    <cellStyle name="Percent 2 2 3 6" xfId="2688"/>
    <cellStyle name="Percent 2 2 4" xfId="652"/>
    <cellStyle name="Percent 2 2 4 2" xfId="831"/>
    <cellStyle name="Percent 2 2 4 2 2" xfId="11750"/>
    <cellStyle name="Percent 2 2 4 3" xfId="901"/>
    <cellStyle name="Percent 2 2 4 3 2" xfId="11808"/>
    <cellStyle name="Percent 2 2 4 4" xfId="11638"/>
    <cellStyle name="Percent 2 2 4 5" xfId="1588"/>
    <cellStyle name="Percent 2 2 5" xfId="798"/>
    <cellStyle name="Percent 2 2 5 2" xfId="11719"/>
    <cellStyle name="Percent 2 2 6" xfId="871"/>
    <cellStyle name="Percent 2 2 6 2" xfId="11778"/>
    <cellStyle name="Percent 2 2 7" xfId="11600"/>
    <cellStyle name="Percent 2 2 8" xfId="1242"/>
    <cellStyle name="Percent 2 3" xfId="616"/>
    <cellStyle name="Percent 2 3 2" xfId="624"/>
    <cellStyle name="Percent 2 3 2 2" xfId="661"/>
    <cellStyle name="Percent 2 3 2 2 2" xfId="840"/>
    <cellStyle name="Percent 2 3 2 2 2 2" xfId="10137"/>
    <cellStyle name="Percent 2 3 2 2 2 3" xfId="11759"/>
    <cellStyle name="Percent 2 3 2 2 2 4" xfId="5673"/>
    <cellStyle name="Percent 2 3 2 2 3" xfId="910"/>
    <cellStyle name="Percent 2 3 2 2 3 2" xfId="11817"/>
    <cellStyle name="Percent 2 3 2 2 3 3" xfId="7909"/>
    <cellStyle name="Percent 2 3 2 2 4" xfId="11647"/>
    <cellStyle name="Percent 2 3 2 2 5" xfId="3405"/>
    <cellStyle name="Percent 2 3 2 3" xfId="807"/>
    <cellStyle name="Percent 2 3 2 3 2" xfId="5117"/>
    <cellStyle name="Percent 2 3 2 3 2 2" xfId="9581"/>
    <cellStyle name="Percent 2 3 2 3 3" xfId="8466"/>
    <cellStyle name="Percent 2 3 2 3 4" xfId="11728"/>
    <cellStyle name="Percent 2 3 2 3 5" xfId="3988"/>
    <cellStyle name="Percent 2 3 2 4" xfId="880"/>
    <cellStyle name="Percent 2 3 2 4 2" xfId="9024"/>
    <cellStyle name="Percent 2 3 2 4 3" xfId="11787"/>
    <cellStyle name="Percent 2 3 2 4 4" xfId="4560"/>
    <cellStyle name="Percent 2 3 2 5" xfId="6230"/>
    <cellStyle name="Percent 2 3 2 5 2" xfId="10694"/>
    <cellStyle name="Percent 2 3 2 6" xfId="6796"/>
    <cellStyle name="Percent 2 3 2 6 2" xfId="11251"/>
    <cellStyle name="Percent 2 3 2 7" xfId="7353"/>
    <cellStyle name="Percent 2 3 2 8" xfId="11610"/>
    <cellStyle name="Percent 2 3 2 9" xfId="2516"/>
    <cellStyle name="Percent 2 3 3" xfId="632"/>
    <cellStyle name="Percent 2 3 3 2" xfId="669"/>
    <cellStyle name="Percent 2 3 3 2 2" xfId="848"/>
    <cellStyle name="Percent 2 3 3 2 2 2" xfId="11767"/>
    <cellStyle name="Percent 2 3 3 2 3" xfId="918"/>
    <cellStyle name="Percent 2 3 3 2 3 2" xfId="11825"/>
    <cellStyle name="Percent 2 3 3 2 4" xfId="11655"/>
    <cellStyle name="Percent 2 3 3 3" xfId="815"/>
    <cellStyle name="Percent 2 3 3 3 2" xfId="11736"/>
    <cellStyle name="Percent 2 3 3 4" xfId="888"/>
    <cellStyle name="Percent 2 3 3 4 2" xfId="11795"/>
    <cellStyle name="Percent 2 3 3 5" xfId="11618"/>
    <cellStyle name="Percent 2 3 4" xfId="653"/>
    <cellStyle name="Percent 2 3 4 2" xfId="832"/>
    <cellStyle name="Percent 2 3 4 2 2" xfId="11751"/>
    <cellStyle name="Percent 2 3 4 3" xfId="902"/>
    <cellStyle name="Percent 2 3 4 3 2" xfId="11809"/>
    <cellStyle name="Percent 2 3 4 4" xfId="11639"/>
    <cellStyle name="Percent 2 3 5" xfId="799"/>
    <cellStyle name="Percent 2 3 5 2" xfId="11720"/>
    <cellStyle name="Percent 2 3 6" xfId="872"/>
    <cellStyle name="Percent 2 3 6 2" xfId="11779"/>
    <cellStyle name="Percent 2 3 7" xfId="11602"/>
    <cellStyle name="Percent 2 3 8" xfId="1589"/>
    <cellStyle name="Percent 2 4" xfId="980"/>
    <cellStyle name="Percent 2 4 2" xfId="11855"/>
    <cellStyle name="Percent 2 4 3" xfId="1802"/>
    <cellStyle name="Percent 2 5" xfId="983"/>
    <cellStyle name="Percent 2 5 2" xfId="2934"/>
    <cellStyle name="Percent 2 5 2 2" xfId="5203"/>
    <cellStyle name="Percent 2 5 2 2 2" xfId="9667"/>
    <cellStyle name="Percent 2 5 2 3" xfId="7439"/>
    <cellStyle name="Percent 2 5 3" xfId="3517"/>
    <cellStyle name="Percent 2 5 3 2" xfId="4647"/>
    <cellStyle name="Percent 2 5 3 2 2" xfId="9111"/>
    <cellStyle name="Percent 2 5 3 3" xfId="7996"/>
    <cellStyle name="Percent 2 5 4" xfId="4090"/>
    <cellStyle name="Percent 2 5 4 2" xfId="8554"/>
    <cellStyle name="Percent 2 5 5" xfId="5760"/>
    <cellStyle name="Percent 2 5 5 2" xfId="10224"/>
    <cellStyle name="Percent 2 5 6" xfId="6326"/>
    <cellStyle name="Percent 2 5 6 2" xfId="10781"/>
    <cellStyle name="Percent 2 5 7" xfId="6883"/>
    <cellStyle name="Percent 2 5 8" xfId="11856"/>
    <cellStyle name="Percent 2 5 9" xfId="1925"/>
    <cellStyle name="Percent 2 6" xfId="1113"/>
    <cellStyle name="Percent 2 6 2" xfId="4041"/>
    <cellStyle name="Percent 2 6 2 2" xfId="5711"/>
    <cellStyle name="Percent 2 6 2 2 2" xfId="10175"/>
    <cellStyle name="Percent 2 6 2 3" xfId="8505"/>
    <cellStyle name="Percent 2 6 3" xfId="4598"/>
    <cellStyle name="Percent 2 6 3 2" xfId="9062"/>
    <cellStyle name="Percent 2 6 4" xfId="6277"/>
    <cellStyle name="Percent 2 6 4 2" xfId="10732"/>
    <cellStyle name="Percent 2 6 5" xfId="6834"/>
    <cellStyle name="Percent 2 6 5 2" xfId="11289"/>
    <cellStyle name="Percent 2 6 6" xfId="7947"/>
    <cellStyle name="Percent 2 6 7" xfId="11978"/>
    <cellStyle name="Percent 2 6 8" xfId="3463"/>
    <cellStyle name="Percent 2 7" xfId="11317"/>
    <cellStyle name="Percent 2 8" xfId="11347"/>
    <cellStyle name="Percent 2 9" xfId="1587"/>
    <cellStyle name="Percent 20" xfId="1036"/>
    <cellStyle name="Percent 20 2" xfId="2517"/>
    <cellStyle name="Percent 20 2 2" xfId="3406"/>
    <cellStyle name="Percent 20 2 2 2" xfId="5674"/>
    <cellStyle name="Percent 20 2 2 2 2" xfId="10138"/>
    <cellStyle name="Percent 20 2 2 3" xfId="7910"/>
    <cellStyle name="Percent 20 2 3" xfId="3989"/>
    <cellStyle name="Percent 20 2 3 2" xfId="5118"/>
    <cellStyle name="Percent 20 2 3 2 2" xfId="9582"/>
    <cellStyle name="Percent 20 2 3 3" xfId="8467"/>
    <cellStyle name="Percent 20 2 4" xfId="4561"/>
    <cellStyle name="Percent 20 2 4 2" xfId="9025"/>
    <cellStyle name="Percent 20 2 5" xfId="6231"/>
    <cellStyle name="Percent 20 2 5 2" xfId="10695"/>
    <cellStyle name="Percent 20 2 6" xfId="6797"/>
    <cellStyle name="Percent 20 2 6 2" xfId="11252"/>
    <cellStyle name="Percent 20 2 7" xfId="7354"/>
    <cellStyle name="Percent 20 3" xfId="2738"/>
    <cellStyle name="Percent 20 4" xfId="11907"/>
    <cellStyle name="Percent 20 5" xfId="1590"/>
    <cellStyle name="Percent 21" xfId="1038"/>
    <cellStyle name="Percent 21 2" xfId="2500"/>
    <cellStyle name="Percent 21 3" xfId="11909"/>
    <cellStyle name="Percent 21 4" xfId="1591"/>
    <cellStyle name="Percent 22" xfId="1017"/>
    <cellStyle name="Percent 22 2" xfId="2501"/>
    <cellStyle name="Percent 22 3" xfId="11888"/>
    <cellStyle name="Percent 22 4" xfId="1592"/>
    <cellStyle name="Percent 23" xfId="1016"/>
    <cellStyle name="Percent 23 2" xfId="2481"/>
    <cellStyle name="Percent 23 3" xfId="11887"/>
    <cellStyle name="Percent 23 4" xfId="1593"/>
    <cellStyle name="Percent 24" xfId="1020"/>
    <cellStyle name="Percent 24 2" xfId="2559"/>
    <cellStyle name="Percent 24 3" xfId="11891"/>
    <cellStyle name="Percent 24 4" xfId="1594"/>
    <cellStyle name="Percent 25" xfId="1034"/>
    <cellStyle name="Percent 25 2" xfId="2539"/>
    <cellStyle name="Percent 25 3" xfId="11905"/>
    <cellStyle name="Percent 25 4" xfId="1595"/>
    <cellStyle name="Percent 26" xfId="1037"/>
    <cellStyle name="Percent 26 2" xfId="2483"/>
    <cellStyle name="Percent 26 3" xfId="11908"/>
    <cellStyle name="Percent 26 4" xfId="1596"/>
    <cellStyle name="Percent 27" xfId="1035"/>
    <cellStyle name="Percent 27 2" xfId="2560"/>
    <cellStyle name="Percent 27 3" xfId="11906"/>
    <cellStyle name="Percent 27 4" xfId="1597"/>
    <cellStyle name="Percent 28" xfId="1033"/>
    <cellStyle name="Percent 28 2" xfId="2496"/>
    <cellStyle name="Percent 28 3" xfId="11904"/>
    <cellStyle name="Percent 28 4" xfId="1598"/>
    <cellStyle name="Percent 29" xfId="1040"/>
    <cellStyle name="Percent 29 2" xfId="2475"/>
    <cellStyle name="Percent 29 3" xfId="11911"/>
    <cellStyle name="Percent 29 4" xfId="1599"/>
    <cellStyle name="Percent 3" xfId="559"/>
    <cellStyle name="Percent 3 10" xfId="1146"/>
    <cellStyle name="Percent 3 2" xfId="612"/>
    <cellStyle name="Percent 3 2 2" xfId="770"/>
    <cellStyle name="Percent 3 2 2 2" xfId="3394"/>
    <cellStyle name="Percent 3 2 2 2 2" xfId="5662"/>
    <cellStyle name="Percent 3 2 2 2 2 2" xfId="10126"/>
    <cellStyle name="Percent 3 2 2 2 3" xfId="7898"/>
    <cellStyle name="Percent 3 2 2 3" xfId="3977"/>
    <cellStyle name="Percent 3 2 2 3 2" xfId="5106"/>
    <cellStyle name="Percent 3 2 2 3 2 2" xfId="9570"/>
    <cellStyle name="Percent 3 2 2 3 3" xfId="8455"/>
    <cellStyle name="Percent 3 2 2 4" xfId="4549"/>
    <cellStyle name="Percent 3 2 2 4 2" xfId="9013"/>
    <cellStyle name="Percent 3 2 2 5" xfId="6219"/>
    <cellStyle name="Percent 3 2 2 5 2" xfId="10683"/>
    <cellStyle name="Percent 3 2 2 6" xfId="6785"/>
    <cellStyle name="Percent 3 2 2 6 2" xfId="11240"/>
    <cellStyle name="Percent 3 2 2 7" xfId="7342"/>
    <cellStyle name="Percent 3 2 2 8" xfId="11705"/>
    <cellStyle name="Percent 3 2 2 9" xfId="2504"/>
    <cellStyle name="Percent 3 2 3" xfId="1123"/>
    <cellStyle name="Percent 3 2 3 2" xfId="11988"/>
    <cellStyle name="Percent 3 2 3 3" xfId="2689"/>
    <cellStyle name="Percent 3 2 4" xfId="11327"/>
    <cellStyle name="Percent 3 2 5" xfId="11358"/>
    <cellStyle name="Percent 3 2 6" xfId="1601"/>
    <cellStyle name="Percent 3 2 7" xfId="11601"/>
    <cellStyle name="Percent 3 2 8" xfId="1153"/>
    <cellStyle name="Percent 3 3" xfId="636"/>
    <cellStyle name="Percent 3 3 2" xfId="2708"/>
    <cellStyle name="Percent 3 3 2 2" xfId="3431"/>
    <cellStyle name="Percent 3 3 2 2 2" xfId="5699"/>
    <cellStyle name="Percent 3 3 2 2 2 2" xfId="10163"/>
    <cellStyle name="Percent 3 3 2 2 3" xfId="7935"/>
    <cellStyle name="Percent 3 3 2 3" xfId="4014"/>
    <cellStyle name="Percent 3 3 2 3 2" xfId="5143"/>
    <cellStyle name="Percent 3 3 2 3 2 2" xfId="9607"/>
    <cellStyle name="Percent 3 3 2 3 3" xfId="8492"/>
    <cellStyle name="Percent 3 3 2 4" xfId="4586"/>
    <cellStyle name="Percent 3 3 2 4 2" xfId="9050"/>
    <cellStyle name="Percent 3 3 2 5" xfId="6256"/>
    <cellStyle name="Percent 3 3 2 5 2" xfId="10720"/>
    <cellStyle name="Percent 3 3 2 6" xfId="6822"/>
    <cellStyle name="Percent 3 3 2 6 2" xfId="11277"/>
    <cellStyle name="Percent 3 3 2 7" xfId="7379"/>
    <cellStyle name="Percent 3 3 3" xfId="11622"/>
    <cellStyle name="Percent 3 3 4" xfId="1602"/>
    <cellStyle name="Percent 3 4" xfId="744"/>
    <cellStyle name="Percent 3 4 2" xfId="2767"/>
    <cellStyle name="Percent 3 4 3" xfId="11701"/>
    <cellStyle name="Percent 3 4 4" xfId="1603"/>
    <cellStyle name="Percent 3 5" xfId="1116"/>
    <cellStyle name="Percent 3 5 2" xfId="11981"/>
    <cellStyle name="Percent 3 5 3" xfId="1803"/>
    <cellStyle name="Percent 3 6" xfId="1926"/>
    <cellStyle name="Percent 3 6 2" xfId="2935"/>
    <cellStyle name="Percent 3 6 2 2" xfId="5204"/>
    <cellStyle name="Percent 3 6 2 2 2" xfId="9668"/>
    <cellStyle name="Percent 3 6 2 3" xfId="7440"/>
    <cellStyle name="Percent 3 6 3" xfId="3518"/>
    <cellStyle name="Percent 3 6 3 2" xfId="4648"/>
    <cellStyle name="Percent 3 6 3 2 2" xfId="9112"/>
    <cellStyle name="Percent 3 6 3 3" xfId="7997"/>
    <cellStyle name="Percent 3 6 4" xfId="4091"/>
    <cellStyle name="Percent 3 6 4 2" xfId="8555"/>
    <cellStyle name="Percent 3 6 5" xfId="5761"/>
    <cellStyle name="Percent 3 6 5 2" xfId="10225"/>
    <cellStyle name="Percent 3 6 6" xfId="6327"/>
    <cellStyle name="Percent 3 6 6 2" xfId="10782"/>
    <cellStyle name="Percent 3 6 7" xfId="6884"/>
    <cellStyle name="Percent 3 7" xfId="11320"/>
    <cellStyle name="Percent 3 8" xfId="11350"/>
    <cellStyle name="Percent 3 9" xfId="1600"/>
    <cellStyle name="Percent 30" xfId="1047"/>
    <cellStyle name="Percent 30 2" xfId="2479"/>
    <cellStyle name="Percent 30 3" xfId="11918"/>
    <cellStyle name="Percent 30 4" xfId="1604"/>
    <cellStyle name="Percent 31" xfId="1056"/>
    <cellStyle name="Percent 31 2" xfId="2556"/>
    <cellStyle name="Percent 31 3" xfId="11927"/>
    <cellStyle name="Percent 31 4" xfId="1605"/>
    <cellStyle name="Percent 32" xfId="1058"/>
    <cellStyle name="Percent 32 2" xfId="2540"/>
    <cellStyle name="Percent 32 3" xfId="11929"/>
    <cellStyle name="Percent 32 4" xfId="1606"/>
    <cellStyle name="Percent 33" xfId="1029"/>
    <cellStyle name="Percent 33 2" xfId="2484"/>
    <cellStyle name="Percent 33 3" xfId="11900"/>
    <cellStyle name="Percent 33 4" xfId="1607"/>
    <cellStyle name="Percent 34" xfId="1053"/>
    <cellStyle name="Percent 34 2" xfId="11924"/>
    <cellStyle name="Percent 34 3" xfId="1638"/>
    <cellStyle name="Percent 35" xfId="1052"/>
    <cellStyle name="Percent 35 2" xfId="2482"/>
    <cellStyle name="Percent 35 3" xfId="11923"/>
    <cellStyle name="Percent 35 4" xfId="1641"/>
    <cellStyle name="Percent 36" xfId="1054"/>
    <cellStyle name="Percent 36 2" xfId="11925"/>
    <cellStyle name="Percent 36 3" xfId="1652"/>
    <cellStyle name="Percent 37" xfId="1057"/>
    <cellStyle name="Percent 37 2" xfId="11928"/>
    <cellStyle name="Percent 37 3" xfId="1660"/>
    <cellStyle name="Percent 38" xfId="1055"/>
    <cellStyle name="Percent 38 2" xfId="11926"/>
    <cellStyle name="Percent 38 3" xfId="1661"/>
    <cellStyle name="Percent 39" xfId="1094"/>
    <cellStyle name="Percent 4" xfId="613"/>
    <cellStyle name="Percent 4 10" xfId="1148"/>
    <cellStyle name="Percent 4 2" xfId="789"/>
    <cellStyle name="Percent 4 2 2" xfId="1805"/>
    <cellStyle name="Percent 4 2 3" xfId="11713"/>
    <cellStyle name="Percent 4 2 4" xfId="1609"/>
    <cellStyle name="Percent 4 3" xfId="1118"/>
    <cellStyle name="Percent 4 3 2" xfId="2510"/>
    <cellStyle name="Percent 4 3 2 2" xfId="3399"/>
    <cellStyle name="Percent 4 3 2 2 2" xfId="5667"/>
    <cellStyle name="Percent 4 3 2 2 2 2" xfId="10131"/>
    <cellStyle name="Percent 4 3 2 2 3" xfId="7903"/>
    <cellStyle name="Percent 4 3 2 3" xfId="3982"/>
    <cellStyle name="Percent 4 3 2 3 2" xfId="5111"/>
    <cellStyle name="Percent 4 3 2 3 2 2" xfId="9575"/>
    <cellStyle name="Percent 4 3 2 3 3" xfId="8460"/>
    <cellStyle name="Percent 4 3 2 4" xfId="4554"/>
    <cellStyle name="Percent 4 3 2 4 2" xfId="9018"/>
    <cellStyle name="Percent 4 3 2 5" xfId="6224"/>
    <cellStyle name="Percent 4 3 2 5 2" xfId="10688"/>
    <cellStyle name="Percent 4 3 2 6" xfId="6790"/>
    <cellStyle name="Percent 4 3 2 6 2" xfId="11245"/>
    <cellStyle name="Percent 4 3 2 7" xfId="7347"/>
    <cellStyle name="Percent 4 3 3" xfId="2690"/>
    <cellStyle name="Percent 4 3 4" xfId="11983"/>
    <cellStyle name="Percent 4 3 5" xfId="1610"/>
    <cellStyle name="Percent 4 4" xfId="1611"/>
    <cellStyle name="Percent 4 4 2" xfId="2709"/>
    <cellStyle name="Percent 4 4 2 2" xfId="3432"/>
    <cellStyle name="Percent 4 4 2 2 2" xfId="5700"/>
    <cellStyle name="Percent 4 4 2 2 2 2" xfId="10164"/>
    <cellStyle name="Percent 4 4 2 2 3" xfId="7936"/>
    <cellStyle name="Percent 4 4 2 3" xfId="4015"/>
    <cellStyle name="Percent 4 4 2 3 2" xfId="5144"/>
    <cellStyle name="Percent 4 4 2 3 2 2" xfId="9608"/>
    <cellStyle name="Percent 4 4 2 3 3" xfId="8493"/>
    <cellStyle name="Percent 4 4 2 4" xfId="4587"/>
    <cellStyle name="Percent 4 4 2 4 2" xfId="9051"/>
    <cellStyle name="Percent 4 4 2 5" xfId="6257"/>
    <cellStyle name="Percent 4 4 2 5 2" xfId="10721"/>
    <cellStyle name="Percent 4 4 2 6" xfId="6823"/>
    <cellStyle name="Percent 4 4 2 6 2" xfId="11278"/>
    <cellStyle name="Percent 4 4 2 7" xfId="7380"/>
    <cellStyle name="Percent 4 5" xfId="1804"/>
    <cellStyle name="Percent 4 6" xfId="1927"/>
    <cellStyle name="Percent 4 6 2" xfId="2936"/>
    <cellStyle name="Percent 4 6 2 2" xfId="5205"/>
    <cellStyle name="Percent 4 6 2 2 2" xfId="9669"/>
    <cellStyle name="Percent 4 6 2 3" xfId="7441"/>
    <cellStyle name="Percent 4 6 3" xfId="3519"/>
    <cellStyle name="Percent 4 6 3 2" xfId="4649"/>
    <cellStyle name="Percent 4 6 3 2 2" xfId="9113"/>
    <cellStyle name="Percent 4 6 3 3" xfId="7998"/>
    <cellStyle name="Percent 4 6 4" xfId="4092"/>
    <cellStyle name="Percent 4 6 4 2" xfId="8556"/>
    <cellStyle name="Percent 4 6 5" xfId="5762"/>
    <cellStyle name="Percent 4 6 5 2" xfId="10226"/>
    <cellStyle name="Percent 4 6 6" xfId="6328"/>
    <cellStyle name="Percent 4 6 6 2" xfId="10783"/>
    <cellStyle name="Percent 4 6 7" xfId="6885"/>
    <cellStyle name="Percent 4 7" xfId="11322"/>
    <cellStyle name="Percent 4 8" xfId="11352"/>
    <cellStyle name="Percent 4 9" xfId="1608"/>
    <cellStyle name="Percent 40" xfId="1092"/>
    <cellStyle name="Percent 41" xfId="2476"/>
    <cellStyle name="Percent 42" xfId="2541"/>
    <cellStyle name="Percent 43" xfId="2485"/>
    <cellStyle name="Percent 44" xfId="2552"/>
    <cellStyle name="Percent 45" xfId="2554"/>
    <cellStyle name="Percent 46" xfId="2495"/>
    <cellStyle name="Percent 47" xfId="2549"/>
    <cellStyle name="Percent 48" xfId="2491"/>
    <cellStyle name="Percent 49" xfId="2478"/>
    <cellStyle name="Percent 5" xfId="645"/>
    <cellStyle name="Percent 5 2" xfId="1806"/>
    <cellStyle name="Percent 5 2 2" xfId="2503"/>
    <cellStyle name="Percent 5 2 2 2" xfId="3393"/>
    <cellStyle name="Percent 5 2 2 2 2" xfId="5661"/>
    <cellStyle name="Percent 5 2 2 2 2 2" xfId="10125"/>
    <cellStyle name="Percent 5 2 2 2 3" xfId="7897"/>
    <cellStyle name="Percent 5 2 2 3" xfId="3976"/>
    <cellStyle name="Percent 5 2 2 3 2" xfId="5105"/>
    <cellStyle name="Percent 5 2 2 3 2 2" xfId="9569"/>
    <cellStyle name="Percent 5 2 2 3 3" xfId="8454"/>
    <cellStyle name="Percent 5 2 2 4" xfId="4548"/>
    <cellStyle name="Percent 5 2 2 4 2" xfId="9012"/>
    <cellStyle name="Percent 5 2 2 5" xfId="6218"/>
    <cellStyle name="Percent 5 2 2 5 2" xfId="10682"/>
    <cellStyle name="Percent 5 2 2 6" xfId="6784"/>
    <cellStyle name="Percent 5 2 2 6 2" xfId="11239"/>
    <cellStyle name="Percent 5 2 2 7" xfId="7341"/>
    <cellStyle name="Percent 5 3" xfId="11631"/>
    <cellStyle name="Percent 5 4" xfId="1612"/>
    <cellStyle name="Percent 50" xfId="2543"/>
    <cellStyle name="Percent 51" xfId="2570"/>
    <cellStyle name="Percent 52" xfId="2489"/>
    <cellStyle name="Percent 53" xfId="2571"/>
    <cellStyle name="Percent 54" xfId="2564"/>
    <cellStyle name="Percent 55" xfId="2545"/>
    <cellStyle name="Percent 56" xfId="2566"/>
    <cellStyle name="Percent 57" xfId="2562"/>
    <cellStyle name="Percent 58" xfId="2464"/>
    <cellStyle name="Percent 59" xfId="2575"/>
    <cellStyle name="Percent 6" xfId="640"/>
    <cellStyle name="Percent 6 2" xfId="821"/>
    <cellStyle name="Percent 6 2 2" xfId="2756"/>
    <cellStyle name="Percent 6 2 2 2" xfId="3437"/>
    <cellStyle name="Percent 6 2 2 2 2" xfId="5705"/>
    <cellStyle name="Percent 6 2 2 2 2 2" xfId="10169"/>
    <cellStyle name="Percent 6 2 2 2 3" xfId="7941"/>
    <cellStyle name="Percent 6 2 2 3" xfId="4020"/>
    <cellStyle name="Percent 6 2 2 3 2" xfId="5149"/>
    <cellStyle name="Percent 6 2 2 3 2 2" xfId="9613"/>
    <cellStyle name="Percent 6 2 2 3 3" xfId="8498"/>
    <cellStyle name="Percent 6 2 2 4" xfId="4592"/>
    <cellStyle name="Percent 6 2 2 4 2" xfId="9056"/>
    <cellStyle name="Percent 6 2 2 5" xfId="6262"/>
    <cellStyle name="Percent 6 2 2 5 2" xfId="10726"/>
    <cellStyle name="Percent 6 2 2 6" xfId="6828"/>
    <cellStyle name="Percent 6 2 2 6 2" xfId="11283"/>
    <cellStyle name="Percent 6 2 2 7" xfId="7385"/>
    <cellStyle name="Percent 6 2 3" xfId="11741"/>
    <cellStyle name="Percent 6 2 4" xfId="1614"/>
    <cellStyle name="Percent 6 3" xfId="892"/>
    <cellStyle name="Percent 6 3 2" xfId="2763"/>
    <cellStyle name="Percent 6 3 2 2" xfId="3440"/>
    <cellStyle name="Percent 6 3 2 2 2" xfId="5708"/>
    <cellStyle name="Percent 6 3 2 2 2 2" xfId="10172"/>
    <cellStyle name="Percent 6 3 2 2 3" xfId="7944"/>
    <cellStyle name="Percent 6 3 2 3" xfId="4023"/>
    <cellStyle name="Percent 6 3 2 3 2" xfId="5152"/>
    <cellStyle name="Percent 6 3 2 3 2 2" xfId="9616"/>
    <cellStyle name="Percent 6 3 2 3 3" xfId="8501"/>
    <cellStyle name="Percent 6 3 2 4" xfId="4595"/>
    <cellStyle name="Percent 6 3 2 4 2" xfId="9059"/>
    <cellStyle name="Percent 6 3 2 5" xfId="6265"/>
    <cellStyle name="Percent 6 3 2 5 2" xfId="10729"/>
    <cellStyle name="Percent 6 3 2 6" xfId="6831"/>
    <cellStyle name="Percent 6 3 2 6 2" xfId="11286"/>
    <cellStyle name="Percent 6 3 2 7" xfId="7388"/>
    <cellStyle name="Percent 6 3 3" xfId="11799"/>
    <cellStyle name="Percent 6 3 4" xfId="1615"/>
    <cellStyle name="Percent 6 4" xfId="1616"/>
    <cellStyle name="Percent 6 4 2" xfId="2811"/>
    <cellStyle name="Percent 6 5" xfId="2511"/>
    <cellStyle name="Percent 6 5 2" xfId="3400"/>
    <cellStyle name="Percent 6 5 2 2" xfId="5668"/>
    <cellStyle name="Percent 6 5 2 2 2" xfId="10132"/>
    <cellStyle name="Percent 6 5 2 3" xfId="7904"/>
    <cellStyle name="Percent 6 5 3" xfId="3983"/>
    <cellStyle name="Percent 6 5 3 2" xfId="5112"/>
    <cellStyle name="Percent 6 5 3 2 2" xfId="9576"/>
    <cellStyle name="Percent 6 5 3 3" xfId="8461"/>
    <cellStyle name="Percent 6 5 4" xfId="4555"/>
    <cellStyle name="Percent 6 5 4 2" xfId="9019"/>
    <cellStyle name="Percent 6 5 5" xfId="6225"/>
    <cellStyle name="Percent 6 5 5 2" xfId="10689"/>
    <cellStyle name="Percent 6 5 6" xfId="6791"/>
    <cellStyle name="Percent 6 5 6 2" xfId="11246"/>
    <cellStyle name="Percent 6 5 7" xfId="7348"/>
    <cellStyle name="Percent 6 6" xfId="11626"/>
    <cellStyle name="Percent 6 7" xfId="1613"/>
    <cellStyle name="Percent 60" xfId="2691"/>
    <cellStyle name="Percent 61" xfId="2812"/>
    <cellStyle name="Percent 62" xfId="2599"/>
    <cellStyle name="Percent 63" xfId="2816"/>
    <cellStyle name="Percent 64" xfId="2744"/>
    <cellStyle name="Percent 65" xfId="2817"/>
    <cellStyle name="Percent 66" xfId="2602"/>
    <cellStyle name="Percent 67" xfId="2822"/>
    <cellStyle name="Percent 68" xfId="2813"/>
    <cellStyle name="Percent 69" xfId="2704"/>
    <cellStyle name="Percent 7" xfId="854"/>
    <cellStyle name="Percent 7 2" xfId="2526"/>
    <cellStyle name="Percent 7 2 2" xfId="3415"/>
    <cellStyle name="Percent 7 2 2 2" xfId="5683"/>
    <cellStyle name="Percent 7 2 2 2 2" xfId="10147"/>
    <cellStyle name="Percent 7 2 2 3" xfId="7919"/>
    <cellStyle name="Percent 7 2 3" xfId="3998"/>
    <cellStyle name="Percent 7 2 3 2" xfId="5127"/>
    <cellStyle name="Percent 7 2 3 2 2" xfId="9591"/>
    <cellStyle name="Percent 7 2 3 3" xfId="8476"/>
    <cellStyle name="Percent 7 2 4" xfId="4570"/>
    <cellStyle name="Percent 7 2 4 2" xfId="9034"/>
    <cellStyle name="Percent 7 2 5" xfId="6240"/>
    <cellStyle name="Percent 7 2 5 2" xfId="10704"/>
    <cellStyle name="Percent 7 2 6" xfId="6806"/>
    <cellStyle name="Percent 7 2 6 2" xfId="11261"/>
    <cellStyle name="Percent 7 2 7" xfId="7363"/>
    <cellStyle name="Percent 7 3" xfId="2645"/>
    <cellStyle name="Percent 7 4" xfId="1617"/>
    <cellStyle name="Percent 70" xfId="2814"/>
    <cellStyle name="Percent 71" xfId="2678"/>
    <cellStyle name="Percent 72" xfId="2679"/>
    <cellStyle name="Percent 73" xfId="2815"/>
    <cellStyle name="Percent 74" xfId="2760"/>
    <cellStyle name="Percent 75" xfId="2818"/>
    <cellStyle name="Percent 76" xfId="2819"/>
    <cellStyle name="Percent 77" xfId="2821"/>
    <cellStyle name="Percent 78" xfId="2820"/>
    <cellStyle name="Percent 79" xfId="2824"/>
    <cellStyle name="Percent 8" xfId="855"/>
    <cellStyle name="Percent 8 2" xfId="2518"/>
    <cellStyle name="Percent 8 2 2" xfId="3407"/>
    <cellStyle name="Percent 8 2 2 2" xfId="5675"/>
    <cellStyle name="Percent 8 2 2 2 2" xfId="10139"/>
    <cellStyle name="Percent 8 2 2 3" xfId="7911"/>
    <cellStyle name="Percent 8 2 3" xfId="3990"/>
    <cellStyle name="Percent 8 2 3 2" xfId="5119"/>
    <cellStyle name="Percent 8 2 3 2 2" xfId="9583"/>
    <cellStyle name="Percent 8 2 3 3" xfId="8468"/>
    <cellStyle name="Percent 8 2 4" xfId="4562"/>
    <cellStyle name="Percent 8 2 4 2" xfId="9026"/>
    <cellStyle name="Percent 8 2 5" xfId="6232"/>
    <cellStyle name="Percent 8 2 5 2" xfId="10696"/>
    <cellStyle name="Percent 8 2 6" xfId="6798"/>
    <cellStyle name="Percent 8 2 6 2" xfId="11253"/>
    <cellStyle name="Percent 8 2 7" xfId="7355"/>
    <cellStyle name="Percent 8 3" xfId="2694"/>
    <cellStyle name="Percent 8 4" xfId="1618"/>
    <cellStyle name="Percent 80" xfId="2827"/>
    <cellStyle name="Percent 81" xfId="2826"/>
    <cellStyle name="Percent 82" xfId="2830"/>
    <cellStyle name="Percent 83" xfId="2832"/>
    <cellStyle name="Percent 84" xfId="2829"/>
    <cellStyle name="Percent 85" xfId="2828"/>
    <cellStyle name="Percent 86" xfId="2831"/>
    <cellStyle name="Percent 87" xfId="2825"/>
    <cellStyle name="Percent 88" xfId="2823"/>
    <cellStyle name="Percent 89" xfId="2833"/>
    <cellStyle name="Percent 9" xfId="858"/>
    <cellStyle name="Percent 9 2" xfId="2509"/>
    <cellStyle name="Percent 9 2 2" xfId="3398"/>
    <cellStyle name="Percent 9 2 2 2" xfId="5666"/>
    <cellStyle name="Percent 9 2 2 2 2" xfId="10130"/>
    <cellStyle name="Percent 9 2 2 3" xfId="7902"/>
    <cellStyle name="Percent 9 2 3" xfId="3981"/>
    <cellStyle name="Percent 9 2 3 2" xfId="5110"/>
    <cellStyle name="Percent 9 2 3 2 2" xfId="9574"/>
    <cellStyle name="Percent 9 2 3 3" xfId="8459"/>
    <cellStyle name="Percent 9 2 4" xfId="4553"/>
    <cellStyle name="Percent 9 2 4 2" xfId="9017"/>
    <cellStyle name="Percent 9 2 5" xfId="6223"/>
    <cellStyle name="Percent 9 2 5 2" xfId="10687"/>
    <cellStyle name="Percent 9 2 6" xfId="6789"/>
    <cellStyle name="Percent 9 2 6 2" xfId="11244"/>
    <cellStyle name="Percent 9 2 7" xfId="7346"/>
    <cellStyle name="Percent 9 3" xfId="2695"/>
    <cellStyle name="Percent 9 4" xfId="1619"/>
    <cellStyle name="Percent 90" xfId="2849"/>
    <cellStyle name="Percent 91" xfId="2840"/>
    <cellStyle name="Percent 92" xfId="2853"/>
    <cellStyle name="Percent 93" xfId="2858"/>
    <cellStyle name="Percent 94" xfId="2851"/>
    <cellStyle name="Percent 95" xfId="2843"/>
    <cellStyle name="Percent 96" xfId="2860"/>
    <cellStyle name="Percent 97" xfId="2834"/>
    <cellStyle name="Percent 98" xfId="2839"/>
    <cellStyle name="Percent 99" xfId="2859"/>
    <cellStyle name="PSChar" xfId="1620"/>
    <cellStyle name="PSChar 2" xfId="1807"/>
    <cellStyle name="Style 23" xfId="614"/>
    <cellStyle name="Style 23 2" xfId="615"/>
    <cellStyle name="Style 23 3" xfId="924"/>
    <cellStyle name="Style 23 3 2" xfId="11831"/>
    <cellStyle name="STYLE1" xfId="1659"/>
    <cellStyle name="STYLE2" xfId="1658"/>
    <cellStyle name="STYLE3" xfId="1653"/>
    <cellStyle name="Title" xfId="560" builtinId="15" customBuiltin="1"/>
    <cellStyle name="Title 2" xfId="698"/>
    <cellStyle name="Title 2 2" xfId="1244"/>
    <cellStyle name="Title 2 2 2" xfId="1808"/>
    <cellStyle name="Title 2 2 3" xfId="1622"/>
    <cellStyle name="Title 2 3" xfId="1623"/>
    <cellStyle name="Title 2 3 2" xfId="2650"/>
    <cellStyle name="Title 2 4" xfId="1703"/>
    <cellStyle name="Title 2 5" xfId="1929"/>
    <cellStyle name="Title 2 6" xfId="1621"/>
    <cellStyle name="Title 3" xfId="694"/>
    <cellStyle name="Title 3 2" xfId="2646"/>
    <cellStyle name="Title 3 3" xfId="1624"/>
    <cellStyle name="Title 4" xfId="1700"/>
    <cellStyle name="Title 5" xfId="1928"/>
    <cellStyle name="Total" xfId="939" builtinId="25" customBuiltin="1"/>
    <cellStyle name="Total 10" xfId="561"/>
    <cellStyle name="Total 11" xfId="562"/>
    <cellStyle name="Total 12" xfId="563"/>
    <cellStyle name="Total 13" xfId="564"/>
    <cellStyle name="Total 14" xfId="565"/>
    <cellStyle name="Total 15" xfId="566"/>
    <cellStyle name="Total 16" xfId="695"/>
    <cellStyle name="Total 16 2" xfId="4039"/>
    <cellStyle name="Total 16 3" xfId="6275"/>
    <cellStyle name="Total 16 4" xfId="11656"/>
    <cellStyle name="Total 16 5" xfId="3458"/>
    <cellStyle name="Total 17" xfId="11298"/>
    <cellStyle name="Total 2" xfId="567"/>
    <cellStyle name="Total 2 2" xfId="715"/>
    <cellStyle name="Total 2 2 2" xfId="1810"/>
    <cellStyle name="Total 2 2 3" xfId="1626"/>
    <cellStyle name="Total 2 2 4" xfId="11672"/>
    <cellStyle name="Total 2 2 5" xfId="1246"/>
    <cellStyle name="Total 2 3" xfId="1627"/>
    <cellStyle name="Total 2 3 2" xfId="2665"/>
    <cellStyle name="Total 2 4" xfId="1628"/>
    <cellStyle name="Total 2 4 2" xfId="2766"/>
    <cellStyle name="Total 2 5" xfId="1719"/>
    <cellStyle name="Total 2 6" xfId="1931"/>
    <cellStyle name="Total 2 7" xfId="1625"/>
    <cellStyle name="Total 2 8" xfId="11576"/>
    <cellStyle name="Total 3" xfId="568"/>
    <cellStyle name="Total 3 2" xfId="1809"/>
    <cellStyle name="Total 3 3" xfId="11577"/>
    <cellStyle name="Total 3 4" xfId="1629"/>
    <cellStyle name="Total 4" xfId="569"/>
    <cellStyle name="Total 4 2" xfId="2458"/>
    <cellStyle name="Total 4 3" xfId="2647"/>
    <cellStyle name="Total 4 4" xfId="3459"/>
    <cellStyle name="Total 4 5" xfId="11578"/>
    <cellStyle name="Total 4 6" xfId="1630"/>
    <cellStyle name="Total 5" xfId="570"/>
    <cellStyle name="Total 5 2" xfId="11579"/>
    <cellStyle name="Total 5 3" xfId="1654"/>
    <cellStyle name="Total 6" xfId="571"/>
    <cellStyle name="Total 6 2" xfId="11580"/>
    <cellStyle name="Total 6 3" xfId="1701"/>
    <cellStyle name="Total 7" xfId="572"/>
    <cellStyle name="Total 7 2" xfId="11581"/>
    <cellStyle name="Total 7 3" xfId="1930"/>
    <cellStyle name="Total 8" xfId="573"/>
    <cellStyle name="Total 9" xfId="574"/>
    <cellStyle name="Warning Text" xfId="937" builtinId="11" customBuiltin="1"/>
    <cellStyle name="Warning Text 10" xfId="575"/>
    <cellStyle name="Warning Text 11" xfId="576"/>
    <cellStyle name="Warning Text 12" xfId="577"/>
    <cellStyle name="Warning Text 13" xfId="578"/>
    <cellStyle name="Warning Text 14" xfId="579"/>
    <cellStyle name="Warning Text 15" xfId="580"/>
    <cellStyle name="Warning Text 16" xfId="696"/>
    <cellStyle name="Warning Text 2" xfId="581"/>
    <cellStyle name="Warning Text 2 2" xfId="712"/>
    <cellStyle name="Warning Text 2 2 2" xfId="1811"/>
    <cellStyle name="Warning Text 2 2 3" xfId="1632"/>
    <cellStyle name="Warning Text 2 2 4" xfId="11669"/>
    <cellStyle name="Warning Text 2 2 5" xfId="1248"/>
    <cellStyle name="Warning Text 2 3" xfId="1633"/>
    <cellStyle name="Warning Text 2 3 2" xfId="2663"/>
    <cellStyle name="Warning Text 2 4" xfId="1716"/>
    <cellStyle name="Warning Text 2 5" xfId="1933"/>
    <cellStyle name="Warning Text 2 6" xfId="1631"/>
    <cellStyle name="Warning Text 2 7" xfId="11582"/>
    <cellStyle name="Warning Text 3" xfId="582"/>
    <cellStyle name="Warning Text 3 2" xfId="2459"/>
    <cellStyle name="Warning Text 3 3" xfId="2648"/>
    <cellStyle name="Warning Text 3 4" xfId="11583"/>
    <cellStyle name="Warning Text 3 5" xfId="1634"/>
    <cellStyle name="Warning Text 4" xfId="583"/>
    <cellStyle name="Warning Text 4 2" xfId="2805"/>
    <cellStyle name="Warning Text 4 3" xfId="11584"/>
    <cellStyle name="Warning Text 4 4" xfId="1635"/>
    <cellStyle name="Warning Text 5" xfId="584"/>
    <cellStyle name="Warning Text 5 2" xfId="11585"/>
    <cellStyle name="Warning Text 5 3" xfId="1702"/>
    <cellStyle name="Warning Text 6" xfId="585"/>
    <cellStyle name="Warning Text 6 2" xfId="11586"/>
    <cellStyle name="Warning Text 6 3" xfId="1932"/>
    <cellStyle name="Warning Text 7" xfId="586"/>
    <cellStyle name="Warning Text 8" xfId="587"/>
    <cellStyle name="Warning Text 9" xfId="5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Change in Electricty</a:t>
            </a:r>
            <a:r>
              <a:rPr lang="en-CA" baseline="0"/>
              <a:t> Costs Relative to Overall Costs</a:t>
            </a:r>
            <a:endParaRPr lang="en-CA"/>
          </a:p>
        </c:rich>
      </c:tx>
      <c:overlay val="0"/>
    </c:title>
    <c:autoTitleDeleted val="0"/>
    <c:plotArea>
      <c:layout/>
      <c:lineChart>
        <c:grouping val="standard"/>
        <c:varyColors val="0"/>
        <c:ser>
          <c:idx val="0"/>
          <c:order val="0"/>
          <c:marker>
            <c:symbol val="none"/>
          </c:marker>
          <c:trendline>
            <c:trendlineType val="linear"/>
            <c:dispRSqr val="0"/>
            <c:dispEq val="0"/>
          </c:trendline>
          <c:trendline>
            <c:trendlineType val="linear"/>
            <c:dispRSqr val="1"/>
            <c:dispEq val="1"/>
            <c:trendlineLbl>
              <c:layout>
                <c:manualLayout>
                  <c:x val="0.16392176313079823"/>
                  <c:y val="-0.4248740129659524"/>
                </c:manualLayout>
              </c:layout>
              <c:tx>
                <c:rich>
                  <a:bodyPr/>
                  <a:lstStyle/>
                  <a:p>
                    <a:pPr>
                      <a:defRPr/>
                    </a:pPr>
                    <a:r>
                      <a:rPr lang="en-US" baseline="0"/>
                      <a:t>R² = 0.7241</a:t>
                    </a:r>
                    <a:endParaRPr lang="en-US"/>
                  </a:p>
                </c:rich>
              </c:tx>
              <c:numFmt formatCode="General" sourceLinked="0"/>
            </c:trendlineLbl>
          </c:trendline>
          <c:trendline>
            <c:trendlineType val="linear"/>
            <c:dispRSqr val="0"/>
            <c:dispEq val="0"/>
          </c:trendline>
          <c:trendline>
            <c:trendlineType val="linear"/>
            <c:dispRSqr val="0"/>
            <c:dispEq val="1"/>
            <c:trendlineLbl>
              <c:layout>
                <c:manualLayout>
                  <c:x val="-0.25884338725208794"/>
                  <c:y val="3.0367818606007582E-2"/>
                </c:manualLayout>
              </c:layout>
              <c:numFmt formatCode="General" sourceLinked="0"/>
            </c:trendlineLbl>
          </c:trendline>
          <c:val>
            <c:numRef>
              <c:f>'X.4. CPI Constructed Variable'!$E$22:$DT$22</c:f>
              <c:numCache>
                <c:formatCode>General</c:formatCode>
                <c:ptCount val="120"/>
                <c:pt idx="0" formatCode="_(* #,##0.00_);_(* \(#,##0.00\);_(* &quot;-&quot;??_);_(@_)">
                  <c:v>0.69999999999998863</c:v>
                </c:pt>
                <c:pt idx="1">
                  <c:v>1.3999999999999915</c:v>
                </c:pt>
                <c:pt idx="2">
                  <c:v>2</c:v>
                </c:pt>
                <c:pt idx="3">
                  <c:v>-4.7999999999999972</c:v>
                </c:pt>
                <c:pt idx="4">
                  <c:v>-4.7000000000000028</c:v>
                </c:pt>
                <c:pt idx="5">
                  <c:v>-4.5</c:v>
                </c:pt>
                <c:pt idx="6">
                  <c:v>-4.3999999999999915</c:v>
                </c:pt>
                <c:pt idx="7">
                  <c:v>-3.7999999999999972</c:v>
                </c:pt>
                <c:pt idx="8">
                  <c:v>-3.0999999999999943</c:v>
                </c:pt>
                <c:pt idx="9">
                  <c:v>-3.5999999999999943</c:v>
                </c:pt>
                <c:pt idx="10">
                  <c:v>-3.0999999999999943</c:v>
                </c:pt>
                <c:pt idx="11">
                  <c:v>-0.10000000000000853</c:v>
                </c:pt>
                <c:pt idx="12">
                  <c:v>-2.3999999999999915</c:v>
                </c:pt>
                <c:pt idx="13">
                  <c:v>-2.6999999999999886</c:v>
                </c:pt>
                <c:pt idx="14">
                  <c:v>-1.7999999999999972</c:v>
                </c:pt>
                <c:pt idx="15">
                  <c:v>-1.5</c:v>
                </c:pt>
                <c:pt idx="16">
                  <c:v>-13.299999999999997</c:v>
                </c:pt>
                <c:pt idx="17">
                  <c:v>-13.5</c:v>
                </c:pt>
                <c:pt idx="18">
                  <c:v>-12.700000000000003</c:v>
                </c:pt>
                <c:pt idx="19">
                  <c:v>-12.600000000000009</c:v>
                </c:pt>
                <c:pt idx="20">
                  <c:v>-13.200000000000003</c:v>
                </c:pt>
                <c:pt idx="21">
                  <c:v>-13.299999999999997</c:v>
                </c:pt>
                <c:pt idx="22">
                  <c:v>-7.2000000000000028</c:v>
                </c:pt>
                <c:pt idx="23">
                  <c:v>-7</c:v>
                </c:pt>
                <c:pt idx="24">
                  <c:v>-7.2000000000000028</c:v>
                </c:pt>
                <c:pt idx="25">
                  <c:v>-6.0999999999999943</c:v>
                </c:pt>
                <c:pt idx="26">
                  <c:v>-5</c:v>
                </c:pt>
                <c:pt idx="27">
                  <c:v>-4.7000000000000028</c:v>
                </c:pt>
                <c:pt idx="28">
                  <c:v>-5.1000000000000085</c:v>
                </c:pt>
                <c:pt idx="29">
                  <c:v>-5.6000000000000085</c:v>
                </c:pt>
                <c:pt idx="30">
                  <c:v>-5.6000000000000085</c:v>
                </c:pt>
                <c:pt idx="31">
                  <c:v>-5.7999999999999972</c:v>
                </c:pt>
                <c:pt idx="32">
                  <c:v>-5.7000000000000028</c:v>
                </c:pt>
                <c:pt idx="33">
                  <c:v>-5.7999999999999972</c:v>
                </c:pt>
                <c:pt idx="34">
                  <c:v>-0.39999999999999147</c:v>
                </c:pt>
                <c:pt idx="35">
                  <c:v>-0.5</c:v>
                </c:pt>
                <c:pt idx="36">
                  <c:v>0.40000000000000568</c:v>
                </c:pt>
                <c:pt idx="37">
                  <c:v>0.90000000000000568</c:v>
                </c:pt>
                <c:pt idx="38">
                  <c:v>1.2000000000000028</c:v>
                </c:pt>
                <c:pt idx="39">
                  <c:v>2</c:v>
                </c:pt>
                <c:pt idx="40">
                  <c:v>2.5999999999999943</c:v>
                </c:pt>
                <c:pt idx="41">
                  <c:v>3.2000000000000028</c:v>
                </c:pt>
                <c:pt idx="42">
                  <c:v>4.0999999999999943</c:v>
                </c:pt>
                <c:pt idx="43">
                  <c:v>3.7999999999999972</c:v>
                </c:pt>
                <c:pt idx="44">
                  <c:v>4.0999999999999943</c:v>
                </c:pt>
                <c:pt idx="45">
                  <c:v>2.7000000000000028</c:v>
                </c:pt>
                <c:pt idx="46">
                  <c:v>-1.4000000000000057</c:v>
                </c:pt>
                <c:pt idx="47">
                  <c:v>-2.1000000000000085</c:v>
                </c:pt>
                <c:pt idx="48">
                  <c:v>-2.5</c:v>
                </c:pt>
                <c:pt idx="49">
                  <c:v>-1.8000000000000114</c:v>
                </c:pt>
                <c:pt idx="50">
                  <c:v>-1.2000000000000028</c:v>
                </c:pt>
                <c:pt idx="51">
                  <c:v>-1.7000000000000028</c:v>
                </c:pt>
                <c:pt idx="52">
                  <c:v>-6.0999999999999943</c:v>
                </c:pt>
                <c:pt idx="53">
                  <c:v>-5.8999999999999915</c:v>
                </c:pt>
                <c:pt idx="54">
                  <c:v>-6.3999999999999915</c:v>
                </c:pt>
                <c:pt idx="55">
                  <c:v>-6.3999999999999915</c:v>
                </c:pt>
                <c:pt idx="56">
                  <c:v>-6.2999999999999972</c:v>
                </c:pt>
                <c:pt idx="57">
                  <c:v>-6.1999999999999886</c:v>
                </c:pt>
                <c:pt idx="58">
                  <c:v>-4.7000000000000028</c:v>
                </c:pt>
                <c:pt idx="59">
                  <c:v>-5.2000000000000028</c:v>
                </c:pt>
                <c:pt idx="60">
                  <c:v>-4.7999999999999972</c:v>
                </c:pt>
                <c:pt idx="61">
                  <c:v>-4.2000000000000028</c:v>
                </c:pt>
                <c:pt idx="62">
                  <c:v>-4</c:v>
                </c:pt>
                <c:pt idx="63">
                  <c:v>-3.5999999999999943</c:v>
                </c:pt>
                <c:pt idx="64">
                  <c:v>-14.700000000000003</c:v>
                </c:pt>
                <c:pt idx="65">
                  <c:v>-14.900000000000006</c:v>
                </c:pt>
                <c:pt idx="66">
                  <c:v>-23.900000000000006</c:v>
                </c:pt>
                <c:pt idx="67">
                  <c:v>-23.900000000000006</c:v>
                </c:pt>
                <c:pt idx="68">
                  <c:v>-23.800000000000011</c:v>
                </c:pt>
                <c:pt idx="69">
                  <c:v>-23.100000000000009</c:v>
                </c:pt>
                <c:pt idx="70">
                  <c:v>-18.800000000000011</c:v>
                </c:pt>
                <c:pt idx="71">
                  <c:v>-18.900000000000006</c:v>
                </c:pt>
                <c:pt idx="72">
                  <c:v>-13.899999999999991</c:v>
                </c:pt>
                <c:pt idx="73">
                  <c:v>-2.5999999999999943</c:v>
                </c:pt>
                <c:pt idx="74">
                  <c:v>-3.6999999999999886</c:v>
                </c:pt>
                <c:pt idx="75">
                  <c:v>-3.1999999999999886</c:v>
                </c:pt>
                <c:pt idx="76">
                  <c:v>-9.5999999999999943</c:v>
                </c:pt>
                <c:pt idx="77">
                  <c:v>-10.299999999999997</c:v>
                </c:pt>
                <c:pt idx="78">
                  <c:v>-10</c:v>
                </c:pt>
                <c:pt idx="79">
                  <c:v>-10.599999999999994</c:v>
                </c:pt>
                <c:pt idx="80">
                  <c:v>-10.099999999999994</c:v>
                </c:pt>
                <c:pt idx="81">
                  <c:v>-10.199999999999989</c:v>
                </c:pt>
                <c:pt idx="82">
                  <c:v>-10.5</c:v>
                </c:pt>
                <c:pt idx="83">
                  <c:v>-11.200000000000003</c:v>
                </c:pt>
                <c:pt idx="84">
                  <c:v>-10.900000000000006</c:v>
                </c:pt>
                <c:pt idx="85">
                  <c:v>-9.9000000000000057</c:v>
                </c:pt>
                <c:pt idx="86">
                  <c:v>-9.3000000000000114</c:v>
                </c:pt>
                <c:pt idx="87">
                  <c:v>-8.9000000000000057</c:v>
                </c:pt>
                <c:pt idx="88">
                  <c:v>-17.900000000000006</c:v>
                </c:pt>
                <c:pt idx="89">
                  <c:v>-18.700000000000017</c:v>
                </c:pt>
                <c:pt idx="90">
                  <c:v>-18.900000000000006</c:v>
                </c:pt>
                <c:pt idx="91">
                  <c:v>-18.899999999999991</c:v>
                </c:pt>
                <c:pt idx="92">
                  <c:v>-18.699999999999989</c:v>
                </c:pt>
                <c:pt idx="93">
                  <c:v>-18.499999999999986</c:v>
                </c:pt>
                <c:pt idx="94">
                  <c:v>-17.299999999999983</c:v>
                </c:pt>
                <c:pt idx="95">
                  <c:v>-18.100000000000009</c:v>
                </c:pt>
                <c:pt idx="96">
                  <c:v>-18.000000000000014</c:v>
                </c:pt>
                <c:pt idx="97">
                  <c:v>-17.100000000000009</c:v>
                </c:pt>
                <c:pt idx="98">
                  <c:v>-16.700000000000003</c:v>
                </c:pt>
                <c:pt idx="99">
                  <c:v>-17</c:v>
                </c:pt>
                <c:pt idx="100">
                  <c:v>-21.800000000000011</c:v>
                </c:pt>
                <c:pt idx="101">
                  <c:v>-21.600000000000009</c:v>
                </c:pt>
                <c:pt idx="102">
                  <c:v>-21.400000000000006</c:v>
                </c:pt>
                <c:pt idx="103">
                  <c:v>-21.400000000000006</c:v>
                </c:pt>
                <c:pt idx="104">
                  <c:v>-21.300000000000011</c:v>
                </c:pt>
                <c:pt idx="105">
                  <c:v>-21.500000000000014</c:v>
                </c:pt>
                <c:pt idx="106">
                  <c:v>-27.200000000000003</c:v>
                </c:pt>
                <c:pt idx="107">
                  <c:v>-27.400000000000006</c:v>
                </c:pt>
                <c:pt idx="108">
                  <c:v>-28.100000000000009</c:v>
                </c:pt>
                <c:pt idx="109">
                  <c:v>-26.700000000000017</c:v>
                </c:pt>
                <c:pt idx="110">
                  <c:v>-26.400000000000006</c:v>
                </c:pt>
                <c:pt idx="111">
                  <c:v>-25.799999999999983</c:v>
                </c:pt>
                <c:pt idx="112">
                  <c:v>-30</c:v>
                </c:pt>
                <c:pt idx="113">
                  <c:v>-29.599999999999994</c:v>
                </c:pt>
                <c:pt idx="114">
                  <c:v>-30</c:v>
                </c:pt>
                <c:pt idx="115">
                  <c:v>-30</c:v>
                </c:pt>
                <c:pt idx="116">
                  <c:v>-29.799999999999997</c:v>
                </c:pt>
                <c:pt idx="117">
                  <c:v>-29.700000000000003</c:v>
                </c:pt>
                <c:pt idx="118">
                  <c:v>-32.700000000000003</c:v>
                </c:pt>
                <c:pt idx="119">
                  <c:v>-33.599999999999994</c:v>
                </c:pt>
              </c:numCache>
            </c:numRef>
          </c:val>
          <c:smooth val="0"/>
        </c:ser>
        <c:dLbls>
          <c:showLegendKey val="0"/>
          <c:showVal val="0"/>
          <c:showCatName val="0"/>
          <c:showSerName val="0"/>
          <c:showPercent val="0"/>
          <c:showBubbleSize val="0"/>
        </c:dLbls>
        <c:marker val="1"/>
        <c:smooth val="0"/>
        <c:axId val="134021120"/>
        <c:axId val="134022656"/>
      </c:lineChart>
      <c:catAx>
        <c:axId val="134021120"/>
        <c:scaling>
          <c:orientation val="minMax"/>
        </c:scaling>
        <c:delete val="1"/>
        <c:axPos val="b"/>
        <c:majorTickMark val="none"/>
        <c:minorTickMark val="none"/>
        <c:tickLblPos val="nextTo"/>
        <c:crossAx val="134022656"/>
        <c:crosses val="autoZero"/>
        <c:auto val="1"/>
        <c:lblAlgn val="ctr"/>
        <c:lblOffset val="100"/>
        <c:noMultiLvlLbl val="0"/>
      </c:catAx>
      <c:valAx>
        <c:axId val="134022656"/>
        <c:scaling>
          <c:orientation val="minMax"/>
        </c:scaling>
        <c:delete val="0"/>
        <c:axPos val="l"/>
        <c:majorGridlines/>
        <c:title>
          <c:tx>
            <c:rich>
              <a:bodyPr/>
              <a:lstStyle/>
              <a:p>
                <a:pPr>
                  <a:defRPr/>
                </a:pPr>
                <a:r>
                  <a:rPr lang="en-CA"/>
                  <a:t>Relative</a:t>
                </a:r>
                <a:r>
                  <a:rPr lang="en-CA" baseline="0"/>
                  <a:t> Change in Overall CPI to Electricity</a:t>
                </a:r>
              </a:p>
              <a:p>
                <a:pPr>
                  <a:defRPr/>
                </a:pPr>
                <a:endParaRPr lang="en-CA"/>
              </a:p>
            </c:rich>
          </c:tx>
          <c:overlay val="0"/>
        </c:title>
        <c:numFmt formatCode="_(* #,##0.00_);_(* \(#,##0.00\);_(* &quot;-&quot;??_);_(@_)" sourceLinked="1"/>
        <c:majorTickMark val="none"/>
        <c:minorTickMark val="none"/>
        <c:tickLblPos val="nextTo"/>
        <c:crossAx val="134021120"/>
        <c:crosses val="autoZero"/>
        <c:crossBetween val="between"/>
      </c:valAx>
    </c:plotArea>
    <c:legend>
      <c:legendPos val="r"/>
      <c:legendEntry>
        <c:idx val="1"/>
        <c:delete val="1"/>
      </c:legendEntry>
      <c:legendEntry>
        <c:idx val="2"/>
        <c:delete val="1"/>
      </c:legendEntry>
      <c:legendEntry>
        <c:idx val="3"/>
        <c:delete val="1"/>
      </c:legendEntry>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trendline>
            <c:trendlineType val="linear"/>
            <c:dispRSqr val="0"/>
            <c:dispEq val="0"/>
          </c:trendline>
          <c:trendline>
            <c:trendlineType val="linear"/>
            <c:dispRSqr val="1"/>
            <c:dispEq val="1"/>
            <c:trendlineLbl>
              <c:numFmt formatCode="General" sourceLinked="0"/>
            </c:trendlineLbl>
          </c:trendline>
          <c:val>
            <c:numLit>
              <c:formatCode>General</c:formatCode>
              <c:ptCount val="120"/>
              <c:pt idx="0">
                <c:v>1.0273170731707317</c:v>
              </c:pt>
              <c:pt idx="1">
                <c:v>1.031219512195122</c:v>
              </c:pt>
              <c:pt idx="2">
                <c:v>1.0370731707317074</c:v>
              </c:pt>
              <c:pt idx="3">
                <c:v>1.0123456790123457</c:v>
              </c:pt>
              <c:pt idx="4">
                <c:v>1.0113744075829385</c:v>
              </c:pt>
              <c:pt idx="5">
                <c:v>1.0132701421800949</c:v>
              </c:pt>
              <c:pt idx="6">
                <c:v>1.010377358490566</c:v>
              </c:pt>
              <c:pt idx="7">
                <c:v>1.0141509433962264</c:v>
              </c:pt>
              <c:pt idx="8">
                <c:v>1.0226415094339623</c:v>
              </c:pt>
              <c:pt idx="9">
                <c:v>1.0160075329566856</c:v>
              </c:pt>
              <c:pt idx="10">
                <c:v>1.0169971671388103</c:v>
              </c:pt>
              <c:pt idx="11">
                <c:v>1.0247619047619048</c:v>
              </c:pt>
              <c:pt idx="12">
                <c:v>1.0074487895716946</c:v>
              </c:pt>
              <c:pt idx="13">
                <c:v>1.005586592178771</c:v>
              </c:pt>
              <c:pt idx="14">
                <c:v>1.0111731843575418</c:v>
              </c:pt>
              <c:pt idx="15">
                <c:v>1.0120481927710843</c:v>
              </c:pt>
              <c:pt idx="16">
                <c:v>0.97859054415700275</c:v>
              </c:pt>
              <c:pt idx="17">
                <c:v>0.9768064228367529</c:v>
              </c:pt>
              <c:pt idx="18">
                <c:v>0.97249334516415253</c:v>
              </c:pt>
              <c:pt idx="19">
                <c:v>0.97426796805678784</c:v>
              </c:pt>
              <c:pt idx="20">
                <c:v>0.96637168141592922</c:v>
              </c:pt>
              <c:pt idx="21">
                <c:v>0.95950704225352113</c:v>
              </c:pt>
              <c:pt idx="22">
                <c:v>0.98113207547169812</c:v>
              </c:pt>
              <c:pt idx="23">
                <c:v>0.97678571428571437</c:v>
              </c:pt>
              <c:pt idx="24">
                <c:v>0.97765862377122426</c:v>
              </c:pt>
              <c:pt idx="25">
                <c:v>0.98657117278424356</c:v>
              </c:pt>
              <c:pt idx="26">
                <c:v>0.99641255605381163</c:v>
              </c:pt>
              <c:pt idx="27">
                <c:v>1.000896860986547</c:v>
              </c:pt>
              <c:pt idx="28">
                <c:v>1.008093525179856</c:v>
              </c:pt>
              <c:pt idx="29">
                <c:v>0.99026548672566372</c:v>
              </c:pt>
              <c:pt idx="30">
                <c:v>0.97902097902097895</c:v>
              </c:pt>
              <c:pt idx="31">
                <c:v>0.96709956709956713</c:v>
              </c:pt>
              <c:pt idx="32">
                <c:v>0.96967071057192378</c:v>
              </c:pt>
              <c:pt idx="33">
                <c:v>0.97723292469352008</c:v>
              </c:pt>
              <c:pt idx="34">
                <c:v>0.99555160142348753</c:v>
              </c:pt>
              <c:pt idx="35">
                <c:v>0.99644128113878994</c:v>
              </c:pt>
              <c:pt idx="36">
                <c:v>1.0081154192966635</c:v>
              </c:pt>
              <c:pt idx="37">
                <c:v>1.0126353790613718</c:v>
              </c:pt>
              <c:pt idx="38">
                <c:v>1.0171635049683829</c:v>
              </c:pt>
              <c:pt idx="39">
                <c:v>1.0088888888888889</c:v>
              </c:pt>
              <c:pt idx="40">
                <c:v>1.0150575730735163</c:v>
              </c:pt>
              <c:pt idx="41">
                <c:v>1.0221434898139947</c:v>
              </c:pt>
              <c:pt idx="42">
                <c:v>1.0060816681146829</c:v>
              </c:pt>
              <c:pt idx="43">
                <c:v>1.0087260034904013</c:v>
              </c:pt>
              <c:pt idx="44">
                <c:v>1.0220848056537102</c:v>
              </c:pt>
              <c:pt idx="45">
                <c:v>1.0114840989399294</c:v>
              </c:pt>
              <c:pt idx="46">
                <c:v>0.99045138888888884</c:v>
              </c:pt>
              <c:pt idx="47">
                <c:v>0.97420464316423039</c:v>
              </c:pt>
              <c:pt idx="48">
                <c:v>0.98175499565595137</c:v>
              </c:pt>
              <c:pt idx="49">
                <c:v>0.98272884283246975</c:v>
              </c:pt>
              <c:pt idx="50">
                <c:v>0.99912357581069244</c:v>
              </c:pt>
              <c:pt idx="51">
                <c:v>1.0026408450704227</c:v>
              </c:pt>
              <c:pt idx="52">
                <c:v>0.99221453287197237</c:v>
              </c:pt>
              <c:pt idx="53">
                <c:v>1.0043630017452008</c:v>
              </c:pt>
              <c:pt idx="54">
                <c:v>0.99825935596170579</c:v>
              </c:pt>
              <c:pt idx="55">
                <c:v>0.9795046968403075</c:v>
              </c:pt>
              <c:pt idx="56">
                <c:v>0.99050086355785838</c:v>
              </c:pt>
              <c:pt idx="57">
                <c:v>1.0026246719160106</c:v>
              </c:pt>
              <c:pt idx="58">
                <c:v>0.9974025974025974</c:v>
              </c:pt>
              <c:pt idx="59">
                <c:v>0.98880275624461678</c:v>
              </c:pt>
              <c:pt idx="60">
                <c:v>0.99740034662045052</c:v>
              </c:pt>
              <c:pt idx="61">
                <c:v>1.0043440486533448</c:v>
              </c:pt>
              <c:pt idx="62">
                <c:v>1.0104895104895104</c:v>
              </c:pt>
              <c:pt idx="63">
                <c:v>1.0060711188204683</c:v>
              </c:pt>
              <c:pt idx="64">
                <c:v>0.96755407653910142</c:v>
              </c:pt>
              <c:pt idx="65">
                <c:v>0.95795548227535043</c:v>
              </c:pt>
              <c:pt idx="66">
                <c:v>0.92551505546751189</c:v>
              </c:pt>
              <c:pt idx="67">
                <c:v>0.92545598731165746</c:v>
              </c:pt>
              <c:pt idx="68">
                <c:v>0.93744987971130711</c:v>
              </c:pt>
              <c:pt idx="69">
                <c:v>0.94983818770226547</c:v>
              </c:pt>
              <c:pt idx="70">
                <c:v>0.96075224856909247</c:v>
              </c:pt>
              <c:pt idx="71">
                <c:v>0.95296025952960262</c:v>
              </c:pt>
              <c:pt idx="72">
                <c:v>0.95928338762214982</c:v>
              </c:pt>
              <c:pt idx="73">
                <c:v>0.98334721065778519</c:v>
              </c:pt>
              <c:pt idx="74">
                <c:v>1.0008382229673094</c:v>
              </c:pt>
              <c:pt idx="75">
                <c:v>0.97082658022690427</c:v>
              </c:pt>
              <c:pt idx="76">
                <c:v>0.99422918384171477</c:v>
              </c:pt>
              <c:pt idx="77">
                <c:v>0.98357963875205257</c:v>
              </c:pt>
              <c:pt idx="78">
                <c:v>0.95541401273885351</c:v>
              </c:pt>
              <c:pt idx="79">
                <c:v>0.93764614185502715</c:v>
              </c:pt>
              <c:pt idx="80">
                <c:v>0.96945337620578764</c:v>
              </c:pt>
              <c:pt idx="81">
                <c:v>0.93861693861693862</c:v>
              </c:pt>
              <c:pt idx="82">
                <c:v>0.95876288659793818</c:v>
              </c:pt>
              <c:pt idx="83">
                <c:v>0.92532717474980752</c:v>
              </c:pt>
              <c:pt idx="84">
                <c:v>0.91578148710166918</c:v>
              </c:pt>
              <c:pt idx="85">
                <c:v>0.92873563218390809</c:v>
              </c:pt>
              <c:pt idx="86">
                <c:v>0.9689490445859873</c:v>
              </c:pt>
              <c:pt idx="87">
                <c:v>0.97448165869218495</c:v>
              </c:pt>
              <c:pt idx="88">
                <c:v>0.95539906103286387</c:v>
              </c:pt>
              <c:pt idx="89">
                <c:v>0.94263565891472867</c:v>
              </c:pt>
              <c:pt idx="90">
                <c:v>0.93246354566385259</c:v>
              </c:pt>
              <c:pt idx="91">
                <c:v>0.91855203619909509</c:v>
              </c:pt>
              <c:pt idx="92">
                <c:v>0.92494313874147072</c:v>
              </c:pt>
              <c:pt idx="93">
                <c:v>0.93353705118411001</c:v>
              </c:pt>
              <c:pt idx="94">
                <c:v>0.95011691348402183</c:v>
              </c:pt>
              <c:pt idx="95">
                <c:v>0.93808049535603721</c:v>
              </c:pt>
              <c:pt idx="96">
                <c:v>0.93307692307692303</c:v>
              </c:pt>
              <c:pt idx="97">
                <c:v>0.9511627906976744</c:v>
              </c:pt>
              <c:pt idx="98">
                <c:v>0.95419254658385089</c:v>
              </c:pt>
              <c:pt idx="99">
                <c:v>0.93879112471308346</c:v>
              </c:pt>
              <c:pt idx="100">
                <c:v>0.93394077448747159</c:v>
              </c:pt>
              <c:pt idx="101">
                <c:v>0.93252463987869594</c:v>
              </c:pt>
              <c:pt idx="102">
                <c:v>0.91524163568773231</c:v>
              </c:pt>
              <c:pt idx="103">
                <c:v>0.91388270230141055</c:v>
              </c:pt>
              <c:pt idx="104">
                <c:v>0.91741071428571419</c:v>
              </c:pt>
              <c:pt idx="105">
                <c:v>0.9262048192771084</c:v>
              </c:pt>
              <c:pt idx="106">
                <c:v>0.91246290801186936</c:v>
              </c:pt>
              <c:pt idx="107">
                <c:v>0.91226765799256504</c:v>
              </c:pt>
              <c:pt idx="108">
                <c:v>0.90448199853049227</c:v>
              </c:pt>
              <c:pt idx="109">
                <c:v>0.91857883049592892</c:v>
              </c:pt>
              <c:pt idx="110">
                <c:v>0.92239467849223933</c:v>
              </c:pt>
              <c:pt idx="111">
                <c:v>0.91587417702999274</c:v>
              </c:pt>
              <c:pt idx="112">
                <c:v>0.89283179559971604</c:v>
              </c:pt>
              <c:pt idx="113">
                <c:v>0.91630276564774382</c:v>
              </c:pt>
              <c:pt idx="114">
                <c:v>0.90366642703091304</c:v>
              </c:pt>
              <c:pt idx="115">
                <c:v>0.89914163090128751</c:v>
              </c:pt>
              <c:pt idx="116">
                <c:v>0.89921372408863465</c:v>
              </c:pt>
              <c:pt idx="117">
                <c:v>0.89800285306704719</c:v>
              </c:pt>
              <c:pt idx="118">
                <c:v>0.89763779527559062</c:v>
              </c:pt>
              <c:pt idx="119">
                <c:v>0.88738417676407688</c:v>
              </c:pt>
            </c:numLit>
          </c:val>
          <c:smooth val="0"/>
        </c:ser>
        <c:dLbls>
          <c:showLegendKey val="0"/>
          <c:showVal val="0"/>
          <c:showCatName val="0"/>
          <c:showSerName val="0"/>
          <c:showPercent val="0"/>
          <c:showBubbleSize val="0"/>
        </c:dLbls>
        <c:marker val="1"/>
        <c:smooth val="0"/>
        <c:axId val="134071040"/>
        <c:axId val="134072576"/>
      </c:lineChart>
      <c:catAx>
        <c:axId val="134071040"/>
        <c:scaling>
          <c:orientation val="minMax"/>
        </c:scaling>
        <c:delete val="0"/>
        <c:axPos val="b"/>
        <c:majorTickMark val="out"/>
        <c:minorTickMark val="none"/>
        <c:tickLblPos val="nextTo"/>
        <c:crossAx val="134072576"/>
        <c:crosses val="autoZero"/>
        <c:auto val="1"/>
        <c:lblAlgn val="ctr"/>
        <c:lblOffset val="100"/>
        <c:noMultiLvlLbl val="0"/>
      </c:catAx>
      <c:valAx>
        <c:axId val="134072576"/>
        <c:scaling>
          <c:orientation val="minMax"/>
        </c:scaling>
        <c:delete val="0"/>
        <c:axPos val="l"/>
        <c:majorGridlines/>
        <c:numFmt formatCode="General" sourceLinked="1"/>
        <c:majorTickMark val="out"/>
        <c:minorTickMark val="none"/>
        <c:tickLblPos val="nextTo"/>
        <c:crossAx val="1340710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barChart>
        <c:barDir val="col"/>
        <c:grouping val="clustered"/>
        <c:varyColors val="0"/>
        <c:ser>
          <c:idx val="0"/>
          <c:order val="0"/>
          <c:tx>
            <c:strRef>
              <c:f>'X.5. Tables for Exhibit'!$AC$15</c:f>
              <c:strCache>
                <c:ptCount val="1"/>
                <c:pt idx="0">
                  <c:v>kWh Purchased</c:v>
                </c:pt>
              </c:strCache>
            </c:strRef>
          </c:tx>
          <c:invertIfNegative val="0"/>
          <c:cat>
            <c:numRef>
              <c:f>'X.5. Tables for Exhibit'!$AB$16:$AB$25</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'X.5. Tables for Exhibit'!$AC$16:$AC$25</c:f>
              <c:numCache>
                <c:formatCode>_-* #,##0_-;\-* #,##0_-;_-* "-"??_-;_-@_-</c:formatCode>
                <c:ptCount val="10"/>
                <c:pt idx="0">
                  <c:v>116383501</c:v>
                </c:pt>
                <c:pt idx="1">
                  <c:v>115191936.86133909</c:v>
                </c:pt>
                <c:pt idx="2">
                  <c:v>125635745.20078859</c:v>
                </c:pt>
                <c:pt idx="3">
                  <c:v>130042772.68265095</c:v>
                </c:pt>
                <c:pt idx="4">
                  <c:v>130163357.44510439</c:v>
                </c:pt>
                <c:pt idx="5">
                  <c:v>131775602.11210045</c:v>
                </c:pt>
                <c:pt idx="6">
                  <c:v>134161577.33601415</c:v>
                </c:pt>
                <c:pt idx="7">
                  <c:v>135273490.50807804</c:v>
                </c:pt>
                <c:pt idx="8">
                  <c:v>140350628.06043413</c:v>
                </c:pt>
                <c:pt idx="9">
                  <c:v>141244140.10580468</c:v>
                </c:pt>
              </c:numCache>
            </c:numRef>
          </c:val>
        </c:ser>
        <c:ser>
          <c:idx val="1"/>
          <c:order val="1"/>
          <c:tx>
            <c:strRef>
              <c:f>'X.5. Tables for Exhibit'!$AD$15</c:f>
              <c:strCache>
                <c:ptCount val="1"/>
                <c:pt idx="0">
                  <c:v>kWh Adjusted</c:v>
                </c:pt>
              </c:strCache>
            </c:strRef>
          </c:tx>
          <c:invertIfNegative val="0"/>
          <c:cat>
            <c:numRef>
              <c:f>'X.5. Tables for Exhibit'!$AB$16:$AB$25</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'X.5. Tables for Exhibit'!$AD$16:$AD$25</c:f>
              <c:numCache>
                <c:formatCode>_-* #,##0_-;\-* #,##0_-;_-* "-"??_-;_-@_-</c:formatCode>
                <c:ptCount val="10"/>
                <c:pt idx="0">
                  <c:v>115881495.44093704</c:v>
                </c:pt>
                <c:pt idx="1">
                  <c:v>116451759.87978788</c:v>
                </c:pt>
                <c:pt idx="2">
                  <c:v>125376323.87638415</c:v>
                </c:pt>
                <c:pt idx="3">
                  <c:v>127881658.69393992</c:v>
                </c:pt>
                <c:pt idx="4">
                  <c:v>128183988.42099291</c:v>
                </c:pt>
                <c:pt idx="5">
                  <c:v>134026130.58918963</c:v>
                </c:pt>
                <c:pt idx="6">
                  <c:v>135430755.65105194</c:v>
                </c:pt>
                <c:pt idx="7">
                  <c:v>137767004.16238713</c:v>
                </c:pt>
                <c:pt idx="8">
                  <c:v>139348856.14625099</c:v>
                </c:pt>
                <c:pt idx="9">
                  <c:v>139874778.4513928</c:v>
                </c:pt>
              </c:numCache>
            </c:numRef>
          </c:val>
        </c:ser>
        <c:dLbls>
          <c:showLegendKey val="0"/>
          <c:showVal val="0"/>
          <c:showCatName val="0"/>
          <c:showSerName val="0"/>
          <c:showPercent val="0"/>
          <c:showBubbleSize val="0"/>
        </c:dLbls>
        <c:gapWidth val="75"/>
        <c:overlap val="-25"/>
        <c:axId val="135015424"/>
        <c:axId val="135090944"/>
      </c:barChart>
      <c:catAx>
        <c:axId val="135015424"/>
        <c:scaling>
          <c:orientation val="minMax"/>
        </c:scaling>
        <c:delete val="0"/>
        <c:axPos val="b"/>
        <c:numFmt formatCode="@" sourceLinked="1"/>
        <c:majorTickMark val="none"/>
        <c:minorTickMark val="none"/>
        <c:tickLblPos val="nextTo"/>
        <c:crossAx val="135090944"/>
        <c:crosses val="autoZero"/>
        <c:auto val="1"/>
        <c:lblAlgn val="ctr"/>
        <c:lblOffset val="100"/>
        <c:noMultiLvlLbl val="0"/>
      </c:catAx>
      <c:valAx>
        <c:axId val="135090944"/>
        <c:scaling>
          <c:orientation val="minMax"/>
        </c:scaling>
        <c:delete val="0"/>
        <c:axPos val="l"/>
        <c:majorGridlines/>
        <c:numFmt formatCode="_-* #,##0_-;\-* #,##0_-;_-* &quot;-&quot;??_-;_-@_-" sourceLinked="1"/>
        <c:majorTickMark val="none"/>
        <c:minorTickMark val="none"/>
        <c:tickLblPos val="nextTo"/>
        <c:spPr>
          <a:ln w="9525">
            <a:noFill/>
          </a:ln>
        </c:spPr>
        <c:crossAx val="13501542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114300</xdr:colOff>
      <xdr:row>4</xdr:row>
      <xdr:rowOff>9525</xdr:rowOff>
    </xdr:from>
    <xdr:to>
      <xdr:col>4</xdr:col>
      <xdr:colOff>209550</xdr:colOff>
      <xdr:row>7</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133351</xdr:colOff>
      <xdr:row>8</xdr:row>
      <xdr:rowOff>47626</xdr:rowOff>
    </xdr:from>
    <xdr:to>
      <xdr:col>4</xdr:col>
      <xdr:colOff>247651</xdr:colOff>
      <xdr:row>11</xdr:row>
      <xdr:rowOff>38101</xdr:rowOff>
    </xdr:to>
    <xdr:sp macro="" textlink="">
      <xdr:nvSpPr>
        <xdr:cNvPr id="3" name="Right Brace 2"/>
        <xdr:cNvSpPr/>
      </xdr:nvSpPr>
      <xdr:spPr>
        <a:xfrm>
          <a:off x="4591051" y="239077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428625</xdr:colOff>
      <xdr:row>7</xdr:row>
      <xdr:rowOff>104775</xdr:rowOff>
    </xdr:from>
    <xdr:to>
      <xdr:col>13</xdr:col>
      <xdr:colOff>676275</xdr:colOff>
      <xdr:row>7</xdr:row>
      <xdr:rowOff>333375</xdr:rowOff>
    </xdr:to>
    <xdr:sp macro="" textlink="">
      <xdr:nvSpPr>
        <xdr:cNvPr id="3" name="5-Point Star 2"/>
        <xdr:cNvSpPr/>
      </xdr:nvSpPr>
      <xdr:spPr>
        <a:xfrm>
          <a:off x="15430500" y="19240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168088</xdr:colOff>
      <xdr:row>8</xdr:row>
      <xdr:rowOff>302557</xdr:rowOff>
    </xdr:from>
    <xdr:to>
      <xdr:col>13</xdr:col>
      <xdr:colOff>257734</xdr:colOff>
      <xdr:row>8</xdr:row>
      <xdr:rowOff>348276</xdr:rowOff>
    </xdr:to>
    <xdr:sp macro="" textlink="">
      <xdr:nvSpPr>
        <xdr:cNvPr id="4" name="Right Arrow 3"/>
        <xdr:cNvSpPr/>
      </xdr:nvSpPr>
      <xdr:spPr>
        <a:xfrm rot="10800000">
          <a:off x="14931838" y="3074332"/>
          <a:ext cx="327771"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537882</xdr:colOff>
      <xdr:row>8</xdr:row>
      <xdr:rowOff>302559</xdr:rowOff>
    </xdr:from>
    <xdr:to>
      <xdr:col>5</xdr:col>
      <xdr:colOff>862852</xdr:colOff>
      <xdr:row>8</xdr:row>
      <xdr:rowOff>348278</xdr:rowOff>
    </xdr:to>
    <xdr:sp macro="" textlink="">
      <xdr:nvSpPr>
        <xdr:cNvPr id="5" name="Right Arrow 4"/>
        <xdr:cNvSpPr/>
      </xdr:nvSpPr>
      <xdr:spPr>
        <a:xfrm>
          <a:off x="9281832" y="3074334"/>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515470</xdr:colOff>
      <xdr:row>1</xdr:row>
      <xdr:rowOff>156881</xdr:rowOff>
    </xdr:from>
    <xdr:to>
      <xdr:col>6</xdr:col>
      <xdr:colOff>216086</xdr:colOff>
      <xdr:row>5</xdr:row>
      <xdr:rowOff>559</xdr:rowOff>
    </xdr:to>
    <xdr:grpSp>
      <xdr:nvGrpSpPr>
        <xdr:cNvPr id="6" name="Group 33"/>
        <xdr:cNvGrpSpPr>
          <a:grpSpLocks/>
        </xdr:cNvGrpSpPr>
      </xdr:nvGrpSpPr>
      <xdr:grpSpPr bwMode="auto">
        <a:xfrm>
          <a:off x="515470" y="461681"/>
          <a:ext cx="5187016" cy="900953"/>
          <a:chOff x="11" y="147"/>
          <a:chExt cx="521" cy="83"/>
        </a:xfrm>
      </xdr:grpSpPr>
      <xdr:sp macro="" textlink="">
        <xdr:nvSpPr>
          <xdr:cNvPr id="7"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Update Wholesale Purchases,</a:t>
            </a:r>
          </a:p>
          <a:p>
            <a:pPr algn="l" rtl="0">
              <a:defRPr sz="1000"/>
            </a:pPr>
            <a:r>
              <a:rPr lang="en-CA" sz="1000" b="1" i="0" u="none" strike="noStrike" baseline="0">
                <a:solidFill>
                  <a:srgbClr val="FF0000"/>
                </a:solidFill>
                <a:latin typeface="Arial"/>
                <a:cs typeface="Arial"/>
              </a:rPr>
              <a:t>2. Use drop down lists to select the variables inputted from 5.Variable Worksheet and  Select Forecast Methodology</a:t>
            </a:r>
          </a:p>
          <a:p>
            <a:pPr algn="l" rtl="0">
              <a:defRPr sz="1000"/>
            </a:pPr>
            <a:r>
              <a:rPr lang="en-CA" sz="1000" b="1" i="0" u="none" strike="noStrike" baseline="0">
                <a:solidFill>
                  <a:srgbClr val="FF0000"/>
                </a:solidFill>
                <a:latin typeface="Arial"/>
                <a:cs typeface="Arial"/>
              </a:rPr>
              <a:t>3. Run Regression -&gt; Data -&gt; Data Analysis - &gt; Regression</a:t>
            </a:r>
            <a:endParaRPr lang="en-CA" sz="1000" b="1" i="1" u="none" strike="noStrike" baseline="0">
              <a:solidFill>
                <a:srgbClr val="FF0000"/>
              </a:solidFill>
              <a:latin typeface="Arial"/>
              <a:cs typeface="Aria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0</xdr:rowOff>
    </xdr:from>
    <xdr:to>
      <xdr:col>17</xdr:col>
      <xdr:colOff>520988</xdr:colOff>
      <xdr:row>2</xdr:row>
      <xdr:rowOff>256309</xdr:rowOff>
    </xdr:to>
    <xdr:grpSp>
      <xdr:nvGrpSpPr>
        <xdr:cNvPr id="2" name="Group 33"/>
        <xdr:cNvGrpSpPr>
          <a:grpSpLocks/>
        </xdr:cNvGrpSpPr>
      </xdr:nvGrpSpPr>
      <xdr:grpSpPr bwMode="auto">
        <a:xfrm>
          <a:off x="819150" y="0"/>
          <a:ext cx="16694438" cy="599209"/>
          <a:chOff x="11" y="147"/>
          <a:chExt cx="521" cy="83"/>
        </a:xfrm>
      </xdr:grpSpPr>
      <xdr:sp macro="" textlink="">
        <xdr:nvSpPr>
          <xdr:cNvPr id="3"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35"/>
          <xdr:cNvSpPr txBox="1">
            <a:spLocks noChangeArrowheads="1"/>
          </xdr:cNvSpPr>
        </xdr:nvSpPr>
        <xdr:spPr bwMode="auto">
          <a:xfrm>
            <a:off x="24" y="151"/>
            <a:ext cx="498" cy="48"/>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Use the drop down selections to select the appropriate customer classes.  </a:t>
            </a: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89</xdr:row>
      <xdr:rowOff>66675</xdr:rowOff>
    </xdr:from>
    <xdr:to>
      <xdr:col>10</xdr:col>
      <xdr:colOff>247650</xdr:colOff>
      <xdr:row>89</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2</xdr:row>
      <xdr:rowOff>85726</xdr:rowOff>
    </xdr:from>
    <xdr:to>
      <xdr:col>36</xdr:col>
      <xdr:colOff>489816</xdr:colOff>
      <xdr:row>8</xdr:row>
      <xdr:rowOff>47625</xdr:rowOff>
    </xdr:to>
    <xdr:grpSp>
      <xdr:nvGrpSpPr>
        <xdr:cNvPr id="4" name="Group 33"/>
        <xdr:cNvGrpSpPr>
          <a:grpSpLocks/>
        </xdr:cNvGrpSpPr>
      </xdr:nvGrpSpPr>
      <xdr:grpSpPr bwMode="auto">
        <a:xfrm>
          <a:off x="561975" y="542926"/>
          <a:ext cx="27293166" cy="933449"/>
          <a:chOff x="11" y="147"/>
          <a:chExt cx="521" cy="54"/>
        </a:xfrm>
      </xdr:grpSpPr>
      <xdr:sp macro="" textlink="">
        <xdr:nvSpPr>
          <xdr:cNvPr id="5" name="AutoShape 34"/>
          <xdr:cNvSpPr>
            <a:spLocks noChangeArrowheads="1"/>
          </xdr:cNvSpPr>
        </xdr:nvSpPr>
        <xdr:spPr bwMode="auto">
          <a:xfrm>
            <a:off x="11" y="147"/>
            <a:ext cx="521" cy="54"/>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Text Box 35"/>
          <xdr:cNvSpPr txBox="1">
            <a:spLocks noChangeArrowheads="1"/>
          </xdr:cNvSpPr>
        </xdr:nvSpPr>
        <xdr:spPr bwMode="auto">
          <a:xfrm>
            <a:off x="24" y="151"/>
            <a:ext cx="498" cy="39"/>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Use this sheet to allocate Projected CDM Savings for the Test Year</a:t>
            </a:r>
          </a:p>
          <a:p>
            <a:pPr algn="l" rtl="0">
              <a:defRPr sz="1000"/>
            </a:pPr>
            <a:r>
              <a:rPr lang="en-CA" sz="1000" b="1" i="0" u="none" strike="noStrike" baseline="0">
                <a:solidFill>
                  <a:srgbClr val="FF0000"/>
                </a:solidFill>
                <a:latin typeface="Arial"/>
                <a:cs typeface="Arial"/>
              </a:rPr>
              <a:t>2. Reallocate CDM savings to specific classes if required ( Distributers must support reallocation) </a:t>
            </a:r>
          </a:p>
          <a:p>
            <a:pPr algn="l" rtl="0">
              <a:defRPr sz="1000"/>
            </a:pPr>
            <a:r>
              <a:rPr lang="en-CA" sz="1000" b="1" i="0" u="none" strike="noStrike" baseline="0">
                <a:solidFill>
                  <a:srgbClr val="FF0000"/>
                </a:solidFill>
                <a:effectLst/>
                <a:latin typeface="Arial"/>
                <a:ea typeface="+mn-ea"/>
                <a:cs typeface="Arial"/>
              </a:rPr>
              <a:t>Note: This sheet is linked from Worksheet 10.CDM Adjustments</a:t>
            </a:r>
          </a:p>
          <a:p>
            <a:pPr algn="l" rtl="0">
              <a:defRPr sz="1000"/>
            </a:pP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xdr:txBody>
      </xdr:sp>
    </xdr:grpSp>
    <xdr:clientData/>
  </xdr:twoCellAnchor>
  <xdr:twoCellAnchor>
    <xdr:from>
      <xdr:col>17</xdr:col>
      <xdr:colOff>371474</xdr:colOff>
      <xdr:row>11</xdr:row>
      <xdr:rowOff>19050</xdr:rowOff>
    </xdr:from>
    <xdr:to>
      <xdr:col>19</xdr:col>
      <xdr:colOff>504824</xdr:colOff>
      <xdr:row>12</xdr:row>
      <xdr:rowOff>133350</xdr:rowOff>
    </xdr:to>
    <xdr:sp macro="" textlink="">
      <xdr:nvSpPr>
        <xdr:cNvPr id="9" name="U-Turn Arrow 8"/>
        <xdr:cNvSpPr/>
      </xdr:nvSpPr>
      <xdr:spPr>
        <a:xfrm>
          <a:off x="15801974" y="1933575"/>
          <a:ext cx="1914525" cy="276225"/>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twoCellAnchor>
    <xdr:from>
      <xdr:col>11</xdr:col>
      <xdr:colOff>876300</xdr:colOff>
      <xdr:row>11</xdr:row>
      <xdr:rowOff>19050</xdr:rowOff>
    </xdr:from>
    <xdr:to>
      <xdr:col>13</xdr:col>
      <xdr:colOff>314325</xdr:colOff>
      <xdr:row>12</xdr:row>
      <xdr:rowOff>133350</xdr:rowOff>
    </xdr:to>
    <xdr:sp macro="" textlink="">
      <xdr:nvSpPr>
        <xdr:cNvPr id="7" name="U-Turn Arrow 6"/>
        <xdr:cNvSpPr/>
      </xdr:nvSpPr>
      <xdr:spPr>
        <a:xfrm>
          <a:off x="11553825" y="1933575"/>
          <a:ext cx="1076325" cy="276225"/>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352425</xdr:colOff>
      <xdr:row>1</xdr:row>
      <xdr:rowOff>180975</xdr:rowOff>
    </xdr:from>
    <xdr:to>
      <xdr:col>8</xdr:col>
      <xdr:colOff>752475</xdr:colOff>
      <xdr:row>1</xdr:row>
      <xdr:rowOff>180975</xdr:rowOff>
    </xdr:to>
    <xdr:cxnSp macro="">
      <xdr:nvCxnSpPr>
        <xdr:cNvPr id="3" name="Straight Arrow Connector 2"/>
        <xdr:cNvCxnSpPr/>
      </xdr:nvCxnSpPr>
      <xdr:spPr>
        <a:xfrm>
          <a:off x="5791200" y="180975"/>
          <a:ext cx="4210050" cy="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31</xdr:row>
      <xdr:rowOff>141817</xdr:rowOff>
    </xdr:from>
    <xdr:to>
      <xdr:col>4</xdr:col>
      <xdr:colOff>42334</xdr:colOff>
      <xdr:row>47</xdr:row>
      <xdr:rowOff>95251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445823</xdr:colOff>
      <xdr:row>49</xdr:row>
      <xdr:rowOff>64161</xdr:rowOff>
    </xdr:from>
    <xdr:to>
      <xdr:col>1</xdr:col>
      <xdr:colOff>4575440</xdr:colOff>
      <xdr:row>66</xdr:row>
      <xdr:rowOff>72496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37</xdr:col>
      <xdr:colOff>38100</xdr:colOff>
      <xdr:row>10</xdr:row>
      <xdr:rowOff>57150</xdr:rowOff>
    </xdr:from>
    <xdr:to>
      <xdr:col>45</xdr:col>
      <xdr:colOff>342900</xdr:colOff>
      <xdr:row>25</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3</xdr:row>
      <xdr:rowOff>28575</xdr:rowOff>
    </xdr:from>
    <xdr:to>
      <xdr:col>1</xdr:col>
      <xdr:colOff>838200</xdr:colOff>
      <xdr:row>3</xdr:row>
      <xdr:rowOff>161925</xdr:rowOff>
    </xdr:to>
    <xdr:sp macro="" textlink="">
      <xdr:nvSpPr>
        <xdr:cNvPr id="2" name="Isosceles Triangle 1"/>
        <xdr:cNvSpPr/>
      </xdr:nvSpPr>
      <xdr:spPr>
        <a:xfrm>
          <a:off x="1228725" y="6762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685800</xdr:colOff>
      <xdr:row>5</xdr:row>
      <xdr:rowOff>56648</xdr:rowOff>
    </xdr:from>
    <xdr:to>
      <xdr:col>1</xdr:col>
      <xdr:colOff>838200</xdr:colOff>
      <xdr:row>6</xdr:row>
      <xdr:rowOff>9023</xdr:rowOff>
    </xdr:to>
    <xdr:sp macro="" textlink="">
      <xdr:nvSpPr>
        <xdr:cNvPr id="3" name="Oval 2"/>
        <xdr:cNvSpPr/>
      </xdr:nvSpPr>
      <xdr:spPr>
        <a:xfrm>
          <a:off x="1219200" y="1066298"/>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699336</xdr:colOff>
      <xdr:row>4</xdr:row>
      <xdr:rowOff>44617</xdr:rowOff>
    </xdr:from>
    <xdr:to>
      <xdr:col>1</xdr:col>
      <xdr:colOff>829678</xdr:colOff>
      <xdr:row>4</xdr:row>
      <xdr:rowOff>169946</xdr:rowOff>
    </xdr:to>
    <xdr:sp macro="" textlink="">
      <xdr:nvSpPr>
        <xdr:cNvPr id="4" name="Rectangle 3"/>
        <xdr:cNvSpPr/>
      </xdr:nvSpPr>
      <xdr:spPr>
        <a:xfrm>
          <a:off x="1232736" y="873292"/>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14</xdr:row>
      <xdr:rowOff>7056</xdr:rowOff>
    </xdr:from>
    <xdr:to>
      <xdr:col>3</xdr:col>
      <xdr:colOff>458610</xdr:colOff>
      <xdr:row>14</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14</xdr:row>
      <xdr:rowOff>6735</xdr:rowOff>
    </xdr:from>
    <xdr:to>
      <xdr:col>5</xdr:col>
      <xdr:colOff>486832</xdr:colOff>
      <xdr:row>14</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14</xdr:row>
      <xdr:rowOff>8659</xdr:rowOff>
    </xdr:from>
    <xdr:to>
      <xdr:col>11</xdr:col>
      <xdr:colOff>472723</xdr:colOff>
      <xdr:row>14</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14</xdr:row>
      <xdr:rowOff>8659</xdr:rowOff>
    </xdr:from>
    <xdr:to>
      <xdr:col>12</xdr:col>
      <xdr:colOff>481262</xdr:colOff>
      <xdr:row>14</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14</xdr:row>
      <xdr:rowOff>7056</xdr:rowOff>
    </xdr:from>
    <xdr:to>
      <xdr:col>17</xdr:col>
      <xdr:colOff>493888</xdr:colOff>
      <xdr:row>14</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14</xdr:row>
      <xdr:rowOff>11866</xdr:rowOff>
    </xdr:from>
    <xdr:to>
      <xdr:col>18</xdr:col>
      <xdr:colOff>490361</xdr:colOff>
      <xdr:row>14</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14</xdr:row>
      <xdr:rowOff>7056</xdr:rowOff>
    </xdr:from>
    <xdr:to>
      <xdr:col>14</xdr:col>
      <xdr:colOff>493888</xdr:colOff>
      <xdr:row>14</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14</xdr:row>
      <xdr:rowOff>11866</xdr:rowOff>
    </xdr:from>
    <xdr:to>
      <xdr:col>15</xdr:col>
      <xdr:colOff>490361</xdr:colOff>
      <xdr:row>14</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14</xdr:row>
      <xdr:rowOff>6735</xdr:rowOff>
    </xdr:from>
    <xdr:to>
      <xdr:col>20</xdr:col>
      <xdr:colOff>483304</xdr:colOff>
      <xdr:row>14</xdr:row>
      <xdr:rowOff>148167</xdr:rowOff>
    </xdr:to>
    <xdr:sp macro="" textlink="">
      <xdr:nvSpPr>
        <xdr:cNvPr id="15" name="Rectangle 14"/>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22</xdr:col>
      <xdr:colOff>346363</xdr:colOff>
      <xdr:row>14</xdr:row>
      <xdr:rowOff>6735</xdr:rowOff>
    </xdr:from>
    <xdr:to>
      <xdr:col>22</xdr:col>
      <xdr:colOff>483304</xdr:colOff>
      <xdr:row>14</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24</xdr:col>
      <xdr:colOff>346363</xdr:colOff>
      <xdr:row>14</xdr:row>
      <xdr:rowOff>6735</xdr:rowOff>
    </xdr:from>
    <xdr:to>
      <xdr:col>24</xdr:col>
      <xdr:colOff>483304</xdr:colOff>
      <xdr:row>14</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346363</xdr:colOff>
      <xdr:row>14</xdr:row>
      <xdr:rowOff>6735</xdr:rowOff>
    </xdr:from>
    <xdr:to>
      <xdr:col>26</xdr:col>
      <xdr:colOff>483304</xdr:colOff>
      <xdr:row>14</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14</xdr:row>
      <xdr:rowOff>6735</xdr:rowOff>
    </xdr:from>
    <xdr:to>
      <xdr:col>7</xdr:col>
      <xdr:colOff>483304</xdr:colOff>
      <xdr:row>14</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14</xdr:row>
      <xdr:rowOff>6735</xdr:rowOff>
    </xdr:from>
    <xdr:to>
      <xdr:col>9</xdr:col>
      <xdr:colOff>483304</xdr:colOff>
      <xdr:row>14</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523875</xdr:colOff>
      <xdr:row>2</xdr:row>
      <xdr:rowOff>85725</xdr:rowOff>
    </xdr:from>
    <xdr:to>
      <xdr:col>11</xdr:col>
      <xdr:colOff>418353</xdr:colOff>
      <xdr:row>4</xdr:row>
      <xdr:rowOff>152400</xdr:rowOff>
    </xdr:to>
    <xdr:grpSp>
      <xdr:nvGrpSpPr>
        <xdr:cNvPr id="5" name="Group 33"/>
        <xdr:cNvGrpSpPr>
          <a:grpSpLocks/>
        </xdr:cNvGrpSpPr>
      </xdr:nvGrpSpPr>
      <xdr:grpSpPr bwMode="auto">
        <a:xfrm>
          <a:off x="523875" y="561975"/>
          <a:ext cx="8486028" cy="657225"/>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6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Utilities will have the choice to manually adjust the projected growth in the bridge and test years if it is felt that the Geomean average does not represent forecasted growth</a:t>
            </a:r>
          </a:p>
        </xdr:txBody>
      </xdr:sp>
    </xdr:grpSp>
    <xdr:clientData/>
  </xdr:twoCellAnchor>
  <xdr:twoCellAnchor>
    <xdr:from>
      <xdr:col>2</xdr:col>
      <xdr:colOff>66675</xdr:colOff>
      <xdr:row>25</xdr:row>
      <xdr:rowOff>19050</xdr:rowOff>
    </xdr:from>
    <xdr:to>
      <xdr:col>2</xdr:col>
      <xdr:colOff>112394</xdr:colOff>
      <xdr:row>25</xdr:row>
      <xdr:rowOff>114300</xdr:rowOff>
    </xdr:to>
    <xdr:sp macro="" textlink="">
      <xdr:nvSpPr>
        <xdr:cNvPr id="8" name="Down Arrow 7"/>
        <xdr:cNvSpPr/>
      </xdr:nvSpPr>
      <xdr:spPr>
        <a:xfrm>
          <a:off x="1743075" y="5124450"/>
          <a:ext cx="45719"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14</xdr:col>
      <xdr:colOff>0</xdr:colOff>
      <xdr:row>25</xdr:row>
      <xdr:rowOff>0</xdr:rowOff>
    </xdr:from>
    <xdr:to>
      <xdr:col>14</xdr:col>
      <xdr:colOff>45719</xdr:colOff>
      <xdr:row>25</xdr:row>
      <xdr:rowOff>95250</xdr:rowOff>
    </xdr:to>
    <xdr:sp macro="" textlink="">
      <xdr:nvSpPr>
        <xdr:cNvPr id="10" name="Down Arrow 9"/>
        <xdr:cNvSpPr/>
      </xdr:nvSpPr>
      <xdr:spPr>
        <a:xfrm>
          <a:off x="10953750" y="5105400"/>
          <a:ext cx="45719"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285003</xdr:colOff>
      <xdr:row>8</xdr:row>
      <xdr:rowOff>42022</xdr:rowOff>
    </xdr:to>
    <xdr:grpSp>
      <xdr:nvGrpSpPr>
        <xdr:cNvPr id="5" name="Group 33"/>
        <xdr:cNvGrpSpPr>
          <a:grpSpLocks/>
        </xdr:cNvGrpSpPr>
      </xdr:nvGrpSpPr>
      <xdr:grpSpPr bwMode="auto">
        <a:xfrm>
          <a:off x="529167" y="635000"/>
          <a:ext cx="8476503" cy="835772"/>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Enter Variables here that will be used to run the regression analysis in worksheet 6. WS Regression Analysis ( Maximum 6 variables)</a:t>
            </a:r>
          </a:p>
          <a:p>
            <a:pPr algn="l" rtl="0">
              <a:defRPr sz="1000"/>
            </a:pPr>
            <a:r>
              <a:rPr lang="en-CA" sz="1000" b="1" i="1" u="none" strike="noStrike" baseline="0">
                <a:solidFill>
                  <a:srgbClr val="FF0000"/>
                </a:solidFill>
                <a:latin typeface="Arial"/>
                <a:cs typeface="Arial"/>
              </a:rPr>
              <a:t>Note: Your final regression analysis </a:t>
            </a:r>
            <a:r>
              <a:rPr lang="en-CA" sz="1000" b="1" i="1" u="sng" strike="noStrike" baseline="0">
                <a:solidFill>
                  <a:srgbClr val="FF0000"/>
                </a:solidFill>
                <a:latin typeface="Arial"/>
                <a:cs typeface="Arial"/>
              </a:rPr>
              <a:t>does not </a:t>
            </a:r>
            <a:r>
              <a:rPr lang="en-CA" sz="1000" b="1" i="1" u="none" strike="noStrike" baseline="0">
                <a:solidFill>
                  <a:srgbClr val="FF0000"/>
                </a:solidFill>
                <a:latin typeface="Arial"/>
                <a:cs typeface="Arial"/>
              </a:rPr>
              <a:t>need to include all six of the variables </a:t>
            </a:r>
            <a:endParaRPr lang="en-CA" sz="1000" b="1" i="0" u="none" strike="noStrike" baseline="0">
              <a:solidFill>
                <a:srgbClr val="FF0000"/>
              </a:solidFill>
              <a:latin typeface="Arial"/>
              <a:cs typeface="Aria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406213</xdr:colOff>
      <xdr:row>7</xdr:row>
      <xdr:rowOff>87406</xdr:rowOff>
    </xdr:from>
    <xdr:to>
      <xdr:col>2</xdr:col>
      <xdr:colOff>587188</xdr:colOff>
      <xdr:row>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7</xdr:row>
      <xdr:rowOff>104775</xdr:rowOff>
    </xdr:from>
    <xdr:to>
      <xdr:col>17</xdr:col>
      <xdr:colOff>676275</xdr:colOff>
      <xdr:row>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16</xdr:col>
      <xdr:colOff>168088</xdr:colOff>
      <xdr:row>8</xdr:row>
      <xdr:rowOff>302557</xdr:rowOff>
    </xdr:from>
    <xdr:to>
      <xdr:col>17</xdr:col>
      <xdr:colOff>257734</xdr:colOff>
      <xdr:row>8</xdr:row>
      <xdr:rowOff>348276</xdr:rowOff>
    </xdr:to>
    <xdr:sp macro="" textlink="">
      <xdr:nvSpPr>
        <xdr:cNvPr id="4" name="Right Arrow 3"/>
        <xdr:cNvSpPr/>
      </xdr:nvSpPr>
      <xdr:spPr>
        <a:xfrm rot="10800000">
          <a:off x="13581529" y="2017057"/>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537882</xdr:colOff>
      <xdr:row>8</xdr:row>
      <xdr:rowOff>302559</xdr:rowOff>
    </xdr:from>
    <xdr:to>
      <xdr:col>9</xdr:col>
      <xdr:colOff>862852</xdr:colOff>
      <xdr:row>8</xdr:row>
      <xdr:rowOff>348278</xdr:rowOff>
    </xdr:to>
    <xdr:sp macro="" textlink="">
      <xdr:nvSpPr>
        <xdr:cNvPr id="6" name="Right Arrow 5"/>
        <xdr:cNvSpPr/>
      </xdr:nvSpPr>
      <xdr:spPr>
        <a:xfrm>
          <a:off x="7911353" y="2017059"/>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515470</xdr:colOff>
      <xdr:row>1</xdr:row>
      <xdr:rowOff>156881</xdr:rowOff>
    </xdr:from>
    <xdr:to>
      <xdr:col>10</xdr:col>
      <xdr:colOff>216086</xdr:colOff>
      <xdr:row>4</xdr:row>
      <xdr:rowOff>257734</xdr:rowOff>
    </xdr:to>
    <xdr:grpSp>
      <xdr:nvGrpSpPr>
        <xdr:cNvPr id="7" name="Group 33"/>
        <xdr:cNvGrpSpPr>
          <a:grpSpLocks/>
        </xdr:cNvGrpSpPr>
      </xdr:nvGrpSpPr>
      <xdr:grpSpPr bwMode="auto">
        <a:xfrm>
          <a:off x="515470" y="461681"/>
          <a:ext cx="9454216" cy="862853"/>
          <a:chOff x="11" y="147"/>
          <a:chExt cx="521" cy="83"/>
        </a:xfrm>
      </xdr:grpSpPr>
      <xdr:sp macro="" textlink="">
        <xdr:nvSpPr>
          <xdr:cNvPr id="8"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Update Wholesale Purchases,</a:t>
            </a:r>
          </a:p>
          <a:p>
            <a:pPr algn="l" rtl="0">
              <a:defRPr sz="1000"/>
            </a:pPr>
            <a:r>
              <a:rPr lang="en-CA" sz="1000" b="1" i="0" u="none" strike="noStrike" baseline="0">
                <a:solidFill>
                  <a:srgbClr val="FF0000"/>
                </a:solidFill>
                <a:latin typeface="Arial"/>
                <a:cs typeface="Arial"/>
              </a:rPr>
              <a:t>2. Use drop down lists to select the variables inputted from 5.Variable Worksheet and  Select Forecast Methodology</a:t>
            </a:r>
          </a:p>
          <a:p>
            <a:pPr algn="l" rtl="0">
              <a:defRPr sz="1000"/>
            </a:pPr>
            <a:r>
              <a:rPr lang="en-CA" sz="1000" b="1" i="0" u="none" strike="noStrike" baseline="0">
                <a:solidFill>
                  <a:srgbClr val="FF0000"/>
                </a:solidFill>
                <a:latin typeface="Arial"/>
                <a:cs typeface="Arial"/>
              </a:rPr>
              <a:t>3. Run Regression -&gt; Data -&gt; Data Analysis - &gt; Regression</a:t>
            </a:r>
            <a:endParaRPr lang="en-CA" sz="1000" b="1" i="1" u="none" strike="noStrike" baseline="0">
              <a:solidFill>
                <a:srgbClr val="FF0000"/>
              </a:solidFill>
              <a:latin typeface="Arial"/>
              <a:cs typeface="Aria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190500</xdr:colOff>
      <xdr:row>9</xdr:row>
      <xdr:rowOff>19050</xdr:rowOff>
    </xdr:from>
    <xdr:to>
      <xdr:col>1</xdr:col>
      <xdr:colOff>533399</xdr:colOff>
      <xdr:row>32</xdr:row>
      <xdr:rowOff>0</xdr:rowOff>
    </xdr:to>
    <xdr:sp macro="" textlink="">
      <xdr:nvSpPr>
        <xdr:cNvPr id="2" name="Left Brace 1"/>
        <xdr:cNvSpPr/>
      </xdr:nvSpPr>
      <xdr:spPr>
        <a:xfrm>
          <a:off x="190500" y="504825"/>
          <a:ext cx="342899" cy="5124450"/>
        </a:xfrm>
        <a:prstGeom prst="leftBrace">
          <a:avLst>
            <a:gd name="adj1" fmla="val 8333"/>
            <a:gd name="adj2" fmla="val 498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1</xdr:col>
      <xdr:colOff>200025</xdr:colOff>
      <xdr:row>33</xdr:row>
      <xdr:rowOff>161924</xdr:rowOff>
    </xdr:from>
    <xdr:to>
      <xdr:col>2</xdr:col>
      <xdr:colOff>9524</xdr:colOff>
      <xdr:row>58</xdr:row>
      <xdr:rowOff>0</xdr:rowOff>
    </xdr:to>
    <xdr:sp macro="" textlink="">
      <xdr:nvSpPr>
        <xdr:cNvPr id="3" name="Left Brace 2"/>
        <xdr:cNvSpPr/>
      </xdr:nvSpPr>
      <xdr:spPr>
        <a:xfrm>
          <a:off x="200025" y="6296024"/>
          <a:ext cx="342899" cy="5153025"/>
        </a:xfrm>
        <a:prstGeom prst="leftBrace">
          <a:avLst>
            <a:gd name="adj1" fmla="val 8333"/>
            <a:gd name="adj2" fmla="val 498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2</xdr:col>
      <xdr:colOff>0</xdr:colOff>
      <xdr:row>2</xdr:row>
      <xdr:rowOff>0</xdr:rowOff>
    </xdr:from>
    <xdr:to>
      <xdr:col>9</xdr:col>
      <xdr:colOff>799353</xdr:colOff>
      <xdr:row>7</xdr:row>
      <xdr:rowOff>0</xdr:rowOff>
    </xdr:to>
    <xdr:grpSp>
      <xdr:nvGrpSpPr>
        <xdr:cNvPr id="6" name="Group 33"/>
        <xdr:cNvGrpSpPr>
          <a:grpSpLocks/>
        </xdr:cNvGrpSpPr>
      </xdr:nvGrpSpPr>
      <xdr:grpSpPr bwMode="auto">
        <a:xfrm>
          <a:off x="809625" y="457200"/>
          <a:ext cx="9971928" cy="809625"/>
          <a:chOff x="11" y="147"/>
          <a:chExt cx="521" cy="83"/>
        </a:xfrm>
      </xdr:grpSpPr>
      <xdr:sp macro="" textlink="">
        <xdr:nvSpPr>
          <xdr:cNvPr id="7"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Examples of Correlation and Regression Results can be copied over from worksheet 6. WS Regression Analysis</a:t>
            </a:r>
          </a:p>
          <a:p>
            <a:pPr algn="l" rtl="0">
              <a:defRPr sz="1000"/>
            </a:pPr>
            <a:r>
              <a:rPr lang="en-CA" sz="1000" b="1" i="0" u="none" strike="noStrike" baseline="0">
                <a:solidFill>
                  <a:srgbClr val="FF0000"/>
                </a:solidFill>
                <a:latin typeface="Arial"/>
                <a:cs typeface="Arial"/>
              </a:rPr>
              <a:t>2. This page will be overwrite by utilities specific studies</a:t>
            </a:r>
            <a:endParaRPr lang="en-CA" sz="1000" b="1" i="1" u="none" strike="noStrike" baseline="0">
              <a:solidFill>
                <a:srgbClr val="FF0000"/>
              </a:solidFill>
              <a:latin typeface="Arial"/>
              <a:cs typeface="Aria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173394</xdr:colOff>
      <xdr:row>34</xdr:row>
      <xdr:rowOff>34636</xdr:rowOff>
    </xdr:from>
    <xdr:to>
      <xdr:col>0</xdr:col>
      <xdr:colOff>536863</xdr:colOff>
      <xdr:row>37</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189633</xdr:colOff>
      <xdr:row>28</xdr:row>
      <xdr:rowOff>57150</xdr:rowOff>
    </xdr:from>
    <xdr:to>
      <xdr:col>4</xdr:col>
      <xdr:colOff>445077</xdr:colOff>
      <xdr:row>32</xdr:row>
      <xdr:rowOff>36368</xdr:rowOff>
    </xdr:to>
    <xdr:sp macro="" textlink="">
      <xdr:nvSpPr>
        <xdr:cNvPr id="3" name="Down Arrow 2"/>
        <xdr:cNvSpPr/>
      </xdr:nvSpPr>
      <xdr:spPr>
        <a:xfrm>
          <a:off x="3485283" y="38290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213013</xdr:colOff>
      <xdr:row>28</xdr:row>
      <xdr:rowOff>47625</xdr:rowOff>
    </xdr:from>
    <xdr:to>
      <xdr:col>12</xdr:col>
      <xdr:colOff>477982</xdr:colOff>
      <xdr:row>32</xdr:row>
      <xdr:rowOff>8659</xdr:rowOff>
    </xdr:to>
    <xdr:sp macro="" textlink="">
      <xdr:nvSpPr>
        <xdr:cNvPr id="4" name="Down Arrow 3"/>
        <xdr:cNvSpPr/>
      </xdr:nvSpPr>
      <xdr:spPr>
        <a:xfrm>
          <a:off x="9699913" y="3819525"/>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185303</xdr:colOff>
      <xdr:row>28</xdr:row>
      <xdr:rowOff>47624</xdr:rowOff>
    </xdr:from>
    <xdr:to>
      <xdr:col>20</xdr:col>
      <xdr:colOff>450272</xdr:colOff>
      <xdr:row>32</xdr:row>
      <xdr:rowOff>19915</xdr:rowOff>
    </xdr:to>
    <xdr:sp macro="" textlink="">
      <xdr:nvSpPr>
        <xdr:cNvPr id="5" name="Down Arrow 4"/>
        <xdr:cNvSpPr/>
      </xdr:nvSpPr>
      <xdr:spPr>
        <a:xfrm>
          <a:off x="15853928" y="38195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285750</xdr:colOff>
      <xdr:row>14</xdr:row>
      <xdr:rowOff>38100</xdr:rowOff>
    </xdr:from>
    <xdr:to>
      <xdr:col>4</xdr:col>
      <xdr:colOff>533400</xdr:colOff>
      <xdr:row>14</xdr:row>
      <xdr:rowOff>266700</xdr:rowOff>
    </xdr:to>
    <xdr:sp macro="" textlink="">
      <xdr:nvSpPr>
        <xdr:cNvPr id="6" name="5-Point Star 5"/>
        <xdr:cNvSpPr/>
      </xdr:nvSpPr>
      <xdr:spPr>
        <a:xfrm>
          <a:off x="3524250" y="742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276225</xdr:colOff>
      <xdr:row>14</xdr:row>
      <xdr:rowOff>47625</xdr:rowOff>
    </xdr:from>
    <xdr:to>
      <xdr:col>12</xdr:col>
      <xdr:colOff>523875</xdr:colOff>
      <xdr:row>14</xdr:row>
      <xdr:rowOff>276225</xdr:rowOff>
    </xdr:to>
    <xdr:sp macro="" textlink="">
      <xdr:nvSpPr>
        <xdr:cNvPr id="7" name="5-Point Star 6"/>
        <xdr:cNvSpPr/>
      </xdr:nvSpPr>
      <xdr:spPr>
        <a:xfrm>
          <a:off x="9705975" y="7524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276225</xdr:colOff>
      <xdr:row>14</xdr:row>
      <xdr:rowOff>38100</xdr:rowOff>
    </xdr:from>
    <xdr:to>
      <xdr:col>20</xdr:col>
      <xdr:colOff>523875</xdr:colOff>
      <xdr:row>14</xdr:row>
      <xdr:rowOff>266700</xdr:rowOff>
    </xdr:to>
    <xdr:sp macro="" textlink="">
      <xdr:nvSpPr>
        <xdr:cNvPr id="8" name="5-Point Star 7"/>
        <xdr:cNvSpPr/>
      </xdr:nvSpPr>
      <xdr:spPr>
        <a:xfrm>
          <a:off x="15887700" y="742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371475</xdr:colOff>
      <xdr:row>14</xdr:row>
      <xdr:rowOff>57149</xdr:rowOff>
    </xdr:from>
    <xdr:to>
      <xdr:col>2</xdr:col>
      <xdr:colOff>571500</xdr:colOff>
      <xdr:row>14</xdr:row>
      <xdr:rowOff>238124</xdr:rowOff>
    </xdr:to>
    <xdr:sp macro="" textlink="">
      <xdr:nvSpPr>
        <xdr:cNvPr id="10" name="Rectangle 9"/>
        <xdr:cNvSpPr/>
      </xdr:nvSpPr>
      <xdr:spPr>
        <a:xfrm>
          <a:off x="1895475" y="923924"/>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333375</xdr:colOff>
      <xdr:row>14</xdr:row>
      <xdr:rowOff>66675</xdr:rowOff>
    </xdr:from>
    <xdr:to>
      <xdr:col>10</xdr:col>
      <xdr:colOff>533400</xdr:colOff>
      <xdr:row>14</xdr:row>
      <xdr:rowOff>247650</xdr:rowOff>
    </xdr:to>
    <xdr:sp macro="" textlink="">
      <xdr:nvSpPr>
        <xdr:cNvPr id="11" name="Rectangle 10"/>
        <xdr:cNvSpPr/>
      </xdr:nvSpPr>
      <xdr:spPr>
        <a:xfrm>
          <a:off x="8105775" y="933450"/>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14</xdr:row>
      <xdr:rowOff>76200</xdr:rowOff>
    </xdr:from>
    <xdr:to>
      <xdr:col>18</xdr:col>
      <xdr:colOff>514350</xdr:colOff>
      <xdr:row>14</xdr:row>
      <xdr:rowOff>257175</xdr:rowOff>
    </xdr:to>
    <xdr:sp macro="" textlink="">
      <xdr:nvSpPr>
        <xdr:cNvPr id="12" name="Rectangle 11"/>
        <xdr:cNvSpPr/>
      </xdr:nvSpPr>
      <xdr:spPr>
        <a:xfrm>
          <a:off x="14268450" y="9429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276225</xdr:colOff>
      <xdr:row>14</xdr:row>
      <xdr:rowOff>76199</xdr:rowOff>
    </xdr:from>
    <xdr:to>
      <xdr:col>19</xdr:col>
      <xdr:colOff>476250</xdr:colOff>
      <xdr:row>14</xdr:row>
      <xdr:rowOff>257174</xdr:rowOff>
    </xdr:to>
    <xdr:sp macro="" textlink="">
      <xdr:nvSpPr>
        <xdr:cNvPr id="13" name="Isosceles Triangle 12"/>
        <xdr:cNvSpPr/>
      </xdr:nvSpPr>
      <xdr:spPr>
        <a:xfrm>
          <a:off x="15030450" y="9429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266700</xdr:colOff>
      <xdr:row>14</xdr:row>
      <xdr:rowOff>38100</xdr:rowOff>
    </xdr:from>
    <xdr:to>
      <xdr:col>11</xdr:col>
      <xdr:colOff>504825</xdr:colOff>
      <xdr:row>14</xdr:row>
      <xdr:rowOff>257175</xdr:rowOff>
    </xdr:to>
    <xdr:sp macro="" textlink="">
      <xdr:nvSpPr>
        <xdr:cNvPr id="14" name="Isosceles Triangle 13"/>
        <xdr:cNvSpPr/>
      </xdr:nvSpPr>
      <xdr:spPr>
        <a:xfrm>
          <a:off x="8839200" y="904875"/>
          <a:ext cx="238125" cy="2190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266700</xdr:colOff>
      <xdr:row>14</xdr:row>
      <xdr:rowOff>28575</xdr:rowOff>
    </xdr:from>
    <xdr:to>
      <xdr:col>3</xdr:col>
      <xdr:colOff>495300</xdr:colOff>
      <xdr:row>14</xdr:row>
      <xdr:rowOff>247650</xdr:rowOff>
    </xdr:to>
    <xdr:sp macro="" textlink="">
      <xdr:nvSpPr>
        <xdr:cNvPr id="15" name="Isosceles Triangle 14"/>
        <xdr:cNvSpPr/>
      </xdr:nvSpPr>
      <xdr:spPr>
        <a:xfrm>
          <a:off x="2647950" y="895350"/>
          <a:ext cx="228600" cy="2190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185303</xdr:colOff>
      <xdr:row>28</xdr:row>
      <xdr:rowOff>47624</xdr:rowOff>
    </xdr:from>
    <xdr:to>
      <xdr:col>28</xdr:col>
      <xdr:colOff>450272</xdr:colOff>
      <xdr:row>32</xdr:row>
      <xdr:rowOff>19915</xdr:rowOff>
    </xdr:to>
    <xdr:sp macro="" textlink="">
      <xdr:nvSpPr>
        <xdr:cNvPr id="16" name="Down Arrow 15"/>
        <xdr:cNvSpPr/>
      </xdr:nvSpPr>
      <xdr:spPr>
        <a:xfrm>
          <a:off x="15853928" y="38195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276225</xdr:colOff>
      <xdr:row>14</xdr:row>
      <xdr:rowOff>38100</xdr:rowOff>
    </xdr:from>
    <xdr:to>
      <xdr:col>28</xdr:col>
      <xdr:colOff>523875</xdr:colOff>
      <xdr:row>14</xdr:row>
      <xdr:rowOff>266700</xdr:rowOff>
    </xdr:to>
    <xdr:sp macro="" textlink="">
      <xdr:nvSpPr>
        <xdr:cNvPr id="17" name="5-Point Star 16"/>
        <xdr:cNvSpPr/>
      </xdr:nvSpPr>
      <xdr:spPr>
        <a:xfrm>
          <a:off x="15944850" y="9048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314325</xdr:colOff>
      <xdr:row>14</xdr:row>
      <xdr:rowOff>76200</xdr:rowOff>
    </xdr:from>
    <xdr:to>
      <xdr:col>26</xdr:col>
      <xdr:colOff>514350</xdr:colOff>
      <xdr:row>14</xdr:row>
      <xdr:rowOff>257175</xdr:rowOff>
    </xdr:to>
    <xdr:sp macro="" textlink="">
      <xdr:nvSpPr>
        <xdr:cNvPr id="18" name="Rectangle 17"/>
        <xdr:cNvSpPr/>
      </xdr:nvSpPr>
      <xdr:spPr>
        <a:xfrm>
          <a:off x="14268450" y="9429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276225</xdr:colOff>
      <xdr:row>14</xdr:row>
      <xdr:rowOff>76199</xdr:rowOff>
    </xdr:from>
    <xdr:to>
      <xdr:col>27</xdr:col>
      <xdr:colOff>476250</xdr:colOff>
      <xdr:row>14</xdr:row>
      <xdr:rowOff>257174</xdr:rowOff>
    </xdr:to>
    <xdr:sp macro="" textlink="">
      <xdr:nvSpPr>
        <xdr:cNvPr id="19" name="Isosceles Triangle 18"/>
        <xdr:cNvSpPr/>
      </xdr:nvSpPr>
      <xdr:spPr>
        <a:xfrm>
          <a:off x="15087600" y="9429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9525</xdr:colOff>
      <xdr:row>3</xdr:row>
      <xdr:rowOff>142875</xdr:rowOff>
    </xdr:from>
    <xdr:to>
      <xdr:col>11</xdr:col>
      <xdr:colOff>50800</xdr:colOff>
      <xdr:row>9</xdr:row>
      <xdr:rowOff>9525</xdr:rowOff>
    </xdr:to>
    <xdr:grpSp>
      <xdr:nvGrpSpPr>
        <xdr:cNvPr id="20" name="Group 33"/>
        <xdr:cNvGrpSpPr>
          <a:grpSpLocks/>
        </xdr:cNvGrpSpPr>
      </xdr:nvGrpSpPr>
      <xdr:grpSpPr bwMode="auto">
        <a:xfrm>
          <a:off x="760942" y="661458"/>
          <a:ext cx="8243358" cy="988484"/>
          <a:chOff x="11" y="147"/>
          <a:chExt cx="521" cy="83"/>
        </a:xfrm>
      </xdr:grpSpPr>
      <xdr:sp macro="" textlink="">
        <xdr:nvSpPr>
          <xdr:cNvPr id="21"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Select </a:t>
            </a:r>
            <a:r>
              <a:rPr lang="en-CA" sz="1000" b="1" i="0" u="sng" strike="noStrike" baseline="0">
                <a:solidFill>
                  <a:srgbClr val="FF0000"/>
                </a:solidFill>
                <a:latin typeface="Arial"/>
                <a:cs typeface="Arial"/>
              </a:rPr>
              <a:t>Only</a:t>
            </a:r>
            <a:r>
              <a:rPr lang="en-CA" sz="1000" b="1" i="0" u="none" strike="noStrike" baseline="0">
                <a:solidFill>
                  <a:srgbClr val="FF0000"/>
                </a:solidFill>
                <a:latin typeface="Arial"/>
                <a:cs typeface="Arial"/>
              </a:rPr>
              <a:t> the billed kWh Customer Classes from the Drop Down List ( Include GS&gt;50 kW customers)</a:t>
            </a:r>
          </a:p>
          <a:p>
            <a:pPr algn="l" rtl="0">
              <a:defRPr sz="1000"/>
            </a:pPr>
            <a:r>
              <a:rPr lang="en-CA" sz="1000" b="1" i="0" u="none" strike="noStrike" baseline="0">
                <a:solidFill>
                  <a:srgbClr val="FF0000"/>
                </a:solidFill>
                <a:latin typeface="Arial"/>
                <a:cs typeface="Arial"/>
              </a:rPr>
              <a:t>2. Select if you need to manually adjust for Load Growth or not - i.e. if this was not captured through the regression analysis (this can be verified by a quick calculation, comparing weather normal kwh purchases/forecasted customer totals for the forecast year)-</a:t>
            </a:r>
            <a:endParaRPr lang="en-CA" sz="1000" b="1" i="1" u="none" strike="noStrike" baseline="0">
              <a:solidFill>
                <a:srgbClr val="FF0000"/>
              </a:solidFill>
              <a:latin typeface="Arial"/>
              <a:cs typeface="Arial"/>
            </a:endParaRPr>
          </a:p>
        </xdr:txBody>
      </xdr:sp>
    </xdr:grpSp>
    <xdr:clientData/>
  </xdr:twoCellAnchor>
  <xdr:twoCellAnchor>
    <xdr:from>
      <xdr:col>36</xdr:col>
      <xdr:colOff>185303</xdr:colOff>
      <xdr:row>28</xdr:row>
      <xdr:rowOff>47624</xdr:rowOff>
    </xdr:from>
    <xdr:to>
      <xdr:col>36</xdr:col>
      <xdr:colOff>450272</xdr:colOff>
      <xdr:row>32</xdr:row>
      <xdr:rowOff>19915</xdr:rowOff>
    </xdr:to>
    <xdr:sp macro="" textlink="">
      <xdr:nvSpPr>
        <xdr:cNvPr id="23" name="Down Arrow 22"/>
        <xdr:cNvSpPr/>
      </xdr:nvSpPr>
      <xdr:spPr>
        <a:xfrm>
          <a:off x="22026128" y="46196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276225</xdr:colOff>
      <xdr:row>14</xdr:row>
      <xdr:rowOff>38100</xdr:rowOff>
    </xdr:from>
    <xdr:to>
      <xdr:col>36</xdr:col>
      <xdr:colOff>523875</xdr:colOff>
      <xdr:row>14</xdr:row>
      <xdr:rowOff>266700</xdr:rowOff>
    </xdr:to>
    <xdr:sp macro="" textlink="">
      <xdr:nvSpPr>
        <xdr:cNvPr id="24" name="5-Point Star 23"/>
        <xdr:cNvSpPr/>
      </xdr:nvSpPr>
      <xdr:spPr>
        <a:xfrm>
          <a:off x="22117050" y="17049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314325</xdr:colOff>
      <xdr:row>14</xdr:row>
      <xdr:rowOff>76200</xdr:rowOff>
    </xdr:from>
    <xdr:to>
      <xdr:col>34</xdr:col>
      <xdr:colOff>514350</xdr:colOff>
      <xdr:row>14</xdr:row>
      <xdr:rowOff>257175</xdr:rowOff>
    </xdr:to>
    <xdr:sp macro="" textlink="">
      <xdr:nvSpPr>
        <xdr:cNvPr id="25" name="Rectangle 24"/>
        <xdr:cNvSpPr/>
      </xdr:nvSpPr>
      <xdr:spPr>
        <a:xfrm>
          <a:off x="20440650" y="17430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276225</xdr:colOff>
      <xdr:row>14</xdr:row>
      <xdr:rowOff>76199</xdr:rowOff>
    </xdr:from>
    <xdr:to>
      <xdr:col>35</xdr:col>
      <xdr:colOff>476250</xdr:colOff>
      <xdr:row>14</xdr:row>
      <xdr:rowOff>257174</xdr:rowOff>
    </xdr:to>
    <xdr:sp macro="" textlink="">
      <xdr:nvSpPr>
        <xdr:cNvPr id="26" name="Isosceles Triangle 25"/>
        <xdr:cNvSpPr/>
      </xdr:nvSpPr>
      <xdr:spPr>
        <a:xfrm>
          <a:off x="21259800" y="17430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285750</xdr:colOff>
      <xdr:row>14</xdr:row>
      <xdr:rowOff>38100</xdr:rowOff>
    </xdr:from>
    <xdr:to>
      <xdr:col>12</xdr:col>
      <xdr:colOff>533400</xdr:colOff>
      <xdr:row>14</xdr:row>
      <xdr:rowOff>266700</xdr:rowOff>
    </xdr:to>
    <xdr:sp macro="" textlink="">
      <xdr:nvSpPr>
        <xdr:cNvPr id="27" name="5-Point Star 26"/>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28</xdr:col>
      <xdr:colOff>285750</xdr:colOff>
      <xdr:row>14</xdr:row>
      <xdr:rowOff>38100</xdr:rowOff>
    </xdr:from>
    <xdr:to>
      <xdr:col>28</xdr:col>
      <xdr:colOff>533400</xdr:colOff>
      <xdr:row>14</xdr:row>
      <xdr:rowOff>266700</xdr:rowOff>
    </xdr:to>
    <xdr:sp macro="" textlink="">
      <xdr:nvSpPr>
        <xdr:cNvPr id="28" name="5-Point Star 27"/>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36</xdr:col>
      <xdr:colOff>285750</xdr:colOff>
      <xdr:row>14</xdr:row>
      <xdr:rowOff>38100</xdr:rowOff>
    </xdr:from>
    <xdr:to>
      <xdr:col>36</xdr:col>
      <xdr:colOff>533400</xdr:colOff>
      <xdr:row>14</xdr:row>
      <xdr:rowOff>266700</xdr:rowOff>
    </xdr:to>
    <xdr:sp macro="" textlink="">
      <xdr:nvSpPr>
        <xdr:cNvPr id="29" name="5-Point Star 28"/>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371475</xdr:colOff>
      <xdr:row>14</xdr:row>
      <xdr:rowOff>57149</xdr:rowOff>
    </xdr:from>
    <xdr:to>
      <xdr:col>26</xdr:col>
      <xdr:colOff>571500</xdr:colOff>
      <xdr:row>14</xdr:row>
      <xdr:rowOff>238124</xdr:rowOff>
    </xdr:to>
    <xdr:sp macro="" textlink="">
      <xdr:nvSpPr>
        <xdr:cNvPr id="33" name="Rectangle 32"/>
        <xdr:cNvSpPr/>
      </xdr:nvSpPr>
      <xdr:spPr>
        <a:xfrm>
          <a:off x="1895475" y="2666999"/>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34</xdr:col>
      <xdr:colOff>371475</xdr:colOff>
      <xdr:row>14</xdr:row>
      <xdr:rowOff>57149</xdr:rowOff>
    </xdr:from>
    <xdr:to>
      <xdr:col>34</xdr:col>
      <xdr:colOff>571500</xdr:colOff>
      <xdr:row>14</xdr:row>
      <xdr:rowOff>238124</xdr:rowOff>
    </xdr:to>
    <xdr:sp macro="" textlink="">
      <xdr:nvSpPr>
        <xdr:cNvPr id="34" name="Rectangle 33"/>
        <xdr:cNvSpPr/>
      </xdr:nvSpPr>
      <xdr:spPr>
        <a:xfrm>
          <a:off x="1895475" y="2666999"/>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161925</xdr:rowOff>
    </xdr:from>
    <xdr:to>
      <xdr:col>22</xdr:col>
      <xdr:colOff>574675</xdr:colOff>
      <xdr:row>6</xdr:row>
      <xdr:rowOff>230717</xdr:rowOff>
    </xdr:to>
    <xdr:grpSp>
      <xdr:nvGrpSpPr>
        <xdr:cNvPr id="3" name="Group 33"/>
        <xdr:cNvGrpSpPr>
          <a:grpSpLocks/>
        </xdr:cNvGrpSpPr>
      </xdr:nvGrpSpPr>
      <xdr:grpSpPr bwMode="auto">
        <a:xfrm>
          <a:off x="800100" y="800100"/>
          <a:ext cx="17319625" cy="954617"/>
          <a:chOff x="11" y="147"/>
          <a:chExt cx="521" cy="83"/>
        </a:xfrm>
      </xdr:grpSpPr>
      <xdr:sp macro="" textlink="">
        <xdr:nvSpPr>
          <xdr:cNvPr id="4"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Select </a:t>
            </a:r>
            <a:r>
              <a:rPr lang="en-CA" sz="1000" b="1" i="0" u="sng" strike="noStrike" baseline="0">
                <a:solidFill>
                  <a:srgbClr val="FF0000"/>
                </a:solidFill>
                <a:latin typeface="Arial"/>
                <a:cs typeface="Arial"/>
              </a:rPr>
              <a:t>All </a:t>
            </a:r>
            <a:r>
              <a:rPr lang="en-CA" sz="1000" b="1" i="0" u="none" strike="noStrike" baseline="0">
                <a:solidFill>
                  <a:srgbClr val="FF0000"/>
                </a:solidFill>
                <a:latin typeface="Arial"/>
                <a:cs typeface="Arial"/>
              </a:rPr>
              <a:t>Customers billed Distribution Volumetric Rates by kW</a:t>
            </a: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a:p>
            <a:pPr algn="l" rtl="0">
              <a:defRPr sz="1000"/>
            </a:pPr>
            <a:r>
              <a:rPr lang="en-CA" sz="1000" b="1" i="1" u="none" strike="noStrike" baseline="0">
                <a:solidFill>
                  <a:srgbClr val="FF0000"/>
                </a:solidFill>
                <a:latin typeface="Arial"/>
                <a:cs typeface="Arial"/>
              </a:rPr>
              <a:t>2. </a:t>
            </a:r>
            <a:r>
              <a:rPr lang="en-CA" sz="1000" b="1" i="0" u="none" strike="noStrike" baseline="0">
                <a:solidFill>
                  <a:srgbClr val="FF0000"/>
                </a:solidFill>
                <a:latin typeface="Arial"/>
                <a:cs typeface="Arial"/>
              </a:rPr>
              <a:t>Please update the Average Years that is used to calculate an average kW/kWh ratio and forecast kW's</a:t>
            </a:r>
          </a:p>
          <a:p>
            <a:pPr algn="l" rtl="0">
              <a:defRPr sz="1000"/>
            </a:pPr>
            <a:r>
              <a:rPr lang="en-CA" sz="1000" b="1" i="0" u="none" strike="noStrike" baseline="0">
                <a:solidFill>
                  <a:srgbClr val="FF0000"/>
                </a:solidFill>
                <a:latin typeface="Arial"/>
                <a:cs typeface="Arial"/>
              </a:rPr>
              <a:t>3. If required, A Distributor may manually adjust kWh's - i.e. Wholesale Market Participant might not have been reflected through Regression for Large Customers ( Distributor must support decision)</a:t>
            </a: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0" u="none" strike="noStrike" baseline="0">
                <a:solidFill>
                  <a:srgbClr val="FF0000"/>
                </a:solidFill>
                <a:latin typeface="Arial"/>
                <a:cs typeface="Arial"/>
              </a:rPr>
              <a:t>4. </a:t>
            </a:r>
            <a:r>
              <a:rPr lang="en-CA" sz="1000" b="1" i="0" baseline="0">
                <a:solidFill>
                  <a:srgbClr val="FF0000"/>
                </a:solidFill>
                <a:effectLst/>
                <a:latin typeface="Arial" panose="020B0604020202020204" pitchFamily="34" charset="0"/>
                <a:ea typeface="+mn-ea"/>
                <a:cs typeface="Arial" panose="020B0604020202020204" pitchFamily="34" charset="0"/>
              </a:rPr>
              <a:t>Select if you need to manually adjust for Load Growth or not - i.e. if this was not captured through the regression analysis (Distributor must support decision)</a:t>
            </a:r>
            <a:endParaRPr lang="en-CA">
              <a:solidFill>
                <a:srgbClr val="FF0000"/>
              </a:solidFill>
              <a:effectLst/>
              <a:latin typeface="Arial" panose="020B0604020202020204" pitchFamily="34" charset="0"/>
              <a:cs typeface="Arial" panose="020B0604020202020204" pitchFamily="34" charset="0"/>
            </a:endParaRPr>
          </a:p>
        </xdr:txBody>
      </xdr:sp>
    </xdr:grpSp>
    <xdr:clientData/>
  </xdr:twoCellAnchor>
  <xdr:twoCellAnchor>
    <xdr:from>
      <xdr:col>6</xdr:col>
      <xdr:colOff>189633</xdr:colOff>
      <xdr:row>27</xdr:row>
      <xdr:rowOff>57150</xdr:rowOff>
    </xdr:from>
    <xdr:to>
      <xdr:col>6</xdr:col>
      <xdr:colOff>445077</xdr:colOff>
      <xdr:row>31</xdr:row>
      <xdr:rowOff>36368</xdr:rowOff>
    </xdr:to>
    <xdr:sp macro="" textlink="">
      <xdr:nvSpPr>
        <xdr:cNvPr id="8" name="Down Arrow 7"/>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189633</xdr:colOff>
      <xdr:row>27</xdr:row>
      <xdr:rowOff>57150</xdr:rowOff>
    </xdr:from>
    <xdr:to>
      <xdr:col>17</xdr:col>
      <xdr:colOff>445077</xdr:colOff>
      <xdr:row>31</xdr:row>
      <xdr:rowOff>36368</xdr:rowOff>
    </xdr:to>
    <xdr:sp macro="" textlink="">
      <xdr:nvSpPr>
        <xdr:cNvPr id="9" name="Down Arrow 8"/>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189633</xdr:colOff>
      <xdr:row>27</xdr:row>
      <xdr:rowOff>57150</xdr:rowOff>
    </xdr:from>
    <xdr:to>
      <xdr:col>27</xdr:col>
      <xdr:colOff>445077</xdr:colOff>
      <xdr:row>31</xdr:row>
      <xdr:rowOff>36368</xdr:rowOff>
    </xdr:to>
    <xdr:sp macro="" textlink="">
      <xdr:nvSpPr>
        <xdr:cNvPr id="10" name="Down Arrow 9"/>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189633</xdr:colOff>
      <xdr:row>27</xdr:row>
      <xdr:rowOff>57150</xdr:rowOff>
    </xdr:from>
    <xdr:to>
      <xdr:col>37</xdr:col>
      <xdr:colOff>445077</xdr:colOff>
      <xdr:row>31</xdr:row>
      <xdr:rowOff>36368</xdr:rowOff>
    </xdr:to>
    <xdr:sp macro="" textlink="">
      <xdr:nvSpPr>
        <xdr:cNvPr id="11" name="Down Arrow 10"/>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47</xdr:col>
      <xdr:colOff>189633</xdr:colOff>
      <xdr:row>27</xdr:row>
      <xdr:rowOff>57150</xdr:rowOff>
    </xdr:from>
    <xdr:to>
      <xdr:col>47</xdr:col>
      <xdr:colOff>445077</xdr:colOff>
      <xdr:row>31</xdr:row>
      <xdr:rowOff>36368</xdr:rowOff>
    </xdr:to>
    <xdr:sp macro="" textlink="">
      <xdr:nvSpPr>
        <xdr:cNvPr id="12" name="Down Arrow 11"/>
        <xdr:cNvSpPr/>
      </xdr:nvSpPr>
      <xdr:spPr>
        <a:xfrm>
          <a:off x="22916283" y="5610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3</xdr:row>
      <xdr:rowOff>161925</xdr:rowOff>
    </xdr:from>
    <xdr:to>
      <xdr:col>9</xdr:col>
      <xdr:colOff>1095375</xdr:colOff>
      <xdr:row>6</xdr:row>
      <xdr:rowOff>238125</xdr:rowOff>
    </xdr:to>
    <xdr:grpSp>
      <xdr:nvGrpSpPr>
        <xdr:cNvPr id="5" name="Group 33"/>
        <xdr:cNvGrpSpPr>
          <a:grpSpLocks/>
        </xdr:cNvGrpSpPr>
      </xdr:nvGrpSpPr>
      <xdr:grpSpPr bwMode="auto">
        <a:xfrm>
          <a:off x="171451" y="838200"/>
          <a:ext cx="10248899" cy="962025"/>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make sure all customers are included </a:t>
            </a:r>
          </a:p>
          <a:p>
            <a:pPr algn="l" rtl="0">
              <a:defRPr sz="1000"/>
            </a:pPr>
            <a:r>
              <a:rPr lang="en-CA" sz="1000" b="1" i="1" u="none" strike="noStrike" baseline="0">
                <a:solidFill>
                  <a:srgbClr val="FF0000"/>
                </a:solidFill>
                <a:latin typeface="Arial"/>
                <a:cs typeface="Arial"/>
              </a:rPr>
              <a:t>2. </a:t>
            </a:r>
            <a:r>
              <a:rPr lang="en-CA" sz="1000" b="1" i="0" u="none" strike="noStrike" baseline="0">
                <a:solidFill>
                  <a:srgbClr val="FF0000"/>
                </a:solidFill>
                <a:latin typeface="Arial"/>
                <a:cs typeface="Arial"/>
              </a:rPr>
              <a:t>Please update the % of Weather Sensitivity as per the Hydro One study </a:t>
            </a:r>
          </a:p>
          <a:p>
            <a:pPr algn="l" rtl="0">
              <a:defRPr sz="1000"/>
            </a:pPr>
            <a:r>
              <a:rPr lang="en-CA" sz="1000" b="1" i="0" u="none" strike="noStrike" baseline="0">
                <a:solidFill>
                  <a:srgbClr val="FF0000"/>
                </a:solidFill>
                <a:latin typeface="Arial"/>
                <a:cs typeface="Arial"/>
              </a:rPr>
              <a:t>3. If required, adjust for CDM per customer class on consumption</a:t>
            </a:r>
            <a:endParaRPr lang="en-CA">
              <a:solidFill>
                <a:srgbClr val="FF0000"/>
              </a:solidFill>
              <a:effectLst/>
              <a:latin typeface="Arial" panose="020B0604020202020204" pitchFamily="34" charset="0"/>
              <a:cs typeface="Arial" panose="020B0604020202020204"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J.tackaberry@wasagadist.ca"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AB21"/>
  <sheetViews>
    <sheetView showGridLines="0" workbookViewId="0"/>
  </sheetViews>
  <sheetFormatPr defaultRowHeight="12.75" x14ac:dyDescent="0.2"/>
  <cols>
    <col min="1" max="16384" width="9.33203125" style="1"/>
  </cols>
  <sheetData>
    <row r="1" spans="2:28" customFormat="1" ht="12.75" customHeight="1" x14ac:dyDescent="0.2">
      <c r="B1" s="1322"/>
      <c r="C1" s="1322"/>
      <c r="D1" s="1322"/>
      <c r="E1" s="1322"/>
      <c r="F1" s="1322"/>
      <c r="G1" s="1322"/>
      <c r="H1" s="1322"/>
      <c r="I1" s="1322"/>
      <c r="J1" s="131"/>
      <c r="K1" s="131"/>
      <c r="L1" s="131"/>
      <c r="M1" s="131"/>
    </row>
    <row r="2" spans="2:28" customFormat="1" ht="23.25" x14ac:dyDescent="0.2">
      <c r="B2" s="1323" t="s">
        <v>97</v>
      </c>
      <c r="C2" s="1323"/>
      <c r="D2" s="1323"/>
      <c r="E2" s="1323"/>
      <c r="F2" s="1323"/>
      <c r="G2" s="1323"/>
      <c r="H2" s="1323"/>
      <c r="I2" s="1323"/>
      <c r="J2" s="131"/>
      <c r="K2" s="131"/>
      <c r="L2" s="131"/>
      <c r="M2" s="131"/>
    </row>
    <row r="3" spans="2:28" x14ac:dyDescent="0.2">
      <c r="M3"/>
    </row>
    <row r="4" spans="2:28" ht="15" x14ac:dyDescent="0.2">
      <c r="B4" s="149" t="s">
        <v>84</v>
      </c>
      <c r="F4" s="138" t="s">
        <v>149</v>
      </c>
      <c r="G4" s="138"/>
      <c r="H4" s="138"/>
      <c r="I4" s="138"/>
      <c r="J4" s="138"/>
      <c r="K4" s="134"/>
      <c r="L4" s="134"/>
      <c r="AB4" s="128"/>
    </row>
    <row r="5" spans="2:28" x14ac:dyDescent="0.2">
      <c r="B5" s="150"/>
      <c r="F5" s="132"/>
      <c r="G5" s="133"/>
      <c r="H5" s="132"/>
      <c r="I5" s="132"/>
      <c r="J5" s="132"/>
      <c r="K5" s="135"/>
      <c r="L5" s="135"/>
      <c r="AB5" s="128"/>
    </row>
    <row r="6" spans="2:28" ht="15" x14ac:dyDescent="0.2">
      <c r="B6" s="149" t="s">
        <v>85</v>
      </c>
      <c r="F6" s="1320" t="s">
        <v>150</v>
      </c>
      <c r="G6" s="1320"/>
      <c r="H6" s="1320"/>
      <c r="I6" s="1320"/>
      <c r="J6" s="1320"/>
      <c r="K6" s="135"/>
      <c r="L6" s="135"/>
      <c r="AB6" s="128"/>
    </row>
    <row r="7" spans="2:28" x14ac:dyDescent="0.2">
      <c r="B7" s="151"/>
      <c r="F7" s="129"/>
      <c r="G7" s="129"/>
      <c r="H7" s="129"/>
      <c r="I7" s="129"/>
      <c r="J7" s="129"/>
      <c r="K7" s="129"/>
      <c r="L7" s="129"/>
      <c r="AB7" s="128"/>
    </row>
    <row r="8" spans="2:28" ht="15" x14ac:dyDescent="0.2">
      <c r="B8" s="149" t="s">
        <v>86</v>
      </c>
      <c r="F8" s="1320" t="s">
        <v>419</v>
      </c>
      <c r="G8" s="1320"/>
      <c r="H8" s="1320"/>
      <c r="I8" s="1320"/>
      <c r="J8" s="1320"/>
      <c r="K8" s="129"/>
      <c r="L8" s="129"/>
      <c r="AB8" s="128"/>
    </row>
    <row r="9" spans="2:28" x14ac:dyDescent="0.2">
      <c r="B9" s="151"/>
      <c r="F9" s="129"/>
      <c r="G9" s="129"/>
      <c r="H9" s="129"/>
      <c r="I9" s="129"/>
      <c r="J9" s="129"/>
      <c r="K9" s="129"/>
      <c r="L9" s="129"/>
      <c r="AB9" s="128"/>
    </row>
    <row r="10" spans="2:28" ht="15" x14ac:dyDescent="0.2">
      <c r="B10" s="149" t="s">
        <v>87</v>
      </c>
      <c r="F10" s="1320" t="s">
        <v>594</v>
      </c>
      <c r="G10" s="1320"/>
      <c r="H10" s="1320"/>
      <c r="I10" s="1320"/>
      <c r="J10" s="1320"/>
      <c r="K10" s="1319"/>
      <c r="L10" s="1319"/>
      <c r="AB10" s="128"/>
    </row>
    <row r="11" spans="2:28" x14ac:dyDescent="0.2">
      <c r="B11" s="150"/>
      <c r="F11" s="136"/>
      <c r="G11" s="137"/>
      <c r="H11" s="136"/>
      <c r="I11" s="136"/>
      <c r="J11" s="136"/>
      <c r="K11" s="129"/>
      <c r="L11" s="129"/>
      <c r="AB11" s="128"/>
    </row>
    <row r="12" spans="2:28" ht="15" x14ac:dyDescent="0.2">
      <c r="B12" s="149" t="s">
        <v>88</v>
      </c>
      <c r="F12" s="1320" t="s">
        <v>151</v>
      </c>
      <c r="G12" s="1320"/>
      <c r="H12" s="1320"/>
      <c r="I12" s="1320"/>
      <c r="J12" s="1320"/>
      <c r="K12" s="129"/>
      <c r="L12" s="129"/>
      <c r="AB12" s="128"/>
    </row>
    <row r="13" spans="2:28" x14ac:dyDescent="0.2">
      <c r="B13" s="150"/>
      <c r="F13" s="136"/>
      <c r="G13" s="137"/>
      <c r="H13" s="136"/>
      <c r="I13" s="136"/>
      <c r="J13" s="136"/>
      <c r="K13" s="129"/>
      <c r="L13" s="129"/>
      <c r="AB13" s="128"/>
    </row>
    <row r="14" spans="2:28" ht="15" x14ac:dyDescent="0.2">
      <c r="B14" s="149" t="s">
        <v>89</v>
      </c>
      <c r="F14" s="1321" t="s">
        <v>595</v>
      </c>
      <c r="G14" s="1320"/>
      <c r="H14" s="1320"/>
      <c r="I14" s="1320"/>
      <c r="J14" s="1320"/>
      <c r="K14" s="129"/>
      <c r="L14" s="129"/>
      <c r="AB14" s="128"/>
    </row>
    <row r="15" spans="2:28" x14ac:dyDescent="0.2">
      <c r="B15" s="150"/>
      <c r="F15" s="136"/>
      <c r="G15" s="137"/>
      <c r="H15" s="136"/>
      <c r="I15" s="136"/>
      <c r="J15" s="136"/>
      <c r="K15" s="129"/>
      <c r="L15" s="129"/>
      <c r="AB15" s="128"/>
    </row>
    <row r="16" spans="2:28" ht="15" x14ac:dyDescent="0.2">
      <c r="B16" s="149" t="s">
        <v>90</v>
      </c>
      <c r="F16" s="153" t="s">
        <v>81</v>
      </c>
      <c r="G16" s="154"/>
      <c r="H16" s="154"/>
      <c r="I16" s="136"/>
      <c r="J16" s="136"/>
      <c r="K16" s="129"/>
      <c r="L16" s="129"/>
      <c r="AB16" s="128"/>
    </row>
    <row r="17" spans="2:28" x14ac:dyDescent="0.2">
      <c r="B17" s="56"/>
      <c r="F17" s="51"/>
      <c r="G17" s="155"/>
      <c r="H17" s="155"/>
      <c r="AB17" s="128"/>
    </row>
    <row r="18" spans="2:28" ht="15" x14ac:dyDescent="0.2">
      <c r="B18" s="149" t="s">
        <v>91</v>
      </c>
      <c r="F18" s="153" t="s">
        <v>241</v>
      </c>
      <c r="G18" s="154"/>
      <c r="H18" s="154"/>
      <c r="AB18" s="128"/>
    </row>
    <row r="19" spans="2:28" x14ac:dyDescent="0.2">
      <c r="B19" s="152"/>
      <c r="F19" s="51"/>
      <c r="G19" s="155"/>
      <c r="H19" s="155"/>
      <c r="AB19" s="128"/>
    </row>
    <row r="20" spans="2:28" ht="15" x14ac:dyDescent="0.2">
      <c r="B20" s="149" t="s">
        <v>92</v>
      </c>
      <c r="F20" s="153" t="s">
        <v>242</v>
      </c>
      <c r="G20" s="154"/>
      <c r="H20" s="154"/>
      <c r="AB20" s="128"/>
    </row>
    <row r="21" spans="2:28" x14ac:dyDescent="0.2">
      <c r="AB21" s="128"/>
    </row>
  </sheetData>
  <mergeCells count="8">
    <mergeCell ref="K10:L10"/>
    <mergeCell ref="F12:J12"/>
    <mergeCell ref="F14:J14"/>
    <mergeCell ref="B1:I1"/>
    <mergeCell ref="B2:I2"/>
    <mergeCell ref="F6:J6"/>
    <mergeCell ref="F8:J8"/>
    <mergeCell ref="F10:J10"/>
  </mergeCells>
  <hyperlinks>
    <hyperlink ref="F14"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8"/>
  <sheetViews>
    <sheetView showGridLines="0" zoomScaleNormal="100" workbookViewId="0"/>
  </sheetViews>
  <sheetFormatPr defaultRowHeight="14.25" x14ac:dyDescent="0.2"/>
  <cols>
    <col min="1" max="1" width="3" style="847" customWidth="1"/>
    <col min="2" max="2" width="16" style="847" customWidth="1"/>
    <col min="3" max="3" width="21.5" style="847" customWidth="1"/>
    <col min="4" max="4" width="16.83203125" style="847" customWidth="1"/>
    <col min="5" max="5" width="21.5" style="847" customWidth="1"/>
    <col min="6" max="6" width="15.33203125" style="847" customWidth="1"/>
    <col min="7" max="7" width="36.33203125" style="847" customWidth="1"/>
    <col min="8" max="8" width="16.83203125" style="847" customWidth="1"/>
    <col min="9" max="9" width="15.83203125" style="847" customWidth="1"/>
    <col min="10" max="10" width="19.83203125" style="847" bestFit="1" customWidth="1"/>
    <col min="11" max="11" width="16.1640625" style="847" customWidth="1"/>
    <col min="12" max="12" width="21.5" style="847" customWidth="1"/>
    <col min="13" max="13" width="16.83203125" style="847" customWidth="1"/>
    <col min="14" max="15" width="21.5" style="847" customWidth="1"/>
    <col min="16" max="16" width="36.33203125" style="847" bestFit="1" customWidth="1"/>
    <col min="17" max="17" width="16.83203125" style="847" customWidth="1"/>
    <col min="18" max="18" width="19.83203125" style="847" bestFit="1" customWidth="1"/>
    <col min="19" max="20" width="9.33203125" style="847"/>
    <col min="21" max="21" width="10.1640625" style="847" bestFit="1" customWidth="1"/>
    <col min="22" max="22" width="10.6640625" style="847" bestFit="1" customWidth="1"/>
    <col min="23" max="16384" width="9.33203125" style="847"/>
  </cols>
  <sheetData>
    <row r="1" spans="1:26" x14ac:dyDescent="0.2">
      <c r="A1" s="1"/>
      <c r="B1" s="51"/>
      <c r="C1" s="51"/>
      <c r="D1" s="51"/>
      <c r="E1" s="51"/>
      <c r="F1" s="51"/>
      <c r="G1" s="51"/>
      <c r="H1" s="51"/>
      <c r="I1" s="51"/>
      <c r="J1" s="51"/>
      <c r="K1" s="51"/>
      <c r="L1" s="51"/>
      <c r="M1" s="139"/>
      <c r="N1" s="139"/>
      <c r="O1" s="139"/>
      <c r="P1" s="51"/>
      <c r="Q1" s="1"/>
      <c r="R1" s="1"/>
      <c r="S1" s="1"/>
      <c r="T1" s="1"/>
      <c r="U1" s="1"/>
      <c r="V1" s="1"/>
      <c r="W1" s="1"/>
      <c r="X1" s="1"/>
      <c r="Y1" s="1"/>
      <c r="Z1" s="1"/>
    </row>
    <row r="2" spans="1:26" ht="15" thickBot="1" x14ac:dyDescent="0.25">
      <c r="A2" s="1"/>
      <c r="B2" s="51"/>
      <c r="C2" s="51"/>
      <c r="D2" s="51"/>
      <c r="E2" s="51"/>
      <c r="F2" s="51"/>
      <c r="G2" s="51"/>
      <c r="H2" s="51"/>
      <c r="I2" s="51"/>
      <c r="J2" s="51"/>
      <c r="K2" s="51"/>
      <c r="L2" s="51"/>
      <c r="M2" s="139"/>
      <c r="N2" s="139"/>
      <c r="O2" s="139"/>
      <c r="P2" s="51"/>
      <c r="Q2" s="1"/>
      <c r="R2" s="1"/>
      <c r="S2" s="1"/>
      <c r="T2" s="1"/>
      <c r="U2" s="1"/>
      <c r="V2" s="1"/>
      <c r="W2" s="1"/>
      <c r="X2" s="1"/>
      <c r="Y2" s="1"/>
      <c r="Z2" s="1"/>
    </row>
    <row r="3" spans="1:26" ht="24" thickBot="1" x14ac:dyDescent="0.25">
      <c r="A3" s="1"/>
      <c r="B3" s="127" t="s">
        <v>603</v>
      </c>
      <c r="C3" s="127"/>
      <c r="D3" s="127"/>
      <c r="E3" s="51"/>
      <c r="F3" s="51"/>
      <c r="G3" s="331"/>
      <c r="H3" s="358" t="s">
        <v>231</v>
      </c>
      <c r="I3" s="51"/>
      <c r="J3" s="51"/>
      <c r="K3" s="51"/>
      <c r="L3" s="51"/>
      <c r="M3" s="139"/>
      <c r="N3" s="139"/>
      <c r="O3" s="139"/>
      <c r="P3" s="51"/>
      <c r="S3" s="1"/>
      <c r="T3" s="1"/>
      <c r="U3" s="1"/>
      <c r="V3" s="1"/>
      <c r="W3" s="1"/>
      <c r="X3" s="1"/>
      <c r="Y3" s="1"/>
      <c r="Z3" s="1"/>
    </row>
    <row r="4" spans="1:26" ht="23.25" x14ac:dyDescent="0.2">
      <c r="A4" s="1"/>
      <c r="B4" s="127"/>
      <c r="C4" s="127"/>
      <c r="D4" s="127"/>
      <c r="E4" s="51"/>
      <c r="F4" s="51"/>
      <c r="G4" s="51"/>
      <c r="H4" s="51"/>
      <c r="I4" s="51"/>
      <c r="J4" s="51"/>
      <c r="K4" s="51"/>
      <c r="L4" s="51"/>
      <c r="M4" s="139"/>
      <c r="N4" s="139"/>
      <c r="O4" s="139"/>
      <c r="P4" s="51"/>
      <c r="Q4" s="1"/>
      <c r="R4" s="1"/>
      <c r="S4" s="1"/>
      <c r="T4" s="1"/>
      <c r="U4" s="1"/>
      <c r="V4" s="1"/>
      <c r="W4" s="1"/>
      <c r="X4" s="1"/>
      <c r="Y4" s="1"/>
      <c r="Z4" s="1"/>
    </row>
    <row r="5" spans="1:26" ht="23.25" x14ac:dyDescent="0.2">
      <c r="A5" s="1"/>
      <c r="B5" s="127"/>
      <c r="C5" s="127"/>
      <c r="D5" s="127"/>
      <c r="E5" s="51"/>
      <c r="F5" s="51"/>
      <c r="G5" s="51"/>
      <c r="H5" s="51"/>
      <c r="I5" s="51"/>
      <c r="J5" s="51"/>
      <c r="K5" s="51"/>
      <c r="L5" s="51"/>
      <c r="M5" s="139"/>
      <c r="N5" s="139"/>
      <c r="O5" s="139"/>
      <c r="P5" s="51"/>
      <c r="Q5" s="1"/>
      <c r="R5" s="1"/>
      <c r="S5" s="1"/>
      <c r="T5" s="1"/>
      <c r="U5" s="1"/>
      <c r="V5" s="1"/>
      <c r="W5" s="1"/>
      <c r="X5" s="1"/>
      <c r="Y5" s="1"/>
      <c r="Z5" s="1"/>
    </row>
    <row r="6" spans="1:26" ht="23.25" x14ac:dyDescent="0.2">
      <c r="A6" s="1"/>
      <c r="B6" s="127"/>
      <c r="C6" s="127"/>
      <c r="D6" s="127"/>
      <c r="E6" s="51"/>
      <c r="F6" s="51"/>
      <c r="G6" s="51"/>
      <c r="H6" s="51"/>
      <c r="I6" s="51"/>
      <c r="J6" s="51"/>
      <c r="K6" s="51"/>
      <c r="L6" s="51"/>
      <c r="M6" s="139"/>
      <c r="N6" s="139"/>
      <c r="O6" s="139"/>
      <c r="P6" s="51"/>
      <c r="Q6" s="1"/>
      <c r="R6" s="1"/>
      <c r="S6" s="1"/>
      <c r="T6" s="1"/>
      <c r="U6" s="1"/>
      <c r="V6" s="1"/>
      <c r="W6" s="1"/>
      <c r="X6" s="1"/>
      <c r="Y6" s="1"/>
      <c r="Z6" s="1"/>
    </row>
    <row r="7" spans="1:26" ht="23.25" x14ac:dyDescent="0.2">
      <c r="A7" s="1"/>
      <c r="B7" s="127"/>
      <c r="C7" s="127"/>
      <c r="D7" s="127"/>
      <c r="E7" s="51"/>
      <c r="F7" s="51"/>
      <c r="G7" s="51"/>
      <c r="H7" s="51"/>
      <c r="I7" s="51"/>
      <c r="J7" s="51"/>
      <c r="K7" s="51"/>
      <c r="L7" s="51"/>
      <c r="M7" s="139"/>
      <c r="N7" s="139"/>
      <c r="O7" s="139"/>
      <c r="P7" s="51"/>
      <c r="Q7" s="1"/>
      <c r="R7" s="1"/>
      <c r="S7" s="1"/>
      <c r="T7" s="1"/>
      <c r="U7" s="1"/>
      <c r="V7" s="1"/>
      <c r="W7" s="1"/>
      <c r="X7" s="1"/>
      <c r="Y7" s="1"/>
      <c r="Z7" s="1"/>
    </row>
    <row r="8" spans="1:26" x14ac:dyDescent="0.2">
      <c r="C8" s="77"/>
    </row>
    <row r="9" spans="1:26" ht="15" thickBot="1" x14ac:dyDescent="0.25">
      <c r="D9" s="942"/>
    </row>
    <row r="10" spans="1:26" ht="62.25" customHeight="1" thickBot="1" x14ac:dyDescent="0.3">
      <c r="B10" s="1389" t="s">
        <v>580</v>
      </c>
      <c r="C10" s="1391"/>
      <c r="D10" s="990" t="str">
        <f>B29</f>
        <v>Residential</v>
      </c>
      <c r="E10" s="988" t="str">
        <f>B44</f>
        <v>General Service &lt; 50 kW</v>
      </c>
      <c r="F10" s="988" t="str">
        <f>B60</f>
        <v>Unmetered Scattered Load</v>
      </c>
      <c r="G10" s="988" t="str">
        <f>K29</f>
        <v>General Service &gt; 50 kW - 4999 kW - Excluding Wholesale Market Participant</v>
      </c>
      <c r="H10" s="988" t="str">
        <f>K44</f>
        <v>General Service &gt; 50 kW - 4999 kW - Wholesale Market Participant</v>
      </c>
      <c r="I10" s="938" t="str">
        <f>K60</f>
        <v>Streetlighting</v>
      </c>
      <c r="J10" s="987" t="s">
        <v>16</v>
      </c>
    </row>
    <row r="11" spans="1:26" x14ac:dyDescent="0.2">
      <c r="B11" s="923">
        <v>2015</v>
      </c>
      <c r="C11" s="944">
        <f>SUM(D11:I11)</f>
        <v>131353171.06546296</v>
      </c>
      <c r="D11" s="1017">
        <f>$G$41*'4. Customer Growth'!$C$28</f>
        <v>89952353.550931469</v>
      </c>
      <c r="E11" s="1017">
        <f>G56*'4. Customer Growth'!E28</f>
        <v>17747610.222066458</v>
      </c>
      <c r="F11" s="1017">
        <f>G72*'4. Customer Growth'!G28</f>
        <v>232410.61456023974</v>
      </c>
      <c r="G11" s="1017">
        <f>P41*'4. Customer Growth'!K22</f>
        <v>17741182.965130173</v>
      </c>
      <c r="H11" s="1017">
        <f>P56*'4. Customer Growth'!M28</f>
        <v>3824796.5949268145</v>
      </c>
      <c r="I11" s="1017">
        <f>P72*'4. Customer Growth'!O28</f>
        <v>1854817.1178477965</v>
      </c>
      <c r="J11" s="938">
        <f>SUM(D11:I11)</f>
        <v>131353171.06546296</v>
      </c>
    </row>
    <row r="12" spans="1:26" x14ac:dyDescent="0.2">
      <c r="B12" s="916">
        <v>2016</v>
      </c>
      <c r="C12" s="944">
        <f>SUM(D12:I12)</f>
        <v>132685370.01842678</v>
      </c>
      <c r="D12" s="1017">
        <f>G42*'4. Customer Growth'!C29</f>
        <v>90764334.63888289</v>
      </c>
      <c r="E12" s="1017">
        <f>G57*'4. Customer Growth'!E29</f>
        <v>18072409.096595898</v>
      </c>
      <c r="F12" s="1017">
        <f>G73*'4. Customer Growth'!G29</f>
        <v>221021.90461603086</v>
      </c>
      <c r="G12" s="1017">
        <f>P42*'4. Customer Growth'!K23</f>
        <v>17969408.034869131</v>
      </c>
      <c r="H12" s="1017">
        <f>P57*'4. Customer Growth'!M29</f>
        <v>3781917.1869321489</v>
      </c>
      <c r="I12" s="1017">
        <f>P73*'4. Customer Growth'!O29</f>
        <v>1876279.1565306762</v>
      </c>
      <c r="J12" s="938">
        <f>SUM(D12:I12)</f>
        <v>132685370.01842678</v>
      </c>
    </row>
    <row r="13" spans="1:26" ht="15" thickBot="1" x14ac:dyDescent="0.25">
      <c r="B13" s="942"/>
      <c r="C13" s="934"/>
      <c r="D13" s="934"/>
      <c r="E13" s="934"/>
      <c r="F13" s="934"/>
      <c r="G13" s="934"/>
      <c r="H13" s="934"/>
      <c r="J13" s="934"/>
    </row>
    <row r="14" spans="1:26" ht="57" customHeight="1" thickBot="1" x14ac:dyDescent="0.3">
      <c r="B14" s="1389" t="s">
        <v>583</v>
      </c>
      <c r="C14" s="1391"/>
      <c r="D14" s="990" t="str">
        <f>D10</f>
        <v>Residential</v>
      </c>
      <c r="E14" s="990" t="str">
        <f t="shared" ref="E14:H14" si="0">E10</f>
        <v>General Service &lt; 50 kW</v>
      </c>
      <c r="F14" s="990" t="str">
        <f t="shared" si="0"/>
        <v>Unmetered Scattered Load</v>
      </c>
      <c r="G14" s="990" t="str">
        <f t="shared" si="0"/>
        <v>General Service &gt; 50 kW - 4999 kW - Excluding Wholesale Market Participant</v>
      </c>
      <c r="H14" s="990" t="str">
        <f t="shared" si="0"/>
        <v>General Service &gt; 50 kW - 4999 kW - Wholesale Market Participant</v>
      </c>
      <c r="I14" s="940" t="str">
        <f>I10</f>
        <v>Streetlighting</v>
      </c>
      <c r="J14" s="916" t="s">
        <v>16</v>
      </c>
    </row>
    <row r="15" spans="1:26" x14ac:dyDescent="0.2">
      <c r="B15" s="923">
        <v>2015</v>
      </c>
      <c r="C15" s="944">
        <f>'6. WS Regression Analysis'!S141/'X.3. Loss Factor'!O20</f>
        <v>131337664.93972415</v>
      </c>
      <c r="D15" s="939">
        <f>D11+D23</f>
        <v>89941440.885840833</v>
      </c>
      <c r="E15" s="940">
        <f>E11+E23</f>
        <v>17745457.151925799</v>
      </c>
      <c r="F15" s="940">
        <f>F11+F23</f>
        <v>232410.61456023974</v>
      </c>
      <c r="G15" s="940">
        <f t="shared" ref="F15:G16" si="1">G11+G23</f>
        <v>17739175.385813881</v>
      </c>
      <c r="H15" s="940">
        <f>H11+H23</f>
        <v>3824363.7837355831</v>
      </c>
      <c r="I15" s="940">
        <f>I11+I23</f>
        <v>1854817.1178477965</v>
      </c>
      <c r="J15" s="938">
        <f>SUM(D15:I15)</f>
        <v>131337664.93972415</v>
      </c>
    </row>
    <row r="16" spans="1:26" x14ac:dyDescent="0.2">
      <c r="B16" s="916">
        <v>2016</v>
      </c>
      <c r="C16" s="938">
        <f>'6. WS Regression Analysis'!S153/'X.3. Loss Factor'!O20</f>
        <v>132401926.57688466</v>
      </c>
      <c r="D16" s="940">
        <f>D12+D24</f>
        <v>90565097.962379649</v>
      </c>
      <c r="E16" s="940">
        <f>E12+E24</f>
        <v>18032738.374179009</v>
      </c>
      <c r="F16" s="940">
        <f t="shared" si="1"/>
        <v>221021.90461603086</v>
      </c>
      <c r="G16" s="940">
        <f t="shared" si="1"/>
        <v>17932615.503197044</v>
      </c>
      <c r="H16" s="940">
        <f>H12+H24</f>
        <v>3774173.6759822387</v>
      </c>
      <c r="I16" s="940">
        <f>I12+I24</f>
        <v>1876279.1565306762</v>
      </c>
      <c r="J16" s="938">
        <f>SUM(D16:I16)</f>
        <v>132401926.57688464</v>
      </c>
    </row>
    <row r="17" spans="2:17" ht="15" thickBot="1" x14ac:dyDescent="0.25">
      <c r="B17" s="942"/>
      <c r="C17" s="935"/>
      <c r="D17" s="910"/>
      <c r="E17" s="936"/>
      <c r="F17" s="910"/>
      <c r="G17" s="910"/>
      <c r="H17" s="910"/>
      <c r="J17" s="910"/>
    </row>
    <row r="18" spans="2:17" ht="15.75" thickBot="1" x14ac:dyDescent="0.3">
      <c r="B18" s="1389" t="s">
        <v>581</v>
      </c>
      <c r="C18" s="1391"/>
      <c r="D18" s="946">
        <v>0.93700000000000006</v>
      </c>
      <c r="E18" s="947">
        <v>0.93700000000000006</v>
      </c>
      <c r="F18" s="948">
        <v>0</v>
      </c>
      <c r="G18" s="947">
        <v>0.874</v>
      </c>
      <c r="H18" s="947">
        <v>0.874</v>
      </c>
      <c r="I18" s="948">
        <v>0</v>
      </c>
      <c r="J18" s="916" t="s">
        <v>16</v>
      </c>
    </row>
    <row r="19" spans="2:17" x14ac:dyDescent="0.2">
      <c r="B19" s="923">
        <v>2015</v>
      </c>
      <c r="C19" s="945">
        <f>C15-C11</f>
        <v>-15506.125738814473</v>
      </c>
      <c r="D19" s="941">
        <f>D11*D18</f>
        <v>84285355.277222797</v>
      </c>
      <c r="E19" s="941">
        <f t="shared" ref="E19:I19" si="2">E11*E18</f>
        <v>16629510.778076272</v>
      </c>
      <c r="F19" s="941">
        <f t="shared" si="2"/>
        <v>0</v>
      </c>
      <c r="G19" s="941">
        <f t="shared" si="2"/>
        <v>15505793.911523771</v>
      </c>
      <c r="H19" s="941">
        <f t="shared" si="2"/>
        <v>3342872.223966036</v>
      </c>
      <c r="I19" s="941">
        <f t="shared" si="2"/>
        <v>0</v>
      </c>
      <c r="J19" s="941">
        <f>SUM(D19:H19)</f>
        <v>119763532.19078888</v>
      </c>
      <c r="L19" s="949"/>
    </row>
    <row r="20" spans="2:17" x14ac:dyDescent="0.2">
      <c r="B20" s="916">
        <v>2016</v>
      </c>
      <c r="C20" s="940">
        <f>C16-C12</f>
        <v>-283443.44154211879</v>
      </c>
      <c r="D20" s="941">
        <f t="shared" ref="D20:I20" si="3">D12*D18</f>
        <v>85046181.556633279</v>
      </c>
      <c r="E20" s="941">
        <f t="shared" si="3"/>
        <v>16933847.323510356</v>
      </c>
      <c r="F20" s="941">
        <f t="shared" si="3"/>
        <v>0</v>
      </c>
      <c r="G20" s="941">
        <f t="shared" si="3"/>
        <v>15705262.62247562</v>
      </c>
      <c r="H20" s="941">
        <f t="shared" si="3"/>
        <v>3305395.6213786979</v>
      </c>
      <c r="I20" s="941">
        <f t="shared" si="3"/>
        <v>0</v>
      </c>
      <c r="J20" s="941">
        <f>SUM(D20:H20)</f>
        <v>120990687.12399797</v>
      </c>
    </row>
    <row r="21" spans="2:17" ht="15" thickBot="1" x14ac:dyDescent="0.25">
      <c r="B21" s="942"/>
      <c r="C21" s="935"/>
      <c r="D21" s="937"/>
      <c r="E21" s="937"/>
      <c r="F21" s="937"/>
      <c r="G21" s="937"/>
      <c r="H21" s="937"/>
      <c r="I21" s="937"/>
      <c r="J21" s="937"/>
    </row>
    <row r="22" spans="2:17" ht="62.25" customHeight="1" thickBot="1" x14ac:dyDescent="0.3">
      <c r="B22" s="1392" t="s">
        <v>582</v>
      </c>
      <c r="C22" s="1393"/>
      <c r="D22" s="990" t="str">
        <f>D14</f>
        <v>Residential</v>
      </c>
      <c r="E22" s="990" t="str">
        <f t="shared" ref="E22:I22" si="4">E14</f>
        <v>General Service &lt; 50 kW</v>
      </c>
      <c r="F22" s="990" t="str">
        <f t="shared" si="4"/>
        <v>Unmetered Scattered Load</v>
      </c>
      <c r="G22" s="990" t="str">
        <f t="shared" si="4"/>
        <v>General Service &gt; 50 kW - 4999 kW - Excluding Wholesale Market Participant</v>
      </c>
      <c r="H22" s="990" t="str">
        <f t="shared" si="4"/>
        <v>General Service &gt; 50 kW - 4999 kW - Wholesale Market Participant</v>
      </c>
      <c r="I22" s="990" t="str">
        <f t="shared" si="4"/>
        <v>Streetlighting</v>
      </c>
      <c r="J22" s="916" t="s">
        <v>16</v>
      </c>
    </row>
    <row r="23" spans="2:17" x14ac:dyDescent="0.2">
      <c r="B23" s="923">
        <f>B11</f>
        <v>2015</v>
      </c>
      <c r="C23" s="945"/>
      <c r="D23" s="941">
        <f>D19/J19*$C$19</f>
        <v>-10912.665090632527</v>
      </c>
      <c r="E23" s="941">
        <f>E19/J19*$C$19</f>
        <v>-2153.0701406588391</v>
      </c>
      <c r="F23" s="941">
        <f>F19/J19*$C$19</f>
        <v>0</v>
      </c>
      <c r="G23" s="941">
        <f>G19/J19*$C$19</f>
        <v>-2007.5793162914372</v>
      </c>
      <c r="H23" s="941">
        <f>H19/J19*$C$19</f>
        <v>-432.81119123166945</v>
      </c>
      <c r="I23" s="941">
        <f>I19/J19*$C$19</f>
        <v>0</v>
      </c>
      <c r="J23" s="941">
        <f>SUM(D23:H23)</f>
        <v>-15506.125738814473</v>
      </c>
    </row>
    <row r="24" spans="2:17" x14ac:dyDescent="0.2">
      <c r="B24" s="916">
        <f>+B12</f>
        <v>2016</v>
      </c>
      <c r="C24" s="940"/>
      <c r="D24" s="941">
        <f>D20/J20*$C$20</f>
        <v>-199236.67650323419</v>
      </c>
      <c r="E24" s="941">
        <f>E20/J20*$C$20</f>
        <v>-39670.722416887205</v>
      </c>
      <c r="F24" s="941">
        <f>F20/J20*$C$20</f>
        <v>0</v>
      </c>
      <c r="G24" s="941">
        <f>G20/J20*$C$20</f>
        <v>-36792.531672087222</v>
      </c>
      <c r="H24" s="941">
        <f>H20/J20*$C$20</f>
        <v>-7743.5109499101263</v>
      </c>
      <c r="I24" s="941">
        <f>I20/J20*$C$20</f>
        <v>0</v>
      </c>
      <c r="J24" s="941">
        <f>SUM(D24:H24)</f>
        <v>-283443.44154211879</v>
      </c>
    </row>
    <row r="25" spans="2:17" x14ac:dyDescent="0.2">
      <c r="E25" s="935"/>
      <c r="F25" s="863"/>
      <c r="G25" s="863"/>
      <c r="H25" s="863"/>
      <c r="I25" s="863"/>
      <c r="J25" s="863"/>
      <c r="K25" s="863"/>
      <c r="L25" s="863"/>
    </row>
    <row r="26" spans="2:17" x14ac:dyDescent="0.2">
      <c r="C26" s="913"/>
    </row>
    <row r="28" spans="2:17" ht="15" thickBot="1" x14ac:dyDescent="0.25">
      <c r="L28" s="913"/>
      <c r="N28" s="913"/>
    </row>
    <row r="29" spans="2:17" ht="16.5" thickBot="1" x14ac:dyDescent="0.3">
      <c r="B29" s="1002" t="str">
        <f>'7. Weather Normal kWh'!B14</f>
        <v>Residential</v>
      </c>
      <c r="C29" s="1003"/>
      <c r="D29" s="1003"/>
      <c r="E29" s="1003"/>
      <c r="F29" s="1003"/>
      <c r="G29" s="1012" t="s">
        <v>604</v>
      </c>
      <c r="H29" s="331">
        <v>9</v>
      </c>
      <c r="K29" s="1010" t="str">
        <f>'7.1. Weather Normal KW Customer'!B9</f>
        <v>General Service &gt; 50 kW - 4999 kW - Excluding Wholesale Market Participant</v>
      </c>
      <c r="L29" s="997"/>
      <c r="M29" s="997"/>
      <c r="N29" s="997"/>
      <c r="O29" s="997"/>
      <c r="P29" s="1012" t="s">
        <v>604</v>
      </c>
      <c r="Q29" s="331">
        <v>6</v>
      </c>
    </row>
    <row r="30" spans="2:17" ht="30.75" customHeight="1" thickBot="1" x14ac:dyDescent="0.3">
      <c r="B30" s="1004" t="s">
        <v>33</v>
      </c>
      <c r="C30" s="1005" t="s">
        <v>584</v>
      </c>
      <c r="D30" s="1005" t="s">
        <v>57</v>
      </c>
      <c r="E30" s="1005" t="s">
        <v>585</v>
      </c>
      <c r="F30" s="1005" t="s">
        <v>587</v>
      </c>
      <c r="G30" s="1005" t="s">
        <v>586</v>
      </c>
      <c r="H30" s="1006" t="s">
        <v>588</v>
      </c>
      <c r="K30" s="1004" t="s">
        <v>33</v>
      </c>
      <c r="L30" s="1005" t="s">
        <v>584</v>
      </c>
      <c r="M30" s="1005" t="s">
        <v>57</v>
      </c>
      <c r="N30" s="1005" t="s">
        <v>585</v>
      </c>
      <c r="O30" s="1005" t="s">
        <v>587</v>
      </c>
      <c r="P30" s="1005" t="s">
        <v>586</v>
      </c>
      <c r="Q30" s="1006" t="s">
        <v>588</v>
      </c>
    </row>
    <row r="31" spans="2:17" x14ac:dyDescent="0.2">
      <c r="B31" s="923">
        <v>2005</v>
      </c>
      <c r="C31" s="924">
        <f>'7. Weather Normal kWh'!C16</f>
        <v>74670218.300000012</v>
      </c>
      <c r="D31" s="991">
        <v>0</v>
      </c>
      <c r="E31" s="924">
        <f>C31+D31</f>
        <v>74670218.300000012</v>
      </c>
      <c r="F31" s="924">
        <f>'4. Customer Growth'!C9</f>
        <v>9440</v>
      </c>
      <c r="G31" s="924">
        <f>E31/F31</f>
        <v>7909.9807521186449</v>
      </c>
      <c r="H31" s="925"/>
      <c r="K31" s="923">
        <v>2005</v>
      </c>
      <c r="L31" s="930">
        <f>'7.1. Weather Normal KW Customer'!E12</f>
        <v>12388793.66</v>
      </c>
      <c r="M31" s="994">
        <v>0</v>
      </c>
      <c r="N31" s="930">
        <f>L31+M31</f>
        <v>12388793.66</v>
      </c>
      <c r="O31" s="930">
        <f>'4. Customer Growth'!K9</f>
        <v>42</v>
      </c>
      <c r="P31" s="930">
        <f>N31/O31</f>
        <v>294971.27761904761</v>
      </c>
      <c r="Q31" s="928"/>
    </row>
    <row r="32" spans="2:17" x14ac:dyDescent="0.2">
      <c r="B32" s="916">
        <v>2006</v>
      </c>
      <c r="C32" s="917">
        <f>'7. Weather Normal kWh'!C17</f>
        <v>73494501.180000007</v>
      </c>
      <c r="D32" s="992">
        <f>(+'X.2.CDM Data Extraction'!C$57-'X.2.CDM Data Extraction'!C$52)*0.5+'X.2.CDM Data Extraction'!C$52</f>
        <v>344369.65833094926</v>
      </c>
      <c r="E32" s="917">
        <f t="shared" ref="E32:E39" si="5">C32+D32</f>
        <v>73838870.838330954</v>
      </c>
      <c r="F32" s="917">
        <f>'4. Customer Growth'!C10</f>
        <v>9857.5</v>
      </c>
      <c r="G32" s="917">
        <f t="shared" ref="G32:G39" si="6">E32/F32</f>
        <v>7490.6285405357294</v>
      </c>
      <c r="H32" s="1014">
        <f t="shared" ref="H32:H40" si="7">G32/G31</f>
        <v>0.94698442073065803</v>
      </c>
      <c r="K32" s="916">
        <v>2006</v>
      </c>
      <c r="L32" s="931">
        <f>'7.1. Weather Normal KW Customer'!E13</f>
        <v>12633563.929999998</v>
      </c>
      <c r="M32" s="995">
        <f>('X.2.CDM Data Extraction'!$C$7)*0.5</f>
        <v>0</v>
      </c>
      <c r="N32" s="931">
        <f t="shared" ref="N32:N39" si="8">L32+M32</f>
        <v>12633563.929999998</v>
      </c>
      <c r="O32" s="931">
        <f>'4. Customer Growth'!K10</f>
        <v>40.5</v>
      </c>
      <c r="P32" s="931">
        <f t="shared" ref="P32:P39" si="9">N32/O32</f>
        <v>311939.85012345674</v>
      </c>
      <c r="Q32" s="918">
        <f t="shared" ref="Q32:Q40" si="10">P32/P31</f>
        <v>1.057526185740443</v>
      </c>
    </row>
    <row r="33" spans="2:22" x14ac:dyDescent="0.2">
      <c r="B33" s="916">
        <v>2007</v>
      </c>
      <c r="C33" s="917">
        <f>'7. Weather Normal kWh'!C18</f>
        <v>74223886.610000014</v>
      </c>
      <c r="D33" s="992">
        <f>(+'X.2.CDM Data Extraction'!D$57-'X.2.CDM Data Extraction'!D$52)*0.5+'X.2.CDM Data Extraction'!D$52</f>
        <v>1067214.4017140707</v>
      </c>
      <c r="E33" s="917">
        <f t="shared" si="5"/>
        <v>75291101.011714086</v>
      </c>
      <c r="F33" s="917">
        <f>'4. Customer Growth'!C11</f>
        <v>10273.5</v>
      </c>
      <c r="G33" s="917">
        <f t="shared" si="6"/>
        <v>7328.6709506705683</v>
      </c>
      <c r="H33" s="1014">
        <f t="shared" si="7"/>
        <v>0.97837863818920889</v>
      </c>
      <c r="K33" s="916">
        <v>2007</v>
      </c>
      <c r="L33" s="931">
        <f>'7.1. Weather Normal KW Customer'!E14</f>
        <v>14970174.015999999</v>
      </c>
      <c r="M33" s="995">
        <f>'X.2.CDM Data Extraction'!M11*0.5+'X.2.CDM Data Extraction'!$C$58</f>
        <v>0</v>
      </c>
      <c r="N33" s="931">
        <f t="shared" si="8"/>
        <v>14970174.015999999</v>
      </c>
      <c r="O33" s="931">
        <f>'4. Customer Growth'!K11</f>
        <v>36</v>
      </c>
      <c r="P33" s="931">
        <f t="shared" si="9"/>
        <v>415838.16711111111</v>
      </c>
      <c r="Q33" s="918">
        <f t="shared" si="10"/>
        <v>1.3330716384794519</v>
      </c>
    </row>
    <row r="34" spans="2:22" x14ac:dyDescent="0.2">
      <c r="B34" s="916">
        <v>2008</v>
      </c>
      <c r="C34" s="917">
        <f>'7. Weather Normal kWh'!C19</f>
        <v>78678925.103</v>
      </c>
      <c r="D34" s="992">
        <f>(+'X.2.CDM Data Extraction'!E$57-'X.2.CDM Data Extraction'!E$52)*0.5+'X.2.CDM Data Extraction'!E$52</f>
        <v>1333322.5819088626</v>
      </c>
      <c r="E34" s="917">
        <f t="shared" si="5"/>
        <v>80012247.684908867</v>
      </c>
      <c r="F34" s="917">
        <f>'4. Customer Growth'!C12</f>
        <v>10658.5</v>
      </c>
      <c r="G34" s="917">
        <f t="shared" si="6"/>
        <v>7506.8956874709265</v>
      </c>
      <c r="H34" s="1014">
        <f t="shared" si="7"/>
        <v>1.0243188346154428</v>
      </c>
      <c r="K34" s="916">
        <v>2008</v>
      </c>
      <c r="L34" s="931">
        <f>'7.1. Weather Normal KW Customer'!E15</f>
        <v>17386048.783999998</v>
      </c>
      <c r="M34" s="995">
        <f>'X.2.CDM Data Extraction'!N15*0.5+'X.2.CDM Data Extraction'!$D$58</f>
        <v>0</v>
      </c>
      <c r="N34" s="931">
        <f t="shared" si="8"/>
        <v>17386048.783999998</v>
      </c>
      <c r="O34" s="931">
        <f>'4. Customer Growth'!K12</f>
        <v>31</v>
      </c>
      <c r="P34" s="931">
        <f t="shared" si="9"/>
        <v>560840.28335483861</v>
      </c>
      <c r="Q34" s="918">
        <f t="shared" si="10"/>
        <v>1.3486984305723511</v>
      </c>
    </row>
    <row r="35" spans="2:22" x14ac:dyDescent="0.2">
      <c r="B35" s="916">
        <v>2009</v>
      </c>
      <c r="C35" s="917">
        <f>'7. Weather Normal kWh'!C20</f>
        <v>82719010.360000014</v>
      </c>
      <c r="D35" s="992">
        <f>(+'X.2.CDM Data Extraction'!F$57-'X.2.CDM Data Extraction'!F$52)*0.5+'X.2.CDM Data Extraction'!F$52</f>
        <v>1560652.1624053288</v>
      </c>
      <c r="E35" s="917">
        <f t="shared" si="5"/>
        <v>84279662.522405341</v>
      </c>
      <c r="F35" s="917">
        <f>'4. Customer Growth'!C13</f>
        <v>10918.5</v>
      </c>
      <c r="G35" s="917">
        <f t="shared" si="6"/>
        <v>7718.9781125983736</v>
      </c>
      <c r="H35" s="1014">
        <f t="shared" si="7"/>
        <v>1.0282516813816149</v>
      </c>
      <c r="K35" s="916">
        <v>2009</v>
      </c>
      <c r="L35" s="931">
        <f>'7.1. Weather Normal KW Customer'!E16</f>
        <v>16872487.509999998</v>
      </c>
      <c r="M35" s="995">
        <f>'X.2.CDM Data Extraction'!$F$19*0.5+'X.2.CDM Data Extraction'!$E$58</f>
        <v>0</v>
      </c>
      <c r="N35" s="931">
        <f t="shared" si="8"/>
        <v>16872487.509999998</v>
      </c>
      <c r="O35" s="931">
        <f>'4. Customer Growth'!K13</f>
        <v>30</v>
      </c>
      <c r="P35" s="931">
        <f t="shared" si="9"/>
        <v>562416.25033333327</v>
      </c>
      <c r="Q35" s="1014">
        <f t="shared" si="10"/>
        <v>1.0028100103100075</v>
      </c>
    </row>
    <row r="36" spans="2:22" x14ac:dyDescent="0.2">
      <c r="B36" s="916">
        <v>2010</v>
      </c>
      <c r="C36" s="917">
        <f>'7. Weather Normal kWh'!C21</f>
        <v>84575463.599999994</v>
      </c>
      <c r="D36" s="992">
        <f>(+'X.2.CDM Data Extraction'!G$57-'X.2.CDM Data Extraction'!G$52)*0.5+'X.2.CDM Data Extraction'!G$52</f>
        <v>1172273.281397183</v>
      </c>
      <c r="E36" s="917">
        <f t="shared" si="5"/>
        <v>85747736.881397173</v>
      </c>
      <c r="F36" s="917">
        <f>'4. Customer Growth'!C14</f>
        <v>11119.5</v>
      </c>
      <c r="G36" s="917">
        <f t="shared" si="6"/>
        <v>7711.4741563377102</v>
      </c>
      <c r="H36" s="1014">
        <f t="shared" si="7"/>
        <v>0.99902785625879464</v>
      </c>
      <c r="K36" s="916">
        <v>2010</v>
      </c>
      <c r="L36" s="931">
        <f>'7.1. Weather Normal KW Customer'!E17</f>
        <v>17629407.020000003</v>
      </c>
      <c r="M36" s="995">
        <f>'X.2.CDM Data Extraction'!$G$23*0.5+'X.2.CDM Data Extraction'!$F$58</f>
        <v>0</v>
      </c>
      <c r="N36" s="931">
        <f t="shared" si="8"/>
        <v>17629407.020000003</v>
      </c>
      <c r="O36" s="931">
        <f>'4. Customer Growth'!K14</f>
        <v>31</v>
      </c>
      <c r="P36" s="931">
        <f t="shared" si="9"/>
        <v>568690.54903225822</v>
      </c>
      <c r="Q36" s="1014">
        <f t="shared" si="10"/>
        <v>1.0111559697914245</v>
      </c>
    </row>
    <row r="37" spans="2:22" x14ac:dyDescent="0.2">
      <c r="B37" s="916">
        <v>2011</v>
      </c>
      <c r="C37" s="917">
        <f>'7. Weather Normal kWh'!C22</f>
        <v>84023443</v>
      </c>
      <c r="D37" s="992">
        <f>(+'X.2.CDM Data Extraction'!H$57-'X.2.CDM Data Extraction'!H$52)*0.5+'X.2.CDM Data Extraction'!H$52</f>
        <v>1332303.735836009</v>
      </c>
      <c r="E37" s="917">
        <f t="shared" si="5"/>
        <v>85355746.735836014</v>
      </c>
      <c r="F37" s="917">
        <f>'4. Customer Growth'!C15</f>
        <v>11370.5</v>
      </c>
      <c r="G37" s="917">
        <f t="shared" si="6"/>
        <v>7506.7716226934626</v>
      </c>
      <c r="H37" s="1014">
        <f t="shared" si="7"/>
        <v>0.97345481168785197</v>
      </c>
      <c r="K37" s="916">
        <v>2011</v>
      </c>
      <c r="L37" s="931">
        <f>'7.1. Weather Normal KW Customer'!E18</f>
        <v>17073810.420000002</v>
      </c>
      <c r="M37" s="995">
        <f>+'X.2.CDM Data Extraction'!H58*0.5-'X.2.CDM Data Extraction'!H53</f>
        <v>15546.39967782</v>
      </c>
      <c r="N37" s="931">
        <f t="shared" si="8"/>
        <v>17089356.819677822</v>
      </c>
      <c r="O37" s="931">
        <f>'4. Customer Growth'!K15</f>
        <v>32.5</v>
      </c>
      <c r="P37" s="931">
        <f t="shared" si="9"/>
        <v>525826.3636823945</v>
      </c>
      <c r="Q37" s="1014">
        <f t="shared" si="10"/>
        <v>0.92462652065731388</v>
      </c>
    </row>
    <row r="38" spans="2:22" x14ac:dyDescent="0.2">
      <c r="B38" s="916">
        <v>2012</v>
      </c>
      <c r="C38" s="917">
        <f>'7. Weather Normal kWh'!C23</f>
        <v>82588039.052825093</v>
      </c>
      <c r="D38" s="992">
        <f>(+'X.2.CDM Data Extraction'!I$57-'X.2.CDM Data Extraction'!I$52)*0.5+'X.2.CDM Data Extraction'!I$52</f>
        <v>1423583.5456944187</v>
      </c>
      <c r="E38" s="917">
        <f t="shared" si="5"/>
        <v>84011622.598519519</v>
      </c>
      <c r="F38" s="917">
        <f>'4. Customer Growth'!C16</f>
        <v>11609</v>
      </c>
      <c r="G38" s="917">
        <f t="shared" si="6"/>
        <v>7236.7665258437</v>
      </c>
      <c r="H38" s="1014">
        <f t="shared" si="7"/>
        <v>0.96403179550134177</v>
      </c>
      <c r="K38" s="916">
        <v>2012</v>
      </c>
      <c r="L38" s="931">
        <f>'7.1. Weather Normal KW Customer'!E19</f>
        <v>17613527.535856102</v>
      </c>
      <c r="M38" s="995">
        <f>(+'X.2.CDM Data Extraction'!I58-'X.2.CDM Data Extraction'!I53)*0.5+'X.2.CDM Data Extraction'!I53</f>
        <v>36840.377875905557</v>
      </c>
      <c r="N38" s="931">
        <f t="shared" si="8"/>
        <v>17650367.913732007</v>
      </c>
      <c r="O38" s="931">
        <f>'4. Customer Growth'!K16</f>
        <v>35</v>
      </c>
      <c r="P38" s="931">
        <f t="shared" si="9"/>
        <v>504296.22610662878</v>
      </c>
      <c r="Q38" s="1014">
        <f t="shared" si="10"/>
        <v>0.95905466316867638</v>
      </c>
    </row>
    <row r="39" spans="2:22" x14ac:dyDescent="0.2">
      <c r="B39" s="916">
        <v>2013</v>
      </c>
      <c r="C39" s="917">
        <f>'7. Weather Normal kWh'!C24</f>
        <v>86276531.942645699</v>
      </c>
      <c r="D39" s="992">
        <f>(+'X.2.CDM Data Extraction'!J$57-'X.2.CDM Data Extraction'!J$52)*0.5+'X.2.CDM Data Extraction'!J$52</f>
        <v>1521776.0249807839</v>
      </c>
      <c r="E39" s="917">
        <f t="shared" si="5"/>
        <v>87798307.967626482</v>
      </c>
      <c r="F39" s="917">
        <f>'4. Customer Growth'!C17</f>
        <v>11857</v>
      </c>
      <c r="G39" s="917">
        <f t="shared" si="6"/>
        <v>7404.7657896286146</v>
      </c>
      <c r="H39" s="1014">
        <f t="shared" si="7"/>
        <v>1.0232146861702613</v>
      </c>
      <c r="K39" s="916">
        <v>2013</v>
      </c>
      <c r="L39" s="931">
        <f>'7.1. Weather Normal KW Customer'!E20</f>
        <v>17691775.363432009</v>
      </c>
      <c r="M39" s="995">
        <f>('X.2.CDM Data Extraction'!J58-'X.2.CDM Data Extraction'!J53)*0.5+'X.2.CDM Data Extraction'!J53</f>
        <v>65628.498465215263</v>
      </c>
      <c r="N39" s="931">
        <f t="shared" si="8"/>
        <v>17757403.861897223</v>
      </c>
      <c r="O39" s="931">
        <f>'4. Customer Growth'!K17</f>
        <v>35</v>
      </c>
      <c r="P39" s="931">
        <f t="shared" si="9"/>
        <v>507354.39605420636</v>
      </c>
      <c r="Q39" s="1014">
        <f t="shared" si="10"/>
        <v>1.0060642332606529</v>
      </c>
    </row>
    <row r="40" spans="2:22" ht="15" thickBot="1" x14ac:dyDescent="0.25">
      <c r="B40" s="916">
        <v>2014</v>
      </c>
      <c r="C40" s="917">
        <f>'7. Weather Normal kWh'!C25</f>
        <v>87611189.555966705</v>
      </c>
      <c r="D40" s="992">
        <f>(+'X.2.CDM Data Extraction'!K$57-'X.2.CDM Data Extraction'!K$52)*0.5+'X.2.CDM Data Extraction'!K$52</f>
        <v>1658314.7257093233</v>
      </c>
      <c r="E40" s="917">
        <f>C40+D40</f>
        <v>89269504.281676024</v>
      </c>
      <c r="F40" s="917">
        <f>'4. Customer Growth'!C18</f>
        <v>12082</v>
      </c>
      <c r="G40" s="917">
        <f>E40/F40</f>
        <v>7388.6363418040082</v>
      </c>
      <c r="H40" s="1015">
        <f t="shared" si="7"/>
        <v>0.99782174773884169</v>
      </c>
      <c r="K40" s="916">
        <v>2014</v>
      </c>
      <c r="L40" s="931">
        <f>'7.1. Weather Normal KW Customer'!E21</f>
        <v>17311423.283422757</v>
      </c>
      <c r="M40" s="995">
        <f>('X.2.CDM Data Extraction'!K58-'X.2.CDM Data Extraction'!K53)*0.5+'X.2.CDM Data Extraction'!K53</f>
        <v>204433.24292815328</v>
      </c>
      <c r="N40" s="931">
        <f>L40+M40</f>
        <v>17515856.526350912</v>
      </c>
      <c r="O40" s="931">
        <f>'4. Customer Growth'!K18</f>
        <v>36</v>
      </c>
      <c r="P40" s="931">
        <f>N40/O40</f>
        <v>486551.57017641421</v>
      </c>
      <c r="Q40" s="1014">
        <f t="shared" si="10"/>
        <v>0.9589974462829538</v>
      </c>
    </row>
    <row r="41" spans="2:22" ht="15" thickBot="1" x14ac:dyDescent="0.25">
      <c r="B41" s="916">
        <v>2015</v>
      </c>
      <c r="C41" s="915"/>
      <c r="D41" s="915"/>
      <c r="E41" s="915"/>
      <c r="F41" s="915"/>
      <c r="G41" s="921">
        <f>H41*G40</f>
        <v>7332.8730374933939</v>
      </c>
      <c r="H41" s="922">
        <f>IF(H29=1,+GEOMEAN(H40:H40),+IF(H29=2,+GEOMEAN(H39:H40),+IF(H29=3,+GEOMEAN(H38:H40),+IF(H29=4,+GEOMEAN(H37:H40),+IF(H29=5,+GEOMEAN(H36:H40),+IF(H29=6,+GEOMEAN(H35:H40),+IF(H29=7,+GEOMEAN(H34:H40),+IF(H29=8,+GEOMEAN(H33:H40),+IF(H29=9,+GEOMEAN(H32:H40),0)))))))))</f>
        <v>0.99245282867758533</v>
      </c>
      <c r="J41" s="910"/>
      <c r="K41" s="916">
        <v>2015</v>
      </c>
      <c r="L41" s="932"/>
      <c r="M41" s="932"/>
      <c r="N41" s="932"/>
      <c r="O41" s="932"/>
      <c r="P41" s="933">
        <f>Q41*P40</f>
        <v>475164.32297548925</v>
      </c>
      <c r="Q41" s="922">
        <f>IF(Q29=1,+GEOMEAN(Q40:Q40),+IF(Q29=2,+GEOMEAN(Q39:Q40),+IF(Q29=3,+GEOMEAN(Q38:Q40),+IF(Q29=4,+GEOMEAN(Q37:Q40),+IF(Q29=5,+GEOMEAN(Q36:Q40),+IF(Q29=6,+GEOMEAN(Q35:Q40),+IF(Q29=7,+GEOMEAN(Q34:Q40),+IF(Q29=8,+GEOMEAN(Q33:Q40),+IF(Q29=9,+GEOMEAN(Q32:Q40),0)))))))))</f>
        <v>0.97659601181269196</v>
      </c>
    </row>
    <row r="42" spans="2:22" x14ac:dyDescent="0.2">
      <c r="B42" s="916">
        <v>2016</v>
      </c>
      <c r="C42" s="915"/>
      <c r="D42" s="915"/>
      <c r="E42" s="915"/>
      <c r="F42" s="915"/>
      <c r="G42" s="920">
        <f>H41*G41</f>
        <v>7277.5305883939163</v>
      </c>
      <c r="J42" s="910"/>
      <c r="K42" s="916">
        <v>2016</v>
      </c>
      <c r="L42" s="932"/>
      <c r="M42" s="932"/>
      <c r="N42" s="932"/>
      <c r="O42" s="932"/>
      <c r="P42" s="931">
        <f>Q41*P41</f>
        <v>464043.58277354069</v>
      </c>
    </row>
    <row r="43" spans="2:22" ht="15" thickBot="1" x14ac:dyDescent="0.25">
      <c r="B43" s="910"/>
      <c r="C43" s="910"/>
      <c r="D43" s="913"/>
      <c r="E43" s="913"/>
      <c r="F43" s="913"/>
      <c r="G43" s="913"/>
      <c r="H43" s="913"/>
      <c r="J43" s="910"/>
      <c r="M43" s="913"/>
      <c r="O43" s="913"/>
      <c r="Q43" s="913"/>
    </row>
    <row r="44" spans="2:22" ht="16.5" thickBot="1" x14ac:dyDescent="0.3">
      <c r="B44" s="1196" t="str">
        <f>'7. Weather Normal kWh'!J14</f>
        <v>General Service &lt; 50 kW</v>
      </c>
      <c r="C44" s="999"/>
      <c r="D44" s="1000"/>
      <c r="E44" s="1000"/>
      <c r="F44" s="1000"/>
      <c r="G44" s="1012" t="s">
        <v>604</v>
      </c>
      <c r="H44" s="331">
        <v>9</v>
      </c>
      <c r="J44" s="910"/>
      <c r="K44" s="1010" t="str">
        <f>'7.1. Weather Normal KW Customer'!M9</f>
        <v>General Service &gt; 50 kW - 4999 kW - Wholesale Market Participant</v>
      </c>
      <c r="L44" s="998"/>
      <c r="M44" s="998"/>
      <c r="N44" s="998"/>
      <c r="O44" s="998"/>
      <c r="P44" s="1012" t="s">
        <v>604</v>
      </c>
      <c r="Q44" s="331">
        <v>8</v>
      </c>
    </row>
    <row r="45" spans="2:22" ht="30.75" thickBot="1" x14ac:dyDescent="0.3">
      <c r="B45" s="1004" t="s">
        <v>33</v>
      </c>
      <c r="C45" s="1005" t="s">
        <v>584</v>
      </c>
      <c r="D45" s="1005" t="s">
        <v>57</v>
      </c>
      <c r="E45" s="1005" t="s">
        <v>585</v>
      </c>
      <c r="F45" s="1005" t="s">
        <v>587</v>
      </c>
      <c r="G45" s="1005" t="s">
        <v>586</v>
      </c>
      <c r="H45" s="1006" t="s">
        <v>588</v>
      </c>
      <c r="J45" s="910"/>
      <c r="K45" s="1004" t="s">
        <v>33</v>
      </c>
      <c r="L45" s="1005" t="s">
        <v>584</v>
      </c>
      <c r="M45" s="1005" t="s">
        <v>57</v>
      </c>
      <c r="N45" s="1005" t="s">
        <v>585</v>
      </c>
      <c r="O45" s="1005" t="s">
        <v>587</v>
      </c>
      <c r="P45" s="1005" t="s">
        <v>586</v>
      </c>
      <c r="Q45" s="1006" t="s">
        <v>588</v>
      </c>
    </row>
    <row r="46" spans="2:22" x14ac:dyDescent="0.2">
      <c r="B46" s="923">
        <v>2005</v>
      </c>
      <c r="C46" s="943">
        <f>'7. Weather Normal kWh'!K16</f>
        <v>14537477.4</v>
      </c>
      <c r="D46" s="993">
        <v>0</v>
      </c>
      <c r="E46" s="929">
        <f>C46+D46</f>
        <v>14537477.4</v>
      </c>
      <c r="F46" s="929">
        <f>'4. Customer Growth'!E9</f>
        <v>743</v>
      </c>
      <c r="G46" s="929">
        <f>E46/F46</f>
        <v>19565.918438761779</v>
      </c>
      <c r="H46" s="1016"/>
      <c r="J46" s="910"/>
      <c r="K46" s="923">
        <v>2005</v>
      </c>
      <c r="L46" s="929">
        <f>'7.1. Weather Normal KW Customer'!P12</f>
        <v>994198.57999999984</v>
      </c>
      <c r="M46" s="996">
        <v>0</v>
      </c>
      <c r="N46" s="929">
        <f t="shared" ref="N46:N51" si="11">L46+M46</f>
        <v>994198.57999999984</v>
      </c>
      <c r="O46" s="929">
        <v>1</v>
      </c>
      <c r="P46" s="929">
        <f t="shared" ref="P46:P51" si="12">N46/O46</f>
        <v>994198.57999999984</v>
      </c>
      <c r="Q46" s="928"/>
      <c r="V46" s="914"/>
    </row>
    <row r="47" spans="2:22" x14ac:dyDescent="0.2">
      <c r="B47" s="916">
        <v>2006</v>
      </c>
      <c r="C47" s="920">
        <f>'7. Weather Normal kWh'!K17</f>
        <v>14223773.710000001</v>
      </c>
      <c r="D47" s="992">
        <f>('X.2.CDM Data Extraction'!$C$5)*0.5</f>
        <v>0</v>
      </c>
      <c r="E47" s="884">
        <f t="shared" ref="E47:E55" si="13">C47+D47</f>
        <v>14223773.710000001</v>
      </c>
      <c r="F47" s="884">
        <f>'4. Customer Growth'!E10</f>
        <v>747</v>
      </c>
      <c r="G47" s="884">
        <f t="shared" ref="G47:G55" si="14">E47/F47</f>
        <v>19041.196398929053</v>
      </c>
      <c r="H47" s="1014">
        <f t="shared" ref="H47:H55" si="15">G47/G46</f>
        <v>0.97318183444978457</v>
      </c>
      <c r="J47" s="910"/>
      <c r="K47" s="916">
        <v>2006</v>
      </c>
      <c r="L47" s="884">
        <f>'7.1. Weather Normal KW Customer'!P13</f>
        <v>4233263.5499999989</v>
      </c>
      <c r="M47" s="865">
        <v>0</v>
      </c>
      <c r="N47" s="929">
        <f t="shared" si="11"/>
        <v>4233263.5499999989</v>
      </c>
      <c r="O47" s="929">
        <v>1</v>
      </c>
      <c r="P47" s="884">
        <f t="shared" si="12"/>
        <v>4233263.5499999989</v>
      </c>
      <c r="Q47" s="1014">
        <f t="shared" ref="Q47:Q53" si="16">P47/P46</f>
        <v>4.257965797939482</v>
      </c>
      <c r="V47" s="914"/>
    </row>
    <row r="48" spans="2:22" x14ac:dyDescent="0.2">
      <c r="B48" s="916">
        <v>2007</v>
      </c>
      <c r="C48" s="920">
        <f>'7. Weather Normal kWh'!K18</f>
        <v>14339658.07</v>
      </c>
      <c r="D48" s="992">
        <f>'X.2.CDM Data Extraction'!$C$9*0.5+'X.2.CDM Data Extraction'!$C$51</f>
        <v>0</v>
      </c>
      <c r="E48" s="884">
        <f t="shared" si="13"/>
        <v>14339658.07</v>
      </c>
      <c r="F48" s="884">
        <f>'4. Customer Growth'!E11</f>
        <v>754</v>
      </c>
      <c r="G48" s="884">
        <f t="shared" si="14"/>
        <v>19018.114151193633</v>
      </c>
      <c r="H48" s="1014">
        <f t="shared" si="15"/>
        <v>0.9987877732442948</v>
      </c>
      <c r="J48" s="910"/>
      <c r="K48" s="916">
        <v>2007</v>
      </c>
      <c r="L48" s="884">
        <f>'7.1. Weather Normal KW Customer'!P14</f>
        <v>4141943.8099999996</v>
      </c>
      <c r="M48" s="865">
        <v>0</v>
      </c>
      <c r="N48" s="929">
        <f t="shared" si="11"/>
        <v>4141943.8099999996</v>
      </c>
      <c r="O48" s="929">
        <v>1</v>
      </c>
      <c r="P48" s="884">
        <f t="shared" si="12"/>
        <v>4141943.8099999996</v>
      </c>
      <c r="Q48" s="1014">
        <f t="shared" si="16"/>
        <v>0.97842805227659424</v>
      </c>
      <c r="V48" s="914"/>
    </row>
    <row r="49" spans="2:22" x14ac:dyDescent="0.2">
      <c r="B49" s="916">
        <v>2008</v>
      </c>
      <c r="C49" s="920">
        <f>'7. Weather Normal kWh'!K19</f>
        <v>15092313.370000001</v>
      </c>
      <c r="D49" s="992">
        <f>'X.2.CDM Data Extraction'!$E$13*0.5+'X.2.CDM Data Extraction'!$E$51</f>
        <v>0</v>
      </c>
      <c r="E49" s="884">
        <f t="shared" si="13"/>
        <v>15092313.370000001</v>
      </c>
      <c r="F49" s="884">
        <f>'4. Customer Growth'!E12</f>
        <v>756.5</v>
      </c>
      <c r="G49" s="884">
        <f t="shared" si="14"/>
        <v>19950.182908129544</v>
      </c>
      <c r="H49" s="1014">
        <f t="shared" si="15"/>
        <v>1.0490095258407843</v>
      </c>
      <c r="J49" s="910"/>
      <c r="K49" s="916">
        <v>2008</v>
      </c>
      <c r="L49" s="884">
        <f>'7.1. Weather Normal KW Customer'!P15</f>
        <v>4099392.6199999996</v>
      </c>
      <c r="M49" s="865">
        <v>0</v>
      </c>
      <c r="N49" s="929">
        <f t="shared" si="11"/>
        <v>4099392.6199999996</v>
      </c>
      <c r="O49" s="929">
        <v>1</v>
      </c>
      <c r="P49" s="884">
        <f t="shared" si="12"/>
        <v>4099392.6199999996</v>
      </c>
      <c r="Q49" s="1014">
        <f t="shared" si="16"/>
        <v>0.98972675826811862</v>
      </c>
      <c r="V49" s="914"/>
    </row>
    <row r="50" spans="2:22" x14ac:dyDescent="0.2">
      <c r="B50" s="916">
        <v>2009</v>
      </c>
      <c r="C50" s="920">
        <f>'7. Weather Normal kWh'!K20</f>
        <v>15369939.543000001</v>
      </c>
      <c r="D50" s="992">
        <f>'X.2.CDM Data Extraction'!$F$17*0.5+'X.2.CDM Data Extraction'!$F$51</f>
        <v>238207.46112311701</v>
      </c>
      <c r="E50" s="884">
        <f t="shared" si="13"/>
        <v>15608147.004123118</v>
      </c>
      <c r="F50" s="884">
        <f>'4. Customer Growth'!E13</f>
        <v>767</v>
      </c>
      <c r="G50" s="884">
        <f t="shared" si="14"/>
        <v>20349.604959743308</v>
      </c>
      <c r="H50" s="1014">
        <f t="shared" si="15"/>
        <v>1.0200209719105384</v>
      </c>
      <c r="J50" s="910"/>
      <c r="K50" s="916">
        <v>2009</v>
      </c>
      <c r="L50" s="884">
        <f>'7.1. Weather Normal KW Customer'!P16</f>
        <v>4143210.3299999996</v>
      </c>
      <c r="M50" s="865">
        <v>0</v>
      </c>
      <c r="N50" s="929">
        <f t="shared" si="11"/>
        <v>4143210.3299999996</v>
      </c>
      <c r="O50" s="929">
        <v>1</v>
      </c>
      <c r="P50" s="884">
        <f t="shared" si="12"/>
        <v>4143210.3299999996</v>
      </c>
      <c r="Q50" s="1014">
        <f t="shared" si="16"/>
        <v>1.0106888298003522</v>
      </c>
      <c r="V50" s="914"/>
    </row>
    <row r="51" spans="2:22" x14ac:dyDescent="0.2">
      <c r="B51" s="916">
        <v>2010</v>
      </c>
      <c r="C51" s="920">
        <f>'7. Weather Normal kWh'!K21</f>
        <v>17287125.199999999</v>
      </c>
      <c r="D51" s="992">
        <f>'X.2.CDM Data Extraction'!$G$21*0.5+'X.2.CDM Data Extraction'!$G$51</f>
        <v>578341.91007574229</v>
      </c>
      <c r="E51" s="884">
        <f t="shared" si="13"/>
        <v>17865467.110075742</v>
      </c>
      <c r="F51" s="884">
        <f>'4. Customer Growth'!E14</f>
        <v>776.5</v>
      </c>
      <c r="G51" s="884">
        <f t="shared" si="14"/>
        <v>23007.684623407265</v>
      </c>
      <c r="H51" s="1014">
        <f t="shared" si="15"/>
        <v>1.130620700938535</v>
      </c>
      <c r="J51" s="910"/>
      <c r="K51" s="916">
        <v>2010</v>
      </c>
      <c r="L51" s="884">
        <f>'7.1. Weather Normal KW Customer'!P17</f>
        <v>4263662.9799999995</v>
      </c>
      <c r="M51" s="865">
        <v>0</v>
      </c>
      <c r="N51" s="929">
        <f t="shared" si="11"/>
        <v>4263662.9799999995</v>
      </c>
      <c r="O51" s="929">
        <v>1</v>
      </c>
      <c r="P51" s="884">
        <f t="shared" si="12"/>
        <v>4263662.9799999995</v>
      </c>
      <c r="Q51" s="1014">
        <f t="shared" si="16"/>
        <v>1.029072299112558</v>
      </c>
      <c r="V51" s="914"/>
    </row>
    <row r="52" spans="2:22" x14ac:dyDescent="0.2">
      <c r="B52" s="916">
        <v>2011</v>
      </c>
      <c r="C52" s="920">
        <f>'7. Weather Normal kWh'!K22</f>
        <v>16948879</v>
      </c>
      <c r="D52" s="992">
        <f>'X.2.CDM Data Extraction'!$H$25*0.5+'X.2.CDM Data Extraction'!$H$51</f>
        <v>689397.31015625666</v>
      </c>
      <c r="E52" s="884">
        <f t="shared" si="13"/>
        <v>17638276.310156256</v>
      </c>
      <c r="F52" s="884">
        <f>'4. Customer Growth'!E15</f>
        <v>781</v>
      </c>
      <c r="G52" s="884">
        <f t="shared" si="14"/>
        <v>22584.22062760084</v>
      </c>
      <c r="H52" s="1014">
        <f t="shared" si="15"/>
        <v>0.98159467140054557</v>
      </c>
      <c r="J52" s="910"/>
      <c r="K52" s="916">
        <v>2011</v>
      </c>
      <c r="L52" s="884">
        <f>'7.1. Weather Normal KW Customer'!P18</f>
        <v>4201222.58</v>
      </c>
      <c r="M52" s="995">
        <f>+'X.2.CDM Data Extraction'!H54*0.5-'X.2.CDM Data Extraction'!H59</f>
        <v>0</v>
      </c>
      <c r="N52" s="929">
        <f t="shared" ref="N52" si="17">L52+M52</f>
        <v>4201222.58</v>
      </c>
      <c r="O52" s="929">
        <v>1</v>
      </c>
      <c r="P52" s="884">
        <f t="shared" ref="P52" si="18">N52/O52</f>
        <v>4201222.58</v>
      </c>
      <c r="Q52" s="1014">
        <f t="shared" si="16"/>
        <v>0.98535522148610366</v>
      </c>
      <c r="V52" s="914"/>
    </row>
    <row r="53" spans="2:22" x14ac:dyDescent="0.2">
      <c r="B53" s="916">
        <v>2012</v>
      </c>
      <c r="C53" s="920">
        <f>'7. Weather Normal kWh'!K23</f>
        <v>15746949.627995308</v>
      </c>
      <c r="D53" s="992">
        <f>'X.2.CDM Data Extraction'!$I$29*0.5+'X.2.CDM Data Extraction'!$I$51</f>
        <v>795741.51665376348</v>
      </c>
      <c r="E53" s="884">
        <f t="shared" si="13"/>
        <v>16542691.144649072</v>
      </c>
      <c r="F53" s="884">
        <f>'4. Customer Growth'!E16</f>
        <v>786</v>
      </c>
      <c r="G53" s="884">
        <f t="shared" si="14"/>
        <v>21046.680845609506</v>
      </c>
      <c r="H53" s="1014">
        <f t="shared" si="15"/>
        <v>0.93191973248294158</v>
      </c>
      <c r="J53" s="910"/>
      <c r="K53" s="916">
        <v>2012</v>
      </c>
      <c r="L53" s="884">
        <f>'7.1. Weather Normal KW Customer'!P19</f>
        <v>3761855.8131238185</v>
      </c>
      <c r="M53" s="995">
        <f>(+'X.2.CDM Data Extraction'!I59-'X.2.CDM Data Extraction'!I54)*0.5+'X.2.CDM Data Extraction'!I54</f>
        <v>192688</v>
      </c>
      <c r="N53" s="929">
        <f t="shared" ref="N53:N54" si="19">L53+M53</f>
        <v>3954543.8131238185</v>
      </c>
      <c r="O53" s="929">
        <v>1</v>
      </c>
      <c r="P53" s="884">
        <f t="shared" ref="P53" si="20">N53/O53</f>
        <v>3954543.8131238185</v>
      </c>
      <c r="Q53" s="1014">
        <f t="shared" si="16"/>
        <v>0.94128405192086217</v>
      </c>
      <c r="V53" s="914"/>
    </row>
    <row r="54" spans="2:22" x14ac:dyDescent="0.2">
      <c r="B54" s="916">
        <v>2013</v>
      </c>
      <c r="C54" s="920">
        <f>'7. Weather Normal kWh'!K24</f>
        <v>16432348.094357079</v>
      </c>
      <c r="D54" s="992">
        <f>'X.2.CDM Data Extraction'!$J$33*0.5+'X.2.CDM Data Extraction'!$J$51</f>
        <v>860862.26517433336</v>
      </c>
      <c r="E54" s="884">
        <f t="shared" si="13"/>
        <v>17293210.359531414</v>
      </c>
      <c r="F54" s="884">
        <f>'4. Customer Growth'!E17</f>
        <v>784</v>
      </c>
      <c r="G54" s="884">
        <f t="shared" si="14"/>
        <v>22057.666274912517</v>
      </c>
      <c r="H54" s="1014">
        <f t="shared" si="15"/>
        <v>1.0480353855659816</v>
      </c>
      <c r="J54" s="910"/>
      <c r="K54" s="916">
        <v>2013</v>
      </c>
      <c r="L54" s="884">
        <f>'7.1. Weather Normal KW Customer'!P20</f>
        <v>3594883.73</v>
      </c>
      <c r="M54" s="995">
        <f>('X.2.CDM Data Extraction'!J59-'X.2.CDM Data Extraction'!J54)*0.5+'X.2.CDM Data Extraction'!J54</f>
        <v>400169.45</v>
      </c>
      <c r="N54" s="929">
        <f t="shared" si="19"/>
        <v>3995053.18</v>
      </c>
      <c r="O54" s="929">
        <f>'4. Customer Growth'!M17</f>
        <v>1</v>
      </c>
      <c r="P54" s="884">
        <f>N54/O54</f>
        <v>3995053.18</v>
      </c>
      <c r="Q54" s="1014">
        <f>P54/P53</f>
        <v>1.0102437521975973</v>
      </c>
      <c r="V54" s="914"/>
    </row>
    <row r="55" spans="2:22" ht="15" thickBot="1" x14ac:dyDescent="0.25">
      <c r="B55" s="916">
        <v>2014</v>
      </c>
      <c r="C55" s="920">
        <f>'7. Weather Normal kWh'!K25</f>
        <v>16552639.278445883</v>
      </c>
      <c r="D55" s="992">
        <f>'X.2.CDM Data Extraction'!$K$37*0.5+'X.2.CDM Data Extraction'!$K$51</f>
        <v>875755.48302655143</v>
      </c>
      <c r="E55" s="884">
        <f t="shared" si="13"/>
        <v>17428394.761472434</v>
      </c>
      <c r="F55" s="884">
        <f>'4. Customer Growth'!E18</f>
        <v>783</v>
      </c>
      <c r="G55" s="884">
        <f t="shared" si="14"/>
        <v>22258.486285405408</v>
      </c>
      <c r="H55" s="1015">
        <f t="shared" si="15"/>
        <v>1.0091043181082713</v>
      </c>
      <c r="J55" s="910"/>
      <c r="K55" s="916">
        <v>2014</v>
      </c>
      <c r="L55" s="884">
        <f>'7.1. Weather Normal KW Customer'!P21</f>
        <v>3453199.0199999996</v>
      </c>
      <c r="M55" s="995">
        <f>('X.2.CDM Data Extraction'!K59-'X.2.CDM Data Extraction'!K54)*0.5+'X.2.CDM Data Extraction'!K54</f>
        <v>414963.15</v>
      </c>
      <c r="N55" s="929">
        <f>L55+M55</f>
        <v>3868162.1699999995</v>
      </c>
      <c r="O55" s="929">
        <f>'4. Customer Growth'!M18</f>
        <v>1</v>
      </c>
      <c r="P55" s="884">
        <f>N55/O55</f>
        <v>3868162.1699999995</v>
      </c>
      <c r="Q55" s="1014">
        <f t="shared" ref="Q55" si="21">P55/P54</f>
        <v>0.96823796723526956</v>
      </c>
      <c r="V55" s="914"/>
    </row>
    <row r="56" spans="2:22" ht="15" thickBot="1" x14ac:dyDescent="0.25">
      <c r="B56" s="916">
        <v>2015</v>
      </c>
      <c r="C56" s="911"/>
      <c r="E56" s="913"/>
      <c r="F56" s="913"/>
      <c r="G56" s="926">
        <f>H56*G55</f>
        <v>22579.65677107692</v>
      </c>
      <c r="H56" s="922">
        <f>IF(H44=1,+GEOMEAN(H55:H55),+IF(H44=2,+GEOMEAN(H54:H55),+IF(H44=3,+GEOMEAN(H53:H55),+IF(H44=4,+GEOMEAN(H52:H55),+IF(H44=5,+GEOMEAN(H51:H55),+IF(H44=6,+GEOMEAN(H50:H55),+IF(H44=7,+GEOMEAN(H49:H55),+IF(H44=8,+GEOMEAN(H48:H55),+IF(H44=9,+GEOMEAN(H47:H55),0)))))))))</f>
        <v>1.0144291252133393</v>
      </c>
      <c r="J56" s="910"/>
      <c r="K56" s="916">
        <v>2015</v>
      </c>
      <c r="L56" s="919"/>
      <c r="M56" s="878"/>
      <c r="N56" s="878"/>
      <c r="O56" s="878"/>
      <c r="P56" s="926">
        <f>Q56*P55</f>
        <v>3824796.5949268145</v>
      </c>
      <c r="Q56" s="922">
        <f>IF(Q44=1,+GEOMEAN(Q55:Q55),+IF(Q44=2,+GEOMEAN(Q54:Q55),+IF(Q44=3,+GEOMEAN(Q53:Q55),+IF(Q44=4,+GEOMEAN(Q52:Q55),+IF(Q44=5,+GEOMEAN(Q51:Q55),+IF(Q44=6,+GEOMEAN(Q50:Q55),+IF(Q44=7,+GEOMEAN(Q49:Q55),+IF(Q44=8,+GEOMEAN(Q48:Q55),+IF(Q44=9,+GEOMEAN(Q47:Q55),0)))))))))</f>
        <v>0.98878910108539086</v>
      </c>
    </row>
    <row r="57" spans="2:22" x14ac:dyDescent="0.2">
      <c r="B57" s="916">
        <v>2016</v>
      </c>
      <c r="C57" s="911"/>
      <c r="D57" s="912"/>
      <c r="E57" s="913"/>
      <c r="F57" s="913"/>
      <c r="G57" s="920">
        <f>H56*G56</f>
        <v>22905.461465901011</v>
      </c>
      <c r="J57" s="910"/>
      <c r="K57" s="916">
        <v>2016</v>
      </c>
      <c r="L57" s="919"/>
      <c r="M57" s="878"/>
      <c r="N57" s="878"/>
      <c r="O57" s="878"/>
      <c r="P57" s="920">
        <f>Q56*P56</f>
        <v>3781917.1869321489</v>
      </c>
    </row>
    <row r="58" spans="2:22" x14ac:dyDescent="0.2">
      <c r="B58" s="910"/>
      <c r="C58" s="910"/>
      <c r="D58" s="913"/>
      <c r="E58" s="913"/>
      <c r="F58" s="913"/>
      <c r="G58" s="913"/>
      <c r="H58" s="913"/>
      <c r="J58" s="910"/>
      <c r="M58" s="913"/>
      <c r="O58" s="913"/>
      <c r="Q58" s="913"/>
    </row>
    <row r="59" spans="2:22" ht="15" thickBot="1" x14ac:dyDescent="0.25">
      <c r="B59" s="910"/>
      <c r="C59" s="910"/>
      <c r="D59" s="913"/>
      <c r="E59" s="913"/>
      <c r="F59" s="913"/>
      <c r="G59" s="913"/>
      <c r="H59" s="913"/>
      <c r="J59" s="910"/>
      <c r="M59" s="913"/>
      <c r="O59" s="913"/>
      <c r="Q59" s="913"/>
    </row>
    <row r="60" spans="2:22" ht="16.5" thickBot="1" x14ac:dyDescent="0.3">
      <c r="B60" s="1011" t="str">
        <f>'7. Weather Normal kWh'!R14</f>
        <v>Unmetered Scattered Load</v>
      </c>
      <c r="C60" s="999"/>
      <c r="D60" s="1000"/>
      <c r="E60" s="1000"/>
      <c r="F60" s="1000"/>
      <c r="G60" s="1012" t="s">
        <v>604</v>
      </c>
      <c r="H60" s="331">
        <v>5</v>
      </c>
      <c r="J60" s="910"/>
      <c r="K60" s="1196" t="str">
        <f>'7.1. Weather Normal KW Customer'!W9</f>
        <v>Streetlighting</v>
      </c>
      <c r="L60" s="997"/>
      <c r="M60" s="997"/>
      <c r="N60" s="997"/>
      <c r="O60" s="997"/>
      <c r="P60" s="1012" t="s">
        <v>604</v>
      </c>
      <c r="Q60" s="331">
        <v>9</v>
      </c>
    </row>
    <row r="61" spans="2:22" ht="30.75" thickBot="1" x14ac:dyDescent="0.3">
      <c r="B61" s="1007" t="s">
        <v>33</v>
      </c>
      <c r="C61" s="1008" t="s">
        <v>584</v>
      </c>
      <c r="D61" s="1008" t="s">
        <v>57</v>
      </c>
      <c r="E61" s="1008" t="s">
        <v>585</v>
      </c>
      <c r="F61" s="1008" t="s">
        <v>587</v>
      </c>
      <c r="G61" s="1008" t="s">
        <v>586</v>
      </c>
      <c r="H61" s="1009" t="s">
        <v>588</v>
      </c>
      <c r="J61" s="910"/>
      <c r="K61" s="1004" t="s">
        <v>33</v>
      </c>
      <c r="L61" s="1005" t="s">
        <v>584</v>
      </c>
      <c r="M61" s="1005" t="s">
        <v>57</v>
      </c>
      <c r="N61" s="1005" t="s">
        <v>585</v>
      </c>
      <c r="O61" s="1005" t="s">
        <v>587</v>
      </c>
      <c r="P61" s="1005" t="s">
        <v>586</v>
      </c>
      <c r="Q61" s="1006" t="s">
        <v>588</v>
      </c>
    </row>
    <row r="62" spans="2:22" x14ac:dyDescent="0.2">
      <c r="B62" s="923">
        <v>2005</v>
      </c>
      <c r="C62" s="943">
        <f>'7. Weather Normal kWh'!S16</f>
        <v>264617</v>
      </c>
      <c r="D62" s="993">
        <v>0</v>
      </c>
      <c r="E62" s="929">
        <f>C62+D62</f>
        <v>264617</v>
      </c>
      <c r="F62" s="929">
        <f>'4. Customer Growth'!G9</f>
        <v>52.5</v>
      </c>
      <c r="G62" s="929">
        <f>E62/F62</f>
        <v>5040.3238095238094</v>
      </c>
      <c r="H62" s="927"/>
      <c r="J62" s="910"/>
      <c r="K62" s="923">
        <v>2005</v>
      </c>
      <c r="L62" s="929">
        <f>'7.1. Weather Normal KW Customer'!X12</f>
        <v>1506679.0199999998</v>
      </c>
      <c r="M62" s="996">
        <v>0</v>
      </c>
      <c r="N62" s="929">
        <f t="shared" ref="N62:N70" si="22">L62+M62</f>
        <v>1506679.0199999998</v>
      </c>
      <c r="O62" s="929">
        <f>'4. Customer Growth'!O9</f>
        <v>2181.5</v>
      </c>
      <c r="P62" s="929">
        <f t="shared" ref="P62:P69" si="23">N62/O62</f>
        <v>690.66193903277554</v>
      </c>
      <c r="Q62" s="928"/>
    </row>
    <row r="63" spans="2:22" x14ac:dyDescent="0.2">
      <c r="B63" s="916">
        <v>2006</v>
      </c>
      <c r="C63" s="920">
        <f>'7. Weather Normal kWh'!S17</f>
        <v>255784</v>
      </c>
      <c r="D63" s="992">
        <v>0</v>
      </c>
      <c r="E63" s="929">
        <f t="shared" ref="E63:E71" si="24">C63+D63</f>
        <v>255784</v>
      </c>
      <c r="F63" s="929">
        <f>'4. Customer Growth'!G10</f>
        <v>46.5</v>
      </c>
      <c r="G63" s="884">
        <f t="shared" ref="G63:G71" si="25">E63/F63</f>
        <v>5500.7311827956992</v>
      </c>
      <c r="H63" s="918">
        <f t="shared" ref="H63:H71" si="26">G63/G62</f>
        <v>1.0913448005864106</v>
      </c>
      <c r="J63" s="910"/>
      <c r="K63" s="916">
        <v>2006</v>
      </c>
      <c r="L63" s="884">
        <f>'7.1. Weather Normal KW Customer'!X13</f>
        <v>1581464.98</v>
      </c>
      <c r="M63" s="865">
        <v>0</v>
      </c>
      <c r="N63" s="929">
        <f t="shared" si="22"/>
        <v>1581464.98</v>
      </c>
      <c r="O63" s="929">
        <f>'4. Customer Growth'!O10</f>
        <v>2259.5</v>
      </c>
      <c r="P63" s="884">
        <f t="shared" si="23"/>
        <v>699.91811462712985</v>
      </c>
      <c r="Q63" s="1014">
        <f t="shared" ref="Q63:Q69" si="27">P63/P62</f>
        <v>1.0134018903768129</v>
      </c>
    </row>
    <row r="64" spans="2:22" x14ac:dyDescent="0.2">
      <c r="B64" s="916">
        <v>2007</v>
      </c>
      <c r="C64" s="920">
        <f>'7. Weather Normal kWh'!S18</f>
        <v>220922</v>
      </c>
      <c r="D64" s="992">
        <v>0</v>
      </c>
      <c r="E64" s="929">
        <f t="shared" si="24"/>
        <v>220922</v>
      </c>
      <c r="F64" s="929">
        <f>'4. Customer Growth'!G11</f>
        <v>41.5</v>
      </c>
      <c r="G64" s="884">
        <f t="shared" si="25"/>
        <v>5323.4216867469877</v>
      </c>
      <c r="H64" s="918">
        <f t="shared" si="26"/>
        <v>0.96776619504634742</v>
      </c>
      <c r="J64" s="910"/>
      <c r="K64" s="916">
        <v>2007</v>
      </c>
      <c r="L64" s="884">
        <f>'7.1. Weather Normal KW Customer'!X14</f>
        <v>1649562.9100000001</v>
      </c>
      <c r="M64" s="865">
        <v>0</v>
      </c>
      <c r="N64" s="929">
        <f t="shared" si="22"/>
        <v>1649562.9100000001</v>
      </c>
      <c r="O64" s="929">
        <f>'4. Customer Growth'!O11</f>
        <v>2340</v>
      </c>
      <c r="P64" s="884">
        <f t="shared" si="23"/>
        <v>704.9414145299146</v>
      </c>
      <c r="Q64" s="1014">
        <f t="shared" si="27"/>
        <v>1.0071769822752206</v>
      </c>
    </row>
    <row r="65" spans="2:17" x14ac:dyDescent="0.2">
      <c r="B65" s="916">
        <v>2008</v>
      </c>
      <c r="C65" s="920">
        <f>'7. Weather Normal kWh'!S19</f>
        <v>173292</v>
      </c>
      <c r="D65" s="992">
        <v>0</v>
      </c>
      <c r="E65" s="929">
        <f t="shared" si="24"/>
        <v>173292</v>
      </c>
      <c r="F65" s="929">
        <f>'4. Customer Growth'!G12</f>
        <v>40</v>
      </c>
      <c r="G65" s="884">
        <f t="shared" si="25"/>
        <v>4332.3</v>
      </c>
      <c r="H65" s="918">
        <f t="shared" si="26"/>
        <v>0.81381867808547825</v>
      </c>
      <c r="J65" s="910"/>
      <c r="K65" s="916">
        <v>2008</v>
      </c>
      <c r="L65" s="884">
        <f>'7.1. Weather Normal KW Customer'!X15</f>
        <v>1743399.895</v>
      </c>
      <c r="M65" s="865">
        <v>0</v>
      </c>
      <c r="N65" s="929">
        <f t="shared" si="22"/>
        <v>1743399.895</v>
      </c>
      <c r="O65" s="929">
        <f>'4. Customer Growth'!O12</f>
        <v>2421.5</v>
      </c>
      <c r="P65" s="884">
        <f t="shared" si="23"/>
        <v>719.96691926491849</v>
      </c>
      <c r="Q65" s="1014">
        <f t="shared" si="27"/>
        <v>1.021314543911459</v>
      </c>
    </row>
    <row r="66" spans="2:17" x14ac:dyDescent="0.2">
      <c r="B66" s="916">
        <v>2009</v>
      </c>
      <c r="C66" s="920">
        <f>'7. Weather Normal kWh'!S20</f>
        <v>255272</v>
      </c>
      <c r="D66" s="992">
        <v>0</v>
      </c>
      <c r="E66" s="929">
        <f t="shared" si="24"/>
        <v>255272</v>
      </c>
      <c r="F66" s="929">
        <f>'4. Customer Growth'!G13</f>
        <v>32.5</v>
      </c>
      <c r="G66" s="884">
        <f t="shared" si="25"/>
        <v>7854.5230769230766</v>
      </c>
      <c r="H66" s="918">
        <f t="shared" si="26"/>
        <v>1.8130145827673698</v>
      </c>
      <c r="J66" s="910"/>
      <c r="K66" s="916">
        <v>2009</v>
      </c>
      <c r="L66" s="884">
        <f>'7.1. Weather Normal KW Customer'!X16</f>
        <v>1723126.175</v>
      </c>
      <c r="M66" s="865">
        <v>0</v>
      </c>
      <c r="N66" s="929">
        <f t="shared" si="22"/>
        <v>1723126.175</v>
      </c>
      <c r="O66" s="929">
        <f>'4. Customer Growth'!O13</f>
        <v>2473</v>
      </c>
      <c r="P66" s="884">
        <f t="shared" si="23"/>
        <v>696.7756469874646</v>
      </c>
      <c r="Q66" s="1014">
        <f t="shared" si="27"/>
        <v>0.96778841963859674</v>
      </c>
    </row>
    <row r="67" spans="2:17" x14ac:dyDescent="0.2">
      <c r="B67" s="916">
        <v>2010</v>
      </c>
      <c r="C67" s="920">
        <f>'7. Weather Normal kWh'!S21</f>
        <v>322731</v>
      </c>
      <c r="D67" s="992">
        <v>0</v>
      </c>
      <c r="E67" s="929">
        <f t="shared" si="24"/>
        <v>322731</v>
      </c>
      <c r="F67" s="929">
        <f>'4. Customer Growth'!G14</f>
        <v>36.5</v>
      </c>
      <c r="G67" s="884">
        <f t="shared" si="25"/>
        <v>8841.9452054794529</v>
      </c>
      <c r="H67" s="1014">
        <f t="shared" si="26"/>
        <v>1.1257138236002469</v>
      </c>
      <c r="J67" s="910"/>
      <c r="K67" s="916">
        <v>2010</v>
      </c>
      <c r="L67" s="884">
        <f>'7.1. Weather Normal KW Customer'!X17</f>
        <v>1736181.47</v>
      </c>
      <c r="M67" s="865">
        <v>0</v>
      </c>
      <c r="N67" s="929">
        <f t="shared" si="22"/>
        <v>1736181.47</v>
      </c>
      <c r="O67" s="929">
        <f>'4. Customer Growth'!O14</f>
        <v>2483</v>
      </c>
      <c r="P67" s="884">
        <f t="shared" si="23"/>
        <v>699.22733387031815</v>
      </c>
      <c r="Q67" s="1014">
        <f t="shared" si="27"/>
        <v>1.0035186173533095</v>
      </c>
    </row>
    <row r="68" spans="2:17" x14ac:dyDescent="0.2">
      <c r="B68" s="916">
        <v>2011</v>
      </c>
      <c r="C68" s="920">
        <f>'7. Weather Normal kWh'!S22</f>
        <v>310190</v>
      </c>
      <c r="D68" s="992">
        <v>0</v>
      </c>
      <c r="E68" s="929">
        <f t="shared" si="24"/>
        <v>310190</v>
      </c>
      <c r="F68" s="929">
        <f>'4. Customer Growth'!G15</f>
        <v>41.5</v>
      </c>
      <c r="G68" s="884">
        <f t="shared" si="25"/>
        <v>7474.4578313253014</v>
      </c>
      <c r="H68" s="1014">
        <f t="shared" si="26"/>
        <v>0.84534089022552361</v>
      </c>
      <c r="J68" s="910"/>
      <c r="K68" s="916">
        <v>2011</v>
      </c>
      <c r="L68" s="884">
        <f>'7.1. Weather Normal KW Customer'!X18</f>
        <v>1695783</v>
      </c>
      <c r="M68" s="865">
        <v>0</v>
      </c>
      <c r="N68" s="929">
        <f t="shared" si="22"/>
        <v>1695783</v>
      </c>
      <c r="O68" s="929">
        <f>'4. Customer Growth'!O15</f>
        <v>2493.5</v>
      </c>
      <c r="P68" s="884">
        <f t="shared" si="23"/>
        <v>680.08141167034285</v>
      </c>
      <c r="Q68" s="1014">
        <f t="shared" si="27"/>
        <v>0.97261845858627971</v>
      </c>
    </row>
    <row r="69" spans="2:17" x14ac:dyDescent="0.2">
      <c r="B69" s="916">
        <v>2012</v>
      </c>
      <c r="C69" s="920">
        <f>'7. Weather Normal kWh'!S23</f>
        <v>290375.53274615534</v>
      </c>
      <c r="D69" s="992">
        <v>0</v>
      </c>
      <c r="E69" s="929">
        <f t="shared" si="24"/>
        <v>290375.53274615534</v>
      </c>
      <c r="F69" s="929">
        <f>'4. Customer Growth'!G16</f>
        <v>39</v>
      </c>
      <c r="G69" s="884">
        <f t="shared" si="25"/>
        <v>7445.52648067065</v>
      </c>
      <c r="H69" s="1014">
        <f t="shared" si="26"/>
        <v>0.99612930445156833</v>
      </c>
      <c r="J69" s="910"/>
      <c r="K69" s="916">
        <v>2012</v>
      </c>
      <c r="L69" s="884">
        <f>'7.1. Weather Normal KW Customer'!X19</f>
        <v>1731441.9339870713</v>
      </c>
      <c r="M69" s="865">
        <v>0</v>
      </c>
      <c r="N69" s="929">
        <f t="shared" si="22"/>
        <v>1731441.9339870713</v>
      </c>
      <c r="O69" s="929">
        <f>'4. Customer Growth'!O16</f>
        <v>2588</v>
      </c>
      <c r="P69" s="884">
        <f t="shared" si="23"/>
        <v>669.02702240613269</v>
      </c>
      <c r="Q69" s="1014">
        <f t="shared" si="27"/>
        <v>0.98374549123896859</v>
      </c>
    </row>
    <row r="70" spans="2:17" x14ac:dyDescent="0.2">
      <c r="B70" s="916">
        <v>2013</v>
      </c>
      <c r="C70" s="920">
        <f>'7. Weather Normal kWh'!S24</f>
        <v>264549.50046253472</v>
      </c>
      <c r="D70" s="992">
        <v>0</v>
      </c>
      <c r="E70" s="929">
        <f t="shared" si="24"/>
        <v>264549.50046253472</v>
      </c>
      <c r="F70" s="929">
        <f>'4. Customer Growth'!G17</f>
        <v>42.5</v>
      </c>
      <c r="G70" s="884">
        <f t="shared" si="25"/>
        <v>6224.6941285302291</v>
      </c>
      <c r="H70" s="1014">
        <f t="shared" si="26"/>
        <v>0.83603142701730671</v>
      </c>
      <c r="J70" s="910"/>
      <c r="K70" s="916">
        <v>2013</v>
      </c>
      <c r="L70" s="884">
        <f>'7.1. Weather Normal KW Customer'!X20</f>
        <v>1796174.3293246992</v>
      </c>
      <c r="M70" s="865">
        <v>0</v>
      </c>
      <c r="N70" s="929">
        <f t="shared" si="22"/>
        <v>1796174.3293246992</v>
      </c>
      <c r="O70" s="929">
        <f>'4. Customer Growth'!O17</f>
        <v>2693.5</v>
      </c>
      <c r="P70" s="884">
        <f>N70/O70</f>
        <v>666.85514361414494</v>
      </c>
      <c r="Q70" s="1014">
        <f>P70/P69</f>
        <v>0.99675367553290051</v>
      </c>
    </row>
    <row r="71" spans="2:17" ht="15" thickBot="1" x14ac:dyDescent="0.25">
      <c r="B71" s="916">
        <v>2014</v>
      </c>
      <c r="C71" s="920">
        <f>'7. Weather Normal kWh'!S25</f>
        <v>250495.81036077708</v>
      </c>
      <c r="D71" s="992">
        <v>0</v>
      </c>
      <c r="E71" s="929">
        <f t="shared" si="24"/>
        <v>250495.81036077708</v>
      </c>
      <c r="F71" s="929">
        <f>'4. Customer Growth'!G18</f>
        <v>41</v>
      </c>
      <c r="G71" s="884">
        <f t="shared" si="25"/>
        <v>6109.6539112384653</v>
      </c>
      <c r="H71" s="1015">
        <f t="shared" si="26"/>
        <v>0.98151873571353665</v>
      </c>
      <c r="J71" s="910"/>
      <c r="K71" s="916">
        <v>2014</v>
      </c>
      <c r="L71" s="884">
        <f>'7.1. Weather Normal KW Customer'!X21</f>
        <v>1834663.3857539315</v>
      </c>
      <c r="M71" s="865">
        <v>0</v>
      </c>
      <c r="N71" s="929">
        <f>L71+M71</f>
        <v>1834663.3857539315</v>
      </c>
      <c r="O71" s="929">
        <f>'4. Customer Growth'!O18</f>
        <v>2738</v>
      </c>
      <c r="P71" s="884">
        <f>N71/O71</f>
        <v>670.07428259822188</v>
      </c>
      <c r="Q71" s="1014">
        <f t="shared" ref="Q71" si="28">P71/P70</f>
        <v>1.0048273437116046</v>
      </c>
    </row>
    <row r="72" spans="2:17" ht="15" thickBot="1" x14ac:dyDescent="0.25">
      <c r="B72" s="916">
        <v>2015</v>
      </c>
      <c r="C72" s="911"/>
      <c r="E72" s="913"/>
      <c r="F72" s="913"/>
      <c r="G72" s="926">
        <f>H72*G71</f>
        <v>5810.2653640059934</v>
      </c>
      <c r="H72" s="922">
        <f>IF(H60=1,+GEOMEAN(H71:H71),+IF(H60=2,+GEOMEAN(H70:H71),+IF(H60=3,+GEOMEAN(H69:H71),+IF(H60=4,+GEOMEAN(H68:H71),+IF(H60=5,+GEOMEAN(H67:H71),+IF(H60=6,+GEOMEAN(H66:H71),+IF(H60=7,+GEOMEAN(H65:H71),+IF(H60=8,+GEOMEAN(H64:H71),+IF(H60=9,+GEOMEAN(H63:H71),0)))))))))</f>
        <v>0.9509974621178201</v>
      </c>
      <c r="J72" s="910"/>
      <c r="K72" s="916">
        <v>2015</v>
      </c>
      <c r="L72" s="919"/>
      <c r="M72" s="878"/>
      <c r="N72" s="878"/>
      <c r="O72" s="878"/>
      <c r="P72" s="926">
        <f>Q72*P71</f>
        <v>667.82498662338753</v>
      </c>
      <c r="Q72" s="922">
        <f>IF(Q60=1,+GEOMEAN(Q71:Q71),+IF(Q60=2,+GEOMEAN(Q70:Q71),+IF(Q60=3,+GEOMEAN(Q69:Q71),+IF(Q60=4,+GEOMEAN(Q68:Q71),+IF(Q60=5,+GEOMEAN(Q67:Q71),+IF(Q60=6,+GEOMEAN(Q66:Q71),+IF(Q60=7,+GEOMEAN(Q65:Q71),+IF(Q60=8,+GEOMEAN(Q64:Q71),+IF(Q60=9,+GEOMEAN(Q63:Q71),0)))))))))</f>
        <v>0.99664321399395805</v>
      </c>
    </row>
    <row r="73" spans="2:17" x14ac:dyDescent="0.2">
      <c r="B73" s="916">
        <v>2016</v>
      </c>
      <c r="C73" s="911"/>
      <c r="D73" s="912"/>
      <c r="E73" s="913"/>
      <c r="F73" s="913"/>
      <c r="G73" s="920">
        <f>H72*G72</f>
        <v>5525.547615400772</v>
      </c>
      <c r="H73" s="955"/>
      <c r="J73" s="910"/>
      <c r="K73" s="916">
        <v>2016</v>
      </c>
      <c r="L73" s="919"/>
      <c r="M73" s="878"/>
      <c r="N73" s="878"/>
      <c r="O73" s="878"/>
      <c r="P73" s="920">
        <f>Q72*P72</f>
        <v>665.58324105380495</v>
      </c>
    </row>
    <row r="74" spans="2:17" x14ac:dyDescent="0.2">
      <c r="B74" s="910"/>
      <c r="C74" s="910"/>
      <c r="D74" s="913"/>
      <c r="E74" s="913"/>
      <c r="F74" s="913"/>
      <c r="G74" s="913"/>
      <c r="H74" s="913"/>
      <c r="I74" s="913"/>
      <c r="J74" s="910"/>
      <c r="M74" s="913"/>
      <c r="O74" s="913"/>
      <c r="Q74" s="913"/>
    </row>
    <row r="75" spans="2:17" x14ac:dyDescent="0.2">
      <c r="B75" s="910"/>
      <c r="C75" s="910"/>
      <c r="D75" s="913"/>
      <c r="E75" s="913"/>
      <c r="F75" s="913"/>
      <c r="G75" s="913"/>
      <c r="H75" s="913"/>
      <c r="I75" s="913"/>
      <c r="J75" s="910"/>
      <c r="M75" s="913"/>
      <c r="O75" s="913"/>
      <c r="Q75" s="913"/>
    </row>
    <row r="76" spans="2:17" ht="15" thickBot="1" x14ac:dyDescent="0.25">
      <c r="B76" s="910"/>
      <c r="C76" s="910"/>
      <c r="D76" s="913"/>
      <c r="E76" s="913"/>
      <c r="F76" s="913"/>
      <c r="G76" s="913"/>
      <c r="H76" s="913"/>
      <c r="I76" s="913"/>
      <c r="J76" s="910"/>
      <c r="M76" s="913"/>
      <c r="O76" s="913"/>
      <c r="Q76" s="913"/>
    </row>
    <row r="77" spans="2:17" ht="15.75" thickBot="1" x14ac:dyDescent="0.3">
      <c r="B77" s="1389" t="s">
        <v>723</v>
      </c>
      <c r="C77" s="1390"/>
      <c r="D77" s="1390"/>
      <c r="E77" s="1391"/>
      <c r="F77" s="913"/>
      <c r="G77" s="913"/>
      <c r="H77" s="913"/>
      <c r="I77" s="913"/>
      <c r="J77" s="910"/>
      <c r="M77" s="913"/>
      <c r="O77" s="913"/>
      <c r="Q77" s="913"/>
    </row>
    <row r="78" spans="2:17" ht="15.75" thickBot="1" x14ac:dyDescent="0.3">
      <c r="B78" s="1281" t="s">
        <v>33</v>
      </c>
      <c r="C78" s="1289" t="s">
        <v>16</v>
      </c>
      <c r="D78" s="1012" t="s">
        <v>724</v>
      </c>
      <c r="E78" s="1290" t="s">
        <v>55</v>
      </c>
      <c r="F78" s="913"/>
      <c r="G78" s="913"/>
      <c r="H78" s="913"/>
      <c r="I78" s="913"/>
      <c r="J78" s="910"/>
      <c r="M78" s="913"/>
      <c r="O78" s="913"/>
      <c r="Q78" s="913"/>
    </row>
    <row r="79" spans="2:17" x14ac:dyDescent="0.2">
      <c r="B79" s="1288" t="s">
        <v>714</v>
      </c>
      <c r="C79" s="925">
        <f t="shared" ref="C79:C88" si="29">+D31+D46+D62+M31+M46+M62</f>
        <v>0</v>
      </c>
      <c r="D79" s="927">
        <v>0</v>
      </c>
      <c r="E79" s="927">
        <v>0</v>
      </c>
      <c r="F79" s="913"/>
      <c r="G79" s="913"/>
      <c r="H79" s="913"/>
      <c r="I79" s="913"/>
      <c r="J79" s="910"/>
      <c r="M79" s="913"/>
      <c r="O79" s="913"/>
      <c r="Q79" s="913"/>
    </row>
    <row r="80" spans="2:17" x14ac:dyDescent="0.2">
      <c r="B80" s="1286" t="s">
        <v>715</v>
      </c>
      <c r="C80" s="1287">
        <f t="shared" si="29"/>
        <v>344369.65833094926</v>
      </c>
      <c r="D80" s="1291">
        <f>SUM('X.1.CDM Calculation'!G19:G30)</f>
        <v>344369.65833094926</v>
      </c>
      <c r="E80" s="1291">
        <f>+C80-D80</f>
        <v>0</v>
      </c>
    </row>
    <row r="81" spans="2:5" x14ac:dyDescent="0.2">
      <c r="B81" s="1286" t="s">
        <v>716</v>
      </c>
      <c r="C81" s="1287">
        <f t="shared" si="29"/>
        <v>1067214.4017140707</v>
      </c>
      <c r="D81" s="1291">
        <f>SUM('X.1.CDM Calculation'!G31:G42)</f>
        <v>1067214.4017140709</v>
      </c>
      <c r="E81" s="1291">
        <f t="shared" ref="E81:E88" si="30">+C81-D81</f>
        <v>0</v>
      </c>
    </row>
    <row r="82" spans="2:5" x14ac:dyDescent="0.2">
      <c r="B82" s="1286" t="s">
        <v>717</v>
      </c>
      <c r="C82" s="1287">
        <f t="shared" si="29"/>
        <v>1333322.5819088626</v>
      </c>
      <c r="D82" s="1291">
        <f>SUM('X.1.CDM Calculation'!G43:G54)</f>
        <v>1333322.5819088628</v>
      </c>
      <c r="E82" s="1291">
        <f t="shared" si="30"/>
        <v>0</v>
      </c>
    </row>
    <row r="83" spans="2:5" x14ac:dyDescent="0.2">
      <c r="B83" s="1286" t="s">
        <v>718</v>
      </c>
      <c r="C83" s="1287">
        <f t="shared" si="29"/>
        <v>1798859.6235284458</v>
      </c>
      <c r="D83" s="1291">
        <f>SUM('X.1.CDM Calculation'!G55:G66)</f>
        <v>1798859.6235284456</v>
      </c>
      <c r="E83" s="1291">
        <f t="shared" si="30"/>
        <v>0</v>
      </c>
    </row>
    <row r="84" spans="2:5" x14ac:dyDescent="0.2">
      <c r="B84" s="1286" t="s">
        <v>719</v>
      </c>
      <c r="C84" s="1287">
        <f t="shared" si="29"/>
        <v>1750615.1914729252</v>
      </c>
      <c r="D84" s="1291">
        <f>SUM('X.1.CDM Calculation'!G67:G78)</f>
        <v>1750615.1914729255</v>
      </c>
      <c r="E84" s="1291">
        <f t="shared" si="30"/>
        <v>0</v>
      </c>
    </row>
    <row r="85" spans="2:5" x14ac:dyDescent="0.2">
      <c r="B85" s="1286" t="s">
        <v>720</v>
      </c>
      <c r="C85" s="1287">
        <f t="shared" si="29"/>
        <v>2037247.4456700857</v>
      </c>
      <c r="D85" s="1291">
        <f>SUM('X.1.CDM Calculation'!G79:G90)</f>
        <v>2037247.4456700857</v>
      </c>
      <c r="E85" s="1291">
        <f t="shared" si="30"/>
        <v>0</v>
      </c>
    </row>
    <row r="86" spans="2:5" x14ac:dyDescent="0.2">
      <c r="B86" s="1286" t="s">
        <v>242</v>
      </c>
      <c r="C86" s="1287">
        <f t="shared" si="29"/>
        <v>2448853.4402240878</v>
      </c>
      <c r="D86" s="1291">
        <f>SUM('X.1.CDM Calculation'!G91:G102)</f>
        <v>2448853.4402240873</v>
      </c>
      <c r="E86" s="1291">
        <f t="shared" si="30"/>
        <v>0</v>
      </c>
    </row>
    <row r="87" spans="2:5" x14ac:dyDescent="0.2">
      <c r="B87" s="1286" t="s">
        <v>721</v>
      </c>
      <c r="C87" s="1287">
        <f t="shared" si="29"/>
        <v>2848436.2386203329</v>
      </c>
      <c r="D87" s="1291">
        <f>SUM('X.1.CDM Calculation'!G103:G114)</f>
        <v>2848436.2386203324</v>
      </c>
      <c r="E87" s="1291">
        <f t="shared" si="30"/>
        <v>0</v>
      </c>
    </row>
    <row r="88" spans="2:5" x14ac:dyDescent="0.2">
      <c r="B88" s="1286" t="s">
        <v>722</v>
      </c>
      <c r="C88" s="1287">
        <f t="shared" si="29"/>
        <v>3153466.6016640281</v>
      </c>
      <c r="D88" s="1291">
        <f>SUM('X.1.CDM Calculation'!G115:G126)</f>
        <v>3153466.6016640281</v>
      </c>
      <c r="E88" s="1291">
        <f t="shared" si="30"/>
        <v>0</v>
      </c>
    </row>
    <row r="99" spans="2:2" x14ac:dyDescent="0.2">
      <c r="B99" s="1013" t="s">
        <v>605</v>
      </c>
    </row>
    <row r="100" spans="2:2" x14ac:dyDescent="0.2">
      <c r="B100" s="1013">
        <v>1</v>
      </c>
    </row>
    <row r="101" spans="2:2" x14ac:dyDescent="0.2">
      <c r="B101" s="1013">
        <v>2</v>
      </c>
    </row>
    <row r="102" spans="2:2" x14ac:dyDescent="0.2">
      <c r="B102" s="1013">
        <v>3</v>
      </c>
    </row>
    <row r="103" spans="2:2" x14ac:dyDescent="0.2">
      <c r="B103" s="1013">
        <v>4</v>
      </c>
    </row>
    <row r="104" spans="2:2" x14ac:dyDescent="0.2">
      <c r="B104" s="1013">
        <v>5</v>
      </c>
    </row>
    <row r="105" spans="2:2" x14ac:dyDescent="0.2">
      <c r="B105" s="1013">
        <v>6</v>
      </c>
    </row>
    <row r="106" spans="2:2" x14ac:dyDescent="0.2">
      <c r="B106" s="1013">
        <v>7</v>
      </c>
    </row>
    <row r="107" spans="2:2" x14ac:dyDescent="0.2">
      <c r="B107" s="1013">
        <v>8</v>
      </c>
    </row>
    <row r="108" spans="2:2" x14ac:dyDescent="0.2">
      <c r="B108" s="1013">
        <v>9</v>
      </c>
    </row>
  </sheetData>
  <mergeCells count="5">
    <mergeCell ref="B77:E77"/>
    <mergeCell ref="B18:C18"/>
    <mergeCell ref="B22:C22"/>
    <mergeCell ref="B14:C14"/>
    <mergeCell ref="B10:C10"/>
  </mergeCells>
  <dataValidations disablePrompts="1" count="1">
    <dataValidation type="list" allowBlank="1" showInputMessage="1" showErrorMessage="1" sqref="H29 H44 H60 Q29 Q44 Q60">
      <formula1>$B$100:$B$108</formula1>
    </dataValidation>
  </dataValidations>
  <pageMargins left="0.7" right="0.7" top="0.75" bottom="0.75" header="0.3" footer="0.3"/>
  <pageSetup scale="37" orientation="portrait" r:id="rId1"/>
  <colBreaks count="1" manualBreakCount="1">
    <brk id="10"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2"/>
  <sheetViews>
    <sheetView topLeftCell="A109" workbookViewId="0">
      <selection activeCell="A153" sqref="A153"/>
    </sheetView>
  </sheetViews>
  <sheetFormatPr defaultRowHeight="12.75" x14ac:dyDescent="0.2"/>
  <cols>
    <col min="2" max="2" width="25.33203125" style="51" customWidth="1"/>
    <col min="3" max="3" width="17.6640625" style="51" bestFit="1" customWidth="1"/>
    <col min="4" max="5" width="13.6640625" style="51" customWidth="1"/>
    <col min="6" max="6" width="16.33203125" style="51" bestFit="1" customWidth="1"/>
    <col min="7" max="12" width="14.83203125" style="51" customWidth="1"/>
    <col min="13" max="13" width="4.1640625" style="1" customWidth="1"/>
    <col min="14" max="14" width="20.33203125" style="51" bestFit="1" customWidth="1"/>
    <col min="15" max="15" width="21.6640625" style="1" bestFit="1" customWidth="1"/>
    <col min="16" max="16" width="5.6640625" style="1" customWidth="1"/>
    <col min="17" max="17" width="38.6640625" style="1" customWidth="1"/>
    <col min="18" max="18" width="17.6640625" style="1" bestFit="1" customWidth="1"/>
    <col min="19" max="20" width="21" style="1" bestFit="1" customWidth="1"/>
    <col min="21" max="21" width="14.83203125" style="1" bestFit="1" customWidth="1"/>
    <col min="22" max="23" width="17.33203125" style="1" customWidth="1"/>
    <col min="24" max="16384" width="9.33203125" style="1"/>
  </cols>
  <sheetData>
    <row r="1" spans="1:35" ht="24" thickBot="1" x14ac:dyDescent="0.25">
      <c r="A1" s="258"/>
      <c r="B1" s="259" t="s">
        <v>393</v>
      </c>
      <c r="C1" s="241"/>
      <c r="D1" s="241"/>
      <c r="E1" s="241"/>
      <c r="F1" s="241"/>
      <c r="G1" s="241"/>
      <c r="H1" s="241"/>
      <c r="I1" s="241"/>
      <c r="J1" s="241"/>
      <c r="K1" s="241"/>
      <c r="L1" s="241"/>
      <c r="M1" s="240"/>
      <c r="N1" s="241"/>
      <c r="O1" s="240"/>
      <c r="P1" s="240"/>
      <c r="Q1" s="240"/>
      <c r="R1" s="240"/>
      <c r="S1" s="240"/>
      <c r="T1" s="240"/>
      <c r="U1" s="240"/>
      <c r="V1" s="240"/>
      <c r="W1" s="240"/>
      <c r="X1" s="240"/>
      <c r="Y1" s="240"/>
      <c r="Z1" s="240"/>
      <c r="AA1" s="240"/>
      <c r="AB1" s="240"/>
      <c r="AC1" s="240"/>
      <c r="AD1" s="240"/>
      <c r="AE1" s="240"/>
      <c r="AF1" s="240"/>
      <c r="AG1" s="240"/>
      <c r="AH1" s="240"/>
      <c r="AI1" s="240"/>
    </row>
    <row r="2" spans="1:35" ht="24" thickBot="1" x14ac:dyDescent="0.25">
      <c r="A2" s="258"/>
      <c r="B2" s="259"/>
      <c r="C2" s="241"/>
      <c r="D2" s="241"/>
      <c r="E2" s="241"/>
      <c r="F2" s="241"/>
      <c r="G2" s="241"/>
      <c r="H2" s="241"/>
      <c r="I2" s="331"/>
      <c r="J2" s="332" t="s">
        <v>173</v>
      </c>
      <c r="K2" s="241"/>
      <c r="L2" s="241"/>
      <c r="M2" s="240"/>
      <c r="N2" s="241"/>
      <c r="O2" s="240"/>
      <c r="P2" s="240"/>
      <c r="Q2" s="240"/>
      <c r="R2" s="240"/>
      <c r="S2" s="240"/>
      <c r="T2" s="240"/>
      <c r="U2" s="240"/>
      <c r="V2" s="240"/>
      <c r="W2" s="240"/>
      <c r="X2" s="240"/>
      <c r="Y2" s="240"/>
      <c r="Z2" s="240"/>
      <c r="AA2" s="240"/>
      <c r="AB2" s="240"/>
      <c r="AC2" s="240"/>
      <c r="AD2" s="240"/>
      <c r="AE2" s="240"/>
      <c r="AF2" s="240"/>
      <c r="AG2" s="240"/>
      <c r="AH2" s="240"/>
      <c r="AI2" s="240"/>
    </row>
    <row r="3" spans="1:35" ht="23.25" x14ac:dyDescent="0.2">
      <c r="A3" s="258"/>
      <c r="B3" s="259"/>
      <c r="C3" s="241"/>
      <c r="D3" s="241"/>
      <c r="E3" s="241"/>
      <c r="F3" s="241"/>
      <c r="G3" s="241"/>
      <c r="H3" s="241"/>
      <c r="I3" s="241"/>
      <c r="J3" s="241"/>
      <c r="K3" s="241"/>
      <c r="L3" s="241"/>
      <c r="M3" s="240"/>
      <c r="N3" s="241"/>
      <c r="O3" s="240"/>
      <c r="P3" s="240"/>
      <c r="Q3" s="240"/>
      <c r="R3" s="240"/>
      <c r="S3" s="240"/>
      <c r="T3" s="240"/>
      <c r="U3" s="240"/>
      <c r="V3" s="240"/>
      <c r="W3" s="240"/>
      <c r="X3" s="240"/>
      <c r="Y3" s="240"/>
      <c r="Z3" s="240"/>
      <c r="AA3" s="240"/>
      <c r="AB3" s="240"/>
      <c r="AC3" s="240"/>
      <c r="AD3" s="240"/>
      <c r="AE3" s="240"/>
      <c r="AF3" s="240"/>
      <c r="AG3" s="240"/>
      <c r="AH3" s="240"/>
      <c r="AI3" s="240"/>
    </row>
    <row r="4" spans="1:35" x14ac:dyDescent="0.2">
      <c r="A4" s="258"/>
      <c r="B4" s="241"/>
      <c r="C4" s="241"/>
      <c r="D4" s="241"/>
      <c r="E4" s="241"/>
      <c r="F4" s="241"/>
      <c r="G4" s="241"/>
      <c r="H4" s="241"/>
      <c r="I4" s="241"/>
      <c r="J4" s="241"/>
      <c r="K4" s="241"/>
      <c r="L4" s="241"/>
      <c r="M4" s="240"/>
      <c r="N4" s="241"/>
      <c r="O4" s="240"/>
      <c r="P4" s="240"/>
      <c r="Q4" s="240"/>
      <c r="R4" s="240"/>
      <c r="S4" s="240"/>
      <c r="T4" s="240"/>
      <c r="U4" s="240"/>
      <c r="V4" s="240"/>
      <c r="W4" s="240"/>
      <c r="X4" s="240"/>
      <c r="Y4" s="240"/>
      <c r="Z4" s="240"/>
      <c r="AA4" s="240"/>
      <c r="AB4" s="240"/>
      <c r="AC4" s="240"/>
      <c r="AD4" s="240"/>
      <c r="AE4" s="240"/>
      <c r="AF4" s="240"/>
      <c r="AG4" s="240"/>
      <c r="AH4" s="240"/>
      <c r="AI4" s="240"/>
    </row>
    <row r="5" spans="1:35" ht="23.25" x14ac:dyDescent="0.2">
      <c r="A5" s="258"/>
      <c r="C5" s="259"/>
      <c r="D5" s="259"/>
      <c r="E5" s="259"/>
      <c r="F5" s="241"/>
      <c r="G5" s="241"/>
      <c r="H5" s="241"/>
      <c r="I5" s="241"/>
      <c r="J5" s="241"/>
      <c r="K5" s="241"/>
      <c r="L5" s="241"/>
      <c r="M5" s="240"/>
      <c r="N5" s="241"/>
      <c r="O5" s="240"/>
      <c r="P5" s="240"/>
      <c r="Q5" s="240"/>
      <c r="R5" s="240"/>
      <c r="S5" s="240"/>
      <c r="T5" s="240"/>
      <c r="U5" s="240"/>
      <c r="V5" s="240"/>
      <c r="W5" s="240"/>
      <c r="X5" s="240"/>
      <c r="Y5" s="240"/>
      <c r="Z5" s="240"/>
      <c r="AA5" s="240"/>
      <c r="AB5" s="240"/>
      <c r="AC5" s="240"/>
      <c r="AD5" s="240"/>
      <c r="AE5" s="240"/>
      <c r="AF5" s="240"/>
      <c r="AG5" s="240"/>
      <c r="AH5" s="240"/>
      <c r="AI5" s="240"/>
    </row>
    <row r="6" spans="1:35" ht="23.25" x14ac:dyDescent="0.2">
      <c r="A6" s="258"/>
      <c r="C6" s="259"/>
      <c r="D6" s="259"/>
      <c r="E6" s="259"/>
      <c r="F6" s="241"/>
      <c r="G6" s="241"/>
      <c r="H6" s="241"/>
      <c r="I6" s="241"/>
      <c r="J6" s="241"/>
      <c r="K6" s="241"/>
      <c r="L6" s="241"/>
      <c r="M6" s="240"/>
      <c r="N6" s="241"/>
      <c r="O6" s="240"/>
      <c r="P6" s="240"/>
      <c r="Q6" s="240"/>
      <c r="R6" s="240"/>
      <c r="S6" s="240"/>
      <c r="T6" s="240"/>
      <c r="U6" s="240"/>
      <c r="V6" s="240"/>
      <c r="W6" s="240"/>
      <c r="X6" s="240"/>
      <c r="Y6" s="240"/>
      <c r="Z6" s="240"/>
      <c r="AA6" s="240"/>
      <c r="AB6" s="240"/>
      <c r="AC6" s="240"/>
      <c r="AD6" s="240"/>
      <c r="AE6" s="240"/>
      <c r="AF6" s="240"/>
      <c r="AG6" s="240"/>
      <c r="AH6" s="240"/>
      <c r="AI6" s="240"/>
    </row>
    <row r="7" spans="1:35" x14ac:dyDescent="0.2">
      <c r="A7" s="258"/>
      <c r="B7" s="241"/>
      <c r="C7" s="241"/>
      <c r="D7" s="1350"/>
      <c r="E7" s="1350"/>
      <c r="F7" s="241"/>
      <c r="G7" s="1350" t="s">
        <v>118</v>
      </c>
      <c r="H7" s="1350"/>
      <c r="I7" s="1350"/>
      <c r="J7" s="1350"/>
      <c r="K7" s="1350"/>
      <c r="L7" s="1350"/>
      <c r="M7" s="240"/>
      <c r="N7" s="241"/>
      <c r="O7" s="240"/>
      <c r="P7" s="240"/>
      <c r="Q7" s="240"/>
      <c r="R7" s="240"/>
      <c r="S7" s="240"/>
      <c r="T7" s="240"/>
      <c r="U7" s="240"/>
      <c r="V7" s="240"/>
      <c r="W7" s="240"/>
      <c r="X7" s="240"/>
      <c r="Y7" s="240"/>
      <c r="Z7" s="240"/>
      <c r="AA7" s="240"/>
      <c r="AB7" s="240"/>
      <c r="AC7" s="240"/>
      <c r="AD7" s="240"/>
      <c r="AE7" s="240"/>
      <c r="AF7" s="240"/>
      <c r="AG7" s="240"/>
      <c r="AH7" s="240"/>
      <c r="AI7" s="240"/>
    </row>
    <row r="8" spans="1:35" ht="75" customHeight="1" thickBot="1" x14ac:dyDescent="0.25">
      <c r="A8" s="258"/>
      <c r="B8" s="260"/>
      <c r="C8" s="261" t="s">
        <v>392</v>
      </c>
      <c r="D8" s="443" t="s">
        <v>394</v>
      </c>
      <c r="E8" s="443" t="s">
        <v>395</v>
      </c>
      <c r="F8" s="261" t="s">
        <v>117</v>
      </c>
      <c r="G8" s="286" t="s">
        <v>1</v>
      </c>
      <c r="H8" s="286" t="s">
        <v>2</v>
      </c>
      <c r="I8" s="286" t="s">
        <v>152</v>
      </c>
      <c r="J8" s="286" t="s">
        <v>127</v>
      </c>
      <c r="K8" s="286" t="s">
        <v>243</v>
      </c>
      <c r="L8" s="286" t="s">
        <v>243</v>
      </c>
      <c r="M8" s="263"/>
      <c r="N8" s="262" t="s">
        <v>247</v>
      </c>
      <c r="O8" s="262" t="s">
        <v>32</v>
      </c>
      <c r="P8" s="240"/>
      <c r="Q8" t="s">
        <v>153</v>
      </c>
      <c r="R8"/>
      <c r="S8"/>
      <c r="T8"/>
      <c r="U8"/>
      <c r="V8"/>
      <c r="W8"/>
      <c r="X8"/>
      <c r="Y8"/>
      <c r="Z8" s="908"/>
      <c r="AA8" s="908"/>
      <c r="AB8" s="908"/>
      <c r="AC8" s="908"/>
      <c r="AD8" s="243"/>
      <c r="AE8" s="243"/>
      <c r="AF8" s="240"/>
      <c r="AG8" s="240"/>
      <c r="AH8" s="240"/>
      <c r="AI8" s="240"/>
    </row>
    <row r="9" spans="1:35" ht="51.75" customHeight="1" thickBot="1" x14ac:dyDescent="0.25">
      <c r="A9" s="258"/>
      <c r="B9" s="265"/>
      <c r="C9" s="821" t="s">
        <v>399</v>
      </c>
      <c r="D9" s="1354" t="s">
        <v>165</v>
      </c>
      <c r="E9" s="1355"/>
      <c r="F9" s="1356"/>
      <c r="G9" s="287" t="s">
        <v>167</v>
      </c>
      <c r="H9" s="287" t="s">
        <v>167</v>
      </c>
      <c r="I9" s="287" t="s">
        <v>167</v>
      </c>
      <c r="J9" s="287" t="s">
        <v>167</v>
      </c>
      <c r="K9" s="287" t="s">
        <v>168</v>
      </c>
      <c r="L9" s="287"/>
      <c r="M9" s="1351" t="s">
        <v>165</v>
      </c>
      <c r="N9" s="1352"/>
      <c r="O9" s="1353"/>
      <c r="P9" s="240"/>
      <c r="Q9"/>
      <c r="R9"/>
      <c r="S9"/>
      <c r="T9"/>
      <c r="U9"/>
      <c r="V9"/>
      <c r="W9"/>
      <c r="X9"/>
      <c r="Y9"/>
      <c r="Z9" s="908"/>
      <c r="AA9" s="908"/>
      <c r="AB9" s="908"/>
      <c r="AC9" s="908"/>
      <c r="AD9" s="243"/>
      <c r="AE9" s="243"/>
      <c r="AF9" s="240"/>
      <c r="AG9" s="240"/>
      <c r="AH9" s="240"/>
      <c r="AI9" s="240"/>
    </row>
    <row r="10" spans="1:35" x14ac:dyDescent="0.2">
      <c r="A10" s="675">
        <v>1</v>
      </c>
      <c r="B10" s="266" t="str">
        <f>CONCATENATE('3. Consumption by Rate Class'!B16,"-",'3. Consumption by Rate Class'!C16)</f>
        <v>2005-January</v>
      </c>
      <c r="C10" s="252"/>
      <c r="D10" s="731"/>
      <c r="E10" s="731"/>
      <c r="F10" s="268">
        <f t="shared" ref="F10:F41" si="0">SUM(C10:E10)</f>
        <v>0</v>
      </c>
      <c r="G10" s="445">
        <f>IF(G$8='5.Variables'!$B$10,+'5.Variables'!$C21,+IF(G$8='5.Variables'!$B$33,+'5.Variables'!$C44,+IF(G$8='5.Variables'!$B$56,+'5.Variables'!$C58,+IF(G$8='5.Variables'!$B$70,+'5.Variables'!$C72,+IF(G$8='5.Variables'!$B$84,+'5.Variables'!$C86,+IF(G$8='5.Variables'!$B$98,+'5.Variables'!$C100,0))))))</f>
        <v>780.6</v>
      </c>
      <c r="H10" s="445">
        <f>IF(H$8='5.Variables'!$B$10,+'5.Variables'!$C21,+IF(H$8='5.Variables'!$B$33,+'5.Variables'!$C44,+IF(H$8='5.Variables'!$B$56,+'5.Variables'!$C58,+IF(H$8='5.Variables'!$B$70,+'5.Variables'!$C72,+IF(H$8='5.Variables'!$B$84,+'5.Variables'!$C86,+IF(H$8='5.Variables'!$B$98,+'5.Variables'!$C100,0))))))</f>
        <v>0</v>
      </c>
      <c r="I10" s="445">
        <f>IF(I$8='5.Variables'!$B$10,+'5.Variables'!$C21,+IF(I$8='5.Variables'!$B$33,+'5.Variables'!$C44,+IF(I$8='5.Variables'!$B$56,+'5.Variables'!$C58,+IF(I$8='5.Variables'!$B$70,+'5.Variables'!$C72,+IF(I$8='5.Variables'!$B$84,+'5.Variables'!$C86,+IF(I$8='5.Variables'!$B$98,+'5.Variables'!$C100,0))))))</f>
        <v>31</v>
      </c>
      <c r="J10" s="445">
        <f>IF(J$8='5.Variables'!$B$10,+'5.Variables'!$C21,+IF(J$8='5.Variables'!$B$33,+'5.Variables'!$C44,+IF(J$8='5.Variables'!$B$56,+'5.Variables'!$C58,+IF(J$8='5.Variables'!$B$70,+'5.Variables'!$C72,+IF(J$8='5.Variables'!$B$84,+'5.Variables'!$C86,+IF(J$8='5.Variables'!$B$98,+'5.Variables'!$C100,0))))))</f>
        <v>0</v>
      </c>
      <c r="K10" s="445">
        <f>IF(K$8='5.Variables'!$B$10,+'5.Variables'!$C21,+IF(K$8='5.Variables'!$B$33,+'5.Variables'!$C44,+IF(K$8='5.Variables'!$B$56,+'5.Variables'!$C58,+IF(K$8='5.Variables'!$B$70,+'5.Variables'!$C72,+IF(K$8='5.Variables'!$B$84,+'5.Variables'!$C86,+IF(K$8='5.Variables'!$B$98,+'5.Variables'!$C100,0))))))</f>
        <v>0</v>
      </c>
      <c r="L10" s="445">
        <f>IF(L$8='5.Variables'!$B$10,+'5.Variables'!$C21,+IF(L$8='5.Variables'!$B$33,+'5.Variables'!$C44,+IF(L$8='5.Variables'!$B$56,+'5.Variables'!$C58,+IF(L$8='5.Variables'!$B$70,+'5.Variables'!$C72,+IF(L$8='5.Variables'!$B$84,+'5.Variables'!$C86,+IF(L$8='5.Variables'!$B$98,+'5.Variables'!$C100,0))))))</f>
        <v>0</v>
      </c>
      <c r="M10" s="240"/>
      <c r="N10" s="268"/>
      <c r="O10" s="269"/>
      <c r="P10" s="240"/>
      <c r="Q10" s="291" t="s">
        <v>7</v>
      </c>
      <c r="R10" s="291"/>
      <c r="S10"/>
      <c r="T10"/>
      <c r="U10"/>
      <c r="V10"/>
      <c r="W10"/>
      <c r="X10"/>
      <c r="Y10"/>
      <c r="Z10" s="908"/>
      <c r="AA10" s="908"/>
      <c r="AB10" s="908"/>
      <c r="AC10" s="908"/>
      <c r="AD10" s="243"/>
      <c r="AE10" s="243"/>
      <c r="AF10" s="240"/>
      <c r="AG10" s="240"/>
      <c r="AH10" s="240"/>
      <c r="AI10" s="240"/>
    </row>
    <row r="11" spans="1:35" x14ac:dyDescent="0.2">
      <c r="A11" s="675">
        <f>+A10+1</f>
        <v>2</v>
      </c>
      <c r="B11" s="266" t="str">
        <f>CONCATENATE('3. Consumption by Rate Class'!B17,"-",'3. Consumption by Rate Class'!C17)</f>
        <v>2005-February</v>
      </c>
      <c r="C11" s="270"/>
      <c r="D11" s="731"/>
      <c r="E11" s="731"/>
      <c r="F11" s="268">
        <f t="shared" si="0"/>
        <v>0</v>
      </c>
      <c r="G11" s="445">
        <f>IF(G$8='5.Variables'!$B$10,+'5.Variables'!$D21,+IF(G$8='5.Variables'!$B$33,+'5.Variables'!$D44,+IF(G$8='5.Variables'!$B$56,+'5.Variables'!$D58,+IF(G$8='5.Variables'!$B$70,+'5.Variables'!$D72,+IF(G$8='5.Variables'!$B$84,+'5.Variables'!$D86,+IF(G$8='5.Variables'!$B$98,+'5.Variables'!$D100,0))))))</f>
        <v>627.9</v>
      </c>
      <c r="H11" s="445">
        <f>IF(H$8='5.Variables'!$B$10,+'5.Variables'!$D21,+IF(H$8='5.Variables'!$B$33,+'5.Variables'!$D44,+IF(H$8='5.Variables'!$B$56,+'5.Variables'!$D58,+IF(H$8='5.Variables'!$B$70,+'5.Variables'!$D72,+IF(H$8='5.Variables'!$B$84,+'5.Variables'!$D86,+IF(H$8='5.Variables'!$B$98,+'5.Variables'!$D100,0))))))</f>
        <v>0</v>
      </c>
      <c r="I11" s="445">
        <f>IF(I$8='5.Variables'!$B$10,+'5.Variables'!$D21,+IF(I$8='5.Variables'!$B$33,+'5.Variables'!$D44,+IF(I$8='5.Variables'!$B$56,+'5.Variables'!$D58,+IF(I$8='5.Variables'!$B$70,+'5.Variables'!$D72,+IF(I$8='5.Variables'!$B$84,+'5.Variables'!$D86,+IF(I$8='5.Variables'!$B$98,+'5.Variables'!$D100,0))))))</f>
        <v>28</v>
      </c>
      <c r="J11" s="445">
        <f>IF(J$8='5.Variables'!$B$10,+'5.Variables'!$D21,+IF(J$8='5.Variables'!$B$33,+'5.Variables'!$D44,+IF(J$8='5.Variables'!$B$56,+'5.Variables'!$D58,+IF(J$8='5.Variables'!$B$70,+'5.Variables'!$D72,+IF(J$8='5.Variables'!$B$84,+'5.Variables'!$D86,+IF(J$8='5.Variables'!$B$98,+'5.Variables'!$D100,0))))))</f>
        <v>0</v>
      </c>
      <c r="K11" s="445">
        <f>IF(K$8='5.Variables'!$B$10,+'5.Variables'!$D21,+IF(K$8='5.Variables'!$B$33,+'5.Variables'!$D44,+IF(K$8='5.Variables'!$B$56,+'5.Variables'!$D58,+IF(K$8='5.Variables'!$B$70,+'5.Variables'!$D72,+IF(K$8='5.Variables'!$B$84,+'5.Variables'!$D86,+IF(K$8='5.Variables'!$B$98,+'5.Variables'!$D100,0))))))</f>
        <v>0</v>
      </c>
      <c r="L11" s="445">
        <f>IF(L$8='5.Variables'!$B$10,+'5.Variables'!$D21,+IF(L$8='5.Variables'!$B$33,+'5.Variables'!$D44,+IF(L$8='5.Variables'!$B$56,+'5.Variables'!$D58,+IF(L$8='5.Variables'!$B$70,+'5.Variables'!$D72,+IF(L$8='5.Variables'!$B$84,+'5.Variables'!$D86,+IF(L$8='5.Variables'!$B$98,+'5.Variables'!$D100,0))))))</f>
        <v>0</v>
      </c>
      <c r="M11" s="240"/>
      <c r="N11" s="268"/>
      <c r="O11" s="271"/>
      <c r="P11" s="240"/>
      <c r="Q11" s="288" t="s">
        <v>8</v>
      </c>
      <c r="R11" s="288">
        <v>0.92574798948608483</v>
      </c>
      <c r="S11"/>
      <c r="T11"/>
      <c r="U11"/>
      <c r="V11"/>
      <c r="W11"/>
      <c r="X11"/>
      <c r="Y11"/>
      <c r="Z11" s="908"/>
      <c r="AA11" s="908"/>
      <c r="AB11" s="908"/>
      <c r="AC11" s="908"/>
      <c r="AD11" s="243"/>
      <c r="AE11" s="243"/>
      <c r="AF11" s="240"/>
      <c r="AG11" s="240"/>
      <c r="AH11" s="240"/>
      <c r="AI11" s="240"/>
    </row>
    <row r="12" spans="1:35" x14ac:dyDescent="0.2">
      <c r="A12" s="675">
        <f t="shared" ref="A12:A75" si="1">+A11+1</f>
        <v>3</v>
      </c>
      <c r="B12" s="266" t="str">
        <f>CONCATENATE('3. Consumption by Rate Class'!B18,"-",'3. Consumption by Rate Class'!C18)</f>
        <v>2005-March</v>
      </c>
      <c r="C12" s="270"/>
      <c r="D12" s="731"/>
      <c r="E12" s="731"/>
      <c r="F12" s="268">
        <f t="shared" si="0"/>
        <v>0</v>
      </c>
      <c r="G12" s="445">
        <f>IF(G$8='5.Variables'!$B$10,+'5.Variables'!$E21,+IF(G$8='5.Variables'!$B$33,+'5.Variables'!$E44,+IF(G$8='5.Variables'!$B$56,+'5.Variables'!$E58,+IF(G$8='5.Variables'!$B$70,+'5.Variables'!$E72,+IF(G$8='5.Variables'!$B$84,+'5.Variables'!$E86,+IF(G$8='5.Variables'!$B$98,+'5.Variables'!$E100,0))))))</f>
        <v>646.4</v>
      </c>
      <c r="H12" s="445">
        <f>IF(H$8='5.Variables'!$B$10,+'5.Variables'!$E21,+IF(H$8='5.Variables'!$B$33,+'5.Variables'!$E44,+IF(H$8='5.Variables'!$B$56,+'5.Variables'!$E58,+IF(H$8='5.Variables'!$B$70,+'5.Variables'!$E72,+IF(H$8='5.Variables'!$B$84,+'5.Variables'!$E86,+IF(H$8='5.Variables'!$B$98,+'5.Variables'!$E100,0))))))</f>
        <v>0</v>
      </c>
      <c r="I12" s="445">
        <f>IF(I$8='5.Variables'!$B$10,+'5.Variables'!$E21,+IF(I$8='5.Variables'!$B$33,+'5.Variables'!$E44,+IF(I$8='5.Variables'!$B$56,+'5.Variables'!$E58,+IF(I$8='5.Variables'!$B$70,+'5.Variables'!$E72,+IF(I$8='5.Variables'!$B$84,+'5.Variables'!$E86,+IF(I$8='5.Variables'!$B$98,+'5.Variables'!$E100,0))))))</f>
        <v>31</v>
      </c>
      <c r="J12" s="445">
        <f>IF(J$8='5.Variables'!$B$10,+'5.Variables'!$E21,+IF(J$8='5.Variables'!$B$33,+'5.Variables'!$E44,+IF(J$8='5.Variables'!$B$56,+'5.Variables'!$E58,+IF(J$8='5.Variables'!$B$70,+'5.Variables'!$E72,+IF(J$8='5.Variables'!$B$84,+'5.Variables'!$E86,+IF(J$8='5.Variables'!$B$98,+'5.Variables'!$E100,0))))))</f>
        <v>1</v>
      </c>
      <c r="K12" s="445">
        <f>IF(K$8='5.Variables'!$B$10,+'5.Variables'!$E21,+IF(K$8='5.Variables'!$B$33,+'5.Variables'!$E44,+IF(K$8='5.Variables'!$B$56,+'5.Variables'!$E58,+IF(K$8='5.Variables'!$B$70,+'5.Variables'!$E72,+IF(K$8='5.Variables'!$B$84,+'5.Variables'!$E86,+IF(K$8='5.Variables'!$B$98,+'5.Variables'!$E100,0))))))</f>
        <v>0</v>
      </c>
      <c r="L12" s="445">
        <f>IF(L$8='5.Variables'!$B$10,+'5.Variables'!$E21,+IF(L$8='5.Variables'!$B$33,+'5.Variables'!$E44,+IF(L$8='5.Variables'!$B$56,+'5.Variables'!$E58,+IF(L$8='5.Variables'!$B$70,+'5.Variables'!$E72,+IF(L$8='5.Variables'!$B$84,+'5.Variables'!$E86,+IF(L$8='5.Variables'!$B$98,+'5.Variables'!$E100,0))))))</f>
        <v>0</v>
      </c>
      <c r="M12" s="240"/>
      <c r="N12" s="268"/>
      <c r="O12" s="272"/>
      <c r="P12" s="240"/>
      <c r="Q12" s="288" t="s">
        <v>9</v>
      </c>
      <c r="R12" s="288">
        <v>0.85700934003752827</v>
      </c>
      <c r="S12"/>
      <c r="T12"/>
      <c r="U12"/>
      <c r="V12"/>
      <c r="W12"/>
      <c r="X12"/>
      <c r="Y12"/>
      <c r="Z12" s="908"/>
      <c r="AA12" s="908"/>
      <c r="AB12" s="908"/>
      <c r="AC12" s="908"/>
      <c r="AD12" s="243"/>
      <c r="AE12" s="243"/>
      <c r="AF12" s="240"/>
      <c r="AG12" s="240"/>
      <c r="AH12" s="240"/>
      <c r="AI12" s="240"/>
    </row>
    <row r="13" spans="1:35" x14ac:dyDescent="0.2">
      <c r="A13" s="675">
        <f t="shared" si="1"/>
        <v>4</v>
      </c>
      <c r="B13" s="266" t="str">
        <f>CONCATENATE('3. Consumption by Rate Class'!B19,"-",'3. Consumption by Rate Class'!C19)</f>
        <v>2005-April</v>
      </c>
      <c r="C13" s="270"/>
      <c r="D13" s="731"/>
      <c r="E13" s="731"/>
      <c r="F13" s="268">
        <f t="shared" si="0"/>
        <v>0</v>
      </c>
      <c r="G13" s="445">
        <f>IF(G$8='5.Variables'!$B$10,+'5.Variables'!$F21,+IF(G$8='5.Variables'!$B$33,+'5.Variables'!$F44,+IF(G$8='5.Variables'!$B$56,+'5.Variables'!$F58,+IF(G$8='5.Variables'!$B$70,+'5.Variables'!$F72,+IF(G$8='5.Variables'!$B$84,+'5.Variables'!$F86,+IF(G$8='5.Variables'!$B$98,+'5.Variables'!$F100,0))))))</f>
        <v>358.2</v>
      </c>
      <c r="H13" s="445">
        <f>IF(H$8='5.Variables'!$B$10,+'5.Variables'!$F21,+IF(H$8='5.Variables'!$B$33,+'5.Variables'!$F44,+IF(H$8='5.Variables'!$B$56,+'5.Variables'!$F58,+IF(H$8='5.Variables'!$B$70,+'5.Variables'!$F72,+IF(H$8='5.Variables'!$B$84,+'5.Variables'!$F86,+IF(H$8='5.Variables'!$B$98,+'5.Variables'!$F100,0))))))</f>
        <v>1.1000000000000001</v>
      </c>
      <c r="I13" s="445">
        <f>IF(I$8='5.Variables'!$B$10,+'5.Variables'!$F21,+IF(I$8='5.Variables'!$B$33,+'5.Variables'!$F44,+IF(I$8='5.Variables'!$B$56,+'5.Variables'!$F58,+IF(I$8='5.Variables'!$B$70,+'5.Variables'!$F72,+IF(I$8='5.Variables'!$B$84,+'5.Variables'!$F86,+IF(I$8='5.Variables'!$B$98,+'5.Variables'!$F100,0))))))</f>
        <v>30</v>
      </c>
      <c r="J13" s="445">
        <f>IF(J$8='5.Variables'!$B$10,+'5.Variables'!$F21,+IF(J$8='5.Variables'!$B$33,+'5.Variables'!$F44,+IF(J$8='5.Variables'!$B$56,+'5.Variables'!$F58,+IF(J$8='5.Variables'!$B$70,+'5.Variables'!$F72,+IF(J$8='5.Variables'!$B$84,+'5.Variables'!$F86,+IF(J$8='5.Variables'!$B$98,+'5.Variables'!$F100,0))))))</f>
        <v>1</v>
      </c>
      <c r="K13" s="445">
        <f>IF(K$8='5.Variables'!$B$10,+'5.Variables'!$F21,+IF(K$8='5.Variables'!$B$33,+'5.Variables'!$F44,+IF(K$8='5.Variables'!$B$56,+'5.Variables'!$F58,+IF(K$8='5.Variables'!$B$70,+'5.Variables'!$F72,+IF(K$8='5.Variables'!$B$84,+'5.Variables'!$F86,+IF(K$8='5.Variables'!$B$98,+'5.Variables'!$F100,0))))))</f>
        <v>0</v>
      </c>
      <c r="L13" s="445">
        <f>IF(L$8='5.Variables'!$B$10,+'5.Variables'!$F21,+IF(L$8='5.Variables'!$B$33,+'5.Variables'!$F44,+IF(L$8='5.Variables'!$B$56,+'5.Variables'!$F58,+IF(L$8='5.Variables'!$B$70,+'5.Variables'!$F72,+IF(L$8='5.Variables'!$B$84,+'5.Variables'!$F86,+IF(L$8='5.Variables'!$B$98,+'5.Variables'!$F100,0))))))</f>
        <v>0</v>
      </c>
      <c r="M13" s="240"/>
      <c r="N13" s="268"/>
      <c r="O13" s="272"/>
      <c r="P13" s="240"/>
      <c r="Q13" s="288" t="s">
        <v>10</v>
      </c>
      <c r="R13" s="288">
        <v>0.85180967967525656</v>
      </c>
      <c r="S13"/>
      <c r="T13"/>
      <c r="U13"/>
      <c r="V13"/>
      <c r="W13"/>
      <c r="X13"/>
      <c r="Y13"/>
      <c r="Z13" s="908"/>
      <c r="AA13" s="908"/>
      <c r="AB13" s="908"/>
      <c r="AC13" s="908"/>
      <c r="AD13" s="243"/>
      <c r="AE13" s="243"/>
      <c r="AF13" s="240"/>
      <c r="AG13" s="240"/>
      <c r="AH13" s="240"/>
      <c r="AI13" s="240"/>
    </row>
    <row r="14" spans="1:35" x14ac:dyDescent="0.2">
      <c r="A14" s="675">
        <f t="shared" si="1"/>
        <v>5</v>
      </c>
      <c r="B14" s="266" t="str">
        <f>CONCATENATE('3. Consumption by Rate Class'!B20,"-",'3. Consumption by Rate Class'!C20)</f>
        <v>2005-May</v>
      </c>
      <c r="C14" s="270"/>
      <c r="D14" s="731"/>
      <c r="E14" s="731"/>
      <c r="F14" s="268">
        <f t="shared" si="0"/>
        <v>0</v>
      </c>
      <c r="G14" s="445">
        <f>IF(G$8='5.Variables'!$B$10,+'5.Variables'!$G21,+IF(G$8='5.Variables'!$B$33,+'5.Variables'!$G44,+IF(G$8='5.Variables'!$B$56,+'5.Variables'!$G58,+IF(G$8='5.Variables'!$B$70,+'5.Variables'!$G72,+IF(G$8='5.Variables'!$B$84,+'5.Variables'!$G86,+IF(G$8='5.Variables'!$B$98,+'5.Variables'!$G100,0))))))</f>
        <v>234.3</v>
      </c>
      <c r="H14" s="445">
        <f>IF(H$8='5.Variables'!$B$10,+'5.Variables'!$G21,+IF(H$8='5.Variables'!$B$33,+'5.Variables'!$G44,+IF(H$8='5.Variables'!$B$56,+'5.Variables'!$G58,+IF(H$8='5.Variables'!$B$70,+'5.Variables'!$G72,+IF(H$8='5.Variables'!$B$84,+'5.Variables'!$G86,+IF(H$8='5.Variables'!$B$98,+'5.Variables'!$G100,0))))))</f>
        <v>1.4</v>
      </c>
      <c r="I14" s="445">
        <f>IF(I$8='5.Variables'!$B$10,+'5.Variables'!$G21,+IF(I$8='5.Variables'!$B$33,+'5.Variables'!$G44,+IF(I$8='5.Variables'!$B$56,+'5.Variables'!$G58,+IF(I$8='5.Variables'!$B$70,+'5.Variables'!$G72,+IF(I$8='5.Variables'!$B$84,+'5.Variables'!$G86,+IF(I$8='5.Variables'!$B$98,+'5.Variables'!$G100,0))))))</f>
        <v>31</v>
      </c>
      <c r="J14" s="445">
        <f>IF(J$8='5.Variables'!$B$10,+'5.Variables'!$G21,+IF(J$8='5.Variables'!$B$33,+'5.Variables'!$G44,+IF(J$8='5.Variables'!$B$56,+'5.Variables'!$G58,+IF(J$8='5.Variables'!$B$70,+'5.Variables'!$G72,+IF(J$8='5.Variables'!$B$84,+'5.Variables'!$G86,+IF(J$8='5.Variables'!$B$98,+'5.Variables'!$G100,0))))))</f>
        <v>1</v>
      </c>
      <c r="K14" s="445">
        <f>IF(K$8='5.Variables'!$B$10,+'5.Variables'!$G21,+IF(K$8='5.Variables'!$B$33,+'5.Variables'!$G44,+IF(K$8='5.Variables'!$B$56,+'5.Variables'!$G58,+IF(K$8='5.Variables'!$B$70,+'5.Variables'!$G72,+IF(K$8='5.Variables'!$B$84,+'5.Variables'!$G86,+IF(K$8='5.Variables'!$B$98,+'5.Variables'!$G100,0))))))</f>
        <v>0</v>
      </c>
      <c r="L14" s="445">
        <f>IF(L$8='5.Variables'!$B$10,+'5.Variables'!$G21,+IF(L$8='5.Variables'!$B$33,+'5.Variables'!$G44,+IF(L$8='5.Variables'!$B$56,+'5.Variables'!$G58,+IF(L$8='5.Variables'!$B$70,+'5.Variables'!$G72,+IF(L$8='5.Variables'!$B$84,+'5.Variables'!$G86,+IF(L$8='5.Variables'!$B$98,+'5.Variables'!$G100,0))))))</f>
        <v>0</v>
      </c>
      <c r="M14" s="240"/>
      <c r="N14" s="268"/>
      <c r="O14" s="272"/>
      <c r="P14" s="240"/>
      <c r="Q14" s="288" t="s">
        <v>11</v>
      </c>
      <c r="R14" s="288">
        <v>12504.885585580305</v>
      </c>
      <c r="S14"/>
      <c r="T14"/>
      <c r="U14"/>
      <c r="V14"/>
      <c r="W14"/>
      <c r="X14"/>
      <c r="Y14"/>
      <c r="Z14" s="908"/>
      <c r="AA14" s="908"/>
      <c r="AB14" s="908"/>
      <c r="AC14" s="908"/>
      <c r="AD14" s="243"/>
      <c r="AE14" s="243"/>
      <c r="AF14" s="240"/>
      <c r="AG14" s="240"/>
      <c r="AH14" s="240"/>
      <c r="AI14" s="240"/>
    </row>
    <row r="15" spans="1:35" ht="13.5" thickBot="1" x14ac:dyDescent="0.25">
      <c r="A15" s="675">
        <f t="shared" si="1"/>
        <v>6</v>
      </c>
      <c r="B15" s="266" t="str">
        <f>CONCATENATE('3. Consumption by Rate Class'!B21,"-",'3. Consumption by Rate Class'!C21)</f>
        <v>2005-June</v>
      </c>
      <c r="C15" s="270">
        <v>411215.21000000008</v>
      </c>
      <c r="D15" s="731"/>
      <c r="E15" s="731"/>
      <c r="F15" s="268">
        <f t="shared" si="0"/>
        <v>411215.21000000008</v>
      </c>
      <c r="G15" s="445">
        <f>IF(G$8='5.Variables'!$B$10,+'5.Variables'!$H21,+IF(G$8='5.Variables'!$B$33,+'5.Variables'!$H44,+IF(G$8='5.Variables'!$B$56,+'5.Variables'!$H58,+IF(G$8='5.Variables'!$B$70,+'5.Variables'!$H72,+IF(G$8='5.Variables'!$B$84,+'5.Variables'!$H86,+IF(G$8='5.Variables'!$B$98,+'5.Variables'!$H100,0))))))</f>
        <v>18.5</v>
      </c>
      <c r="H15" s="445">
        <f>IF(H$8='5.Variables'!$B$10,+'5.Variables'!$H21,+IF(H$8='5.Variables'!$B$33,+'5.Variables'!$H44,+IF(H$8='5.Variables'!$B$56,+'5.Variables'!$H58,+IF(H$8='5.Variables'!$B$70,+'5.Variables'!$H72,+IF(H$8='5.Variables'!$B$84,+'5.Variables'!$H86,+IF(H$8='5.Variables'!$B$98,+'5.Variables'!$H100,0))))))</f>
        <v>102.4</v>
      </c>
      <c r="I15" s="445">
        <f>IF(I$8='5.Variables'!$B$10,+'5.Variables'!$H21,+IF(I$8='5.Variables'!$B$33,+'5.Variables'!$H44,+IF(I$8='5.Variables'!$B$56,+'5.Variables'!$H58,+IF(I$8='5.Variables'!$B$70,+'5.Variables'!$H72,+IF(I$8='5.Variables'!$B$84,+'5.Variables'!$H86,+IF(I$8='5.Variables'!$B$98,+'5.Variables'!$H100,0))))))</f>
        <v>30</v>
      </c>
      <c r="J15" s="445">
        <f>IF(J$8='5.Variables'!$B$10,+'5.Variables'!$H21,+IF(J$8='5.Variables'!$B$33,+'5.Variables'!$H44,+IF(J$8='5.Variables'!$B$56,+'5.Variables'!$H58,+IF(J$8='5.Variables'!$B$70,+'5.Variables'!$H72,+IF(J$8='5.Variables'!$B$84,+'5.Variables'!$H86,+IF(J$8='5.Variables'!$B$98,+'5.Variables'!$H100,0))))))</f>
        <v>0</v>
      </c>
      <c r="K15" s="445">
        <f>IF(K$8='5.Variables'!$B$10,+'5.Variables'!$H21,+IF(K$8='5.Variables'!$B$33,+'5.Variables'!$H44,+IF(K$8='5.Variables'!$B$56,+'5.Variables'!$H58,+IF(K$8='5.Variables'!$B$70,+'5.Variables'!$H72,+IF(K$8='5.Variables'!$B$84,+'5.Variables'!$H86,+IF(K$8='5.Variables'!$B$98,+'5.Variables'!$H100,0))))))</f>
        <v>0</v>
      </c>
      <c r="L15" s="445">
        <f>IF(L$8='5.Variables'!$B$10,+'5.Variables'!$H21,+IF(L$8='5.Variables'!$B$33,+'5.Variables'!$H44,+IF(L$8='5.Variables'!$B$56,+'5.Variables'!$H58,+IF(L$8='5.Variables'!$B$70,+'5.Variables'!$H72,+IF(L$8='5.Variables'!$B$84,+'5.Variables'!$H86,+IF(L$8='5.Variables'!$B$98,+'5.Variables'!$H100,0))))))</f>
        <v>0</v>
      </c>
      <c r="M15" s="240"/>
      <c r="N15" s="268">
        <f t="shared" ref="N15:N74" si="2">$R$24+(G15*$R$25)+(H15*$R$26)+(I15*$R$27)+(J15*$R$28)+(K15*$R$29)+(L15*$R$30)</f>
        <v>388908.09226029058</v>
      </c>
      <c r="O15" s="272"/>
      <c r="P15" s="240"/>
      <c r="Q15" s="289" t="s">
        <v>12</v>
      </c>
      <c r="R15" s="289">
        <v>115</v>
      </c>
      <c r="S15"/>
      <c r="T15"/>
      <c r="U15"/>
      <c r="V15"/>
      <c r="W15"/>
      <c r="X15"/>
      <c r="Y15"/>
      <c r="Z15" s="908"/>
      <c r="AA15" s="908"/>
      <c r="AB15" s="908"/>
      <c r="AC15" s="908"/>
      <c r="AD15" s="243"/>
      <c r="AE15" s="243"/>
      <c r="AF15" s="240"/>
      <c r="AG15" s="240"/>
      <c r="AH15" s="240"/>
      <c r="AI15" s="240"/>
    </row>
    <row r="16" spans="1:35" x14ac:dyDescent="0.2">
      <c r="A16" s="675">
        <f t="shared" si="1"/>
        <v>7</v>
      </c>
      <c r="B16" s="266" t="str">
        <f>CONCATENATE('3. Consumption by Rate Class'!B22,"-",'3. Consumption by Rate Class'!C22)</f>
        <v>2005-July</v>
      </c>
      <c r="C16" s="270">
        <v>421621.82</v>
      </c>
      <c r="D16" s="731"/>
      <c r="E16" s="731"/>
      <c r="F16" s="268">
        <f t="shared" si="0"/>
        <v>421621.82</v>
      </c>
      <c r="G16" s="445">
        <f>IF(G$8='5.Variables'!$B$10,+'5.Variables'!$I21,+IF(G$8='5.Variables'!$B$33,+'5.Variables'!$I44,+IF(G$8='5.Variables'!$B$56,+'5.Variables'!$I58,+IF(G$8='5.Variables'!$B$70,+'5.Variables'!$I72,+IF(G$8='5.Variables'!$B$84,+'5.Variables'!$I86,+IF(G$8='5.Variables'!$B$98,+'5.Variables'!$I100,0))))))</f>
        <v>1.6</v>
      </c>
      <c r="H16" s="445">
        <f>IF(H$8='5.Variables'!$B$10,+'5.Variables'!$I21,+IF(H$8='5.Variables'!$B$33,+'5.Variables'!$I44,+IF(H$8='5.Variables'!$B$56,+'5.Variables'!$I58,+IF(H$8='5.Variables'!$B$70,+'5.Variables'!$I72,+IF(H$8='5.Variables'!$B$84,+'5.Variables'!$I86,+IF(H$8='5.Variables'!$B$98,+'5.Variables'!$I100,0))))))</f>
        <v>132.5</v>
      </c>
      <c r="I16" s="445">
        <f>IF(I$8='5.Variables'!$B$10,+'5.Variables'!$I21,+IF(I$8='5.Variables'!$B$33,+'5.Variables'!$I44,+IF(I$8='5.Variables'!$B$56,+'5.Variables'!$I58,+IF(I$8='5.Variables'!$B$70,+'5.Variables'!$I72,+IF(I$8='5.Variables'!$B$84,+'5.Variables'!$I86,+IF(I$8='5.Variables'!$B$98,+'5.Variables'!$I100,0))))))</f>
        <v>31</v>
      </c>
      <c r="J16" s="445">
        <f>IF(J$8='5.Variables'!$B$10,+'5.Variables'!$I21,+IF(J$8='5.Variables'!$B$33,+'5.Variables'!$I44,+IF(J$8='5.Variables'!$B$56,+'5.Variables'!$I58,+IF(J$8='5.Variables'!$B$70,+'5.Variables'!$I72,+IF(J$8='5.Variables'!$B$84,+'5.Variables'!$I86,+IF(J$8='5.Variables'!$B$98,+'5.Variables'!$I100,0))))))</f>
        <v>0</v>
      </c>
      <c r="K16" s="445">
        <f>IF(K$8='5.Variables'!$B$10,+'5.Variables'!$I21,+IF(K$8='5.Variables'!$B$33,+'5.Variables'!$I44,+IF(K$8='5.Variables'!$B$56,+'5.Variables'!$I58,+IF(K$8='5.Variables'!$B$70,+'5.Variables'!$I72,+IF(K$8='5.Variables'!$B$84,+'5.Variables'!$I86,+IF(K$8='5.Variables'!$B$98,+'5.Variables'!$I100,0))))))</f>
        <v>0</v>
      </c>
      <c r="L16" s="445">
        <f>IF(L$8='5.Variables'!$B$10,+'5.Variables'!$I21,+IF(L$8='5.Variables'!$B$33,+'5.Variables'!$I44,+IF(L$8='5.Variables'!$B$56,+'5.Variables'!$I58,+IF(L$8='5.Variables'!$B$70,+'5.Variables'!$I72,+IF(L$8='5.Variables'!$B$84,+'5.Variables'!$I86,+IF(L$8='5.Variables'!$B$98,+'5.Variables'!$I100,0))))))</f>
        <v>0</v>
      </c>
      <c r="M16" s="240"/>
      <c r="N16" s="268">
        <f t="shared" si="2"/>
        <v>413298.91044151352</v>
      </c>
      <c r="O16" s="272"/>
      <c r="P16" s="240"/>
      <c r="Q16"/>
      <c r="R16"/>
      <c r="S16"/>
      <c r="T16"/>
      <c r="U16"/>
      <c r="V16"/>
      <c r="W16"/>
      <c r="X16"/>
      <c r="Y16"/>
      <c r="Z16" s="908"/>
      <c r="AA16" s="908"/>
      <c r="AB16" s="908"/>
      <c r="AC16" s="908"/>
      <c r="AD16" s="243"/>
      <c r="AE16" s="243"/>
      <c r="AF16" s="240"/>
      <c r="AG16" s="240"/>
      <c r="AH16" s="240"/>
      <c r="AI16" s="240"/>
    </row>
    <row r="17" spans="1:35" ht="13.5" thickBot="1" x14ac:dyDescent="0.25">
      <c r="A17" s="675">
        <f t="shared" si="1"/>
        <v>8</v>
      </c>
      <c r="B17" s="266" t="str">
        <f>CONCATENATE('3. Consumption by Rate Class'!B23,"-",'3. Consumption by Rate Class'!C23)</f>
        <v>2005-August</v>
      </c>
      <c r="C17" s="270">
        <v>407495.31000000006</v>
      </c>
      <c r="D17" s="731"/>
      <c r="E17" s="731"/>
      <c r="F17" s="268">
        <f t="shared" si="0"/>
        <v>407495.31000000006</v>
      </c>
      <c r="G17" s="445">
        <f>IF(G$8='5.Variables'!$B$10,+'5.Variables'!$J21,+IF(G$8='5.Variables'!$B$33,+'5.Variables'!$J44,+IF(G$8='5.Variables'!$B$56,+'5.Variables'!$J58,+IF(G$8='5.Variables'!$B$70,+'5.Variables'!$J72,+IF(G$8='5.Variables'!$B$84,+'5.Variables'!$J86,+IF(G$8='5.Variables'!$B$98,+'5.Variables'!$J100,0))))))</f>
        <v>3.7</v>
      </c>
      <c r="H17" s="445">
        <f>IF(H$8='5.Variables'!$B$10,+'5.Variables'!$J21,+IF(H$8='5.Variables'!$B$33,+'5.Variables'!$J44,+IF(H$8='5.Variables'!$B$56,+'5.Variables'!$J58,+IF(H$8='5.Variables'!$B$70,+'5.Variables'!$J72,+IF(H$8='5.Variables'!$B$84,+'5.Variables'!$J86,+IF(H$8='5.Variables'!$B$98,+'5.Variables'!$J100,0))))))</f>
        <v>106.4</v>
      </c>
      <c r="I17" s="445">
        <f>IF(I$8='5.Variables'!$B$10,+'5.Variables'!$J21,+IF(I$8='5.Variables'!$B$33,+'5.Variables'!$J44,+IF(I$8='5.Variables'!$B$56,+'5.Variables'!$J58,+IF(I$8='5.Variables'!$B$70,+'5.Variables'!$J72,+IF(I$8='5.Variables'!$B$84,+'5.Variables'!$J86,+IF(I$8='5.Variables'!$B$98,+'5.Variables'!$J100,0))))))</f>
        <v>31</v>
      </c>
      <c r="J17" s="445">
        <f>IF(J$8='5.Variables'!$B$10,+'5.Variables'!$J21,+IF(J$8='5.Variables'!$B$33,+'5.Variables'!$J44,+IF(J$8='5.Variables'!$B$56,+'5.Variables'!$J58,+IF(J$8='5.Variables'!$B$70,+'5.Variables'!$J72,+IF(J$8='5.Variables'!$B$84,+'5.Variables'!$J86,+IF(J$8='5.Variables'!$B$98,+'5.Variables'!$J100,0))))))</f>
        <v>0</v>
      </c>
      <c r="K17" s="445">
        <f>IF(K$8='5.Variables'!$B$10,+'5.Variables'!$J21,+IF(K$8='5.Variables'!$B$33,+'5.Variables'!$J44,+IF(K$8='5.Variables'!$B$56,+'5.Variables'!$J58,+IF(K$8='5.Variables'!$B$70,+'5.Variables'!$J72,+IF(K$8='5.Variables'!$B$84,+'5.Variables'!$J86,+IF(K$8='5.Variables'!$B$98,+'5.Variables'!$J100,0))))))</f>
        <v>0</v>
      </c>
      <c r="L17" s="445">
        <f>IF(L$8='5.Variables'!$B$10,+'5.Variables'!$J21,+IF(L$8='5.Variables'!$B$33,+'5.Variables'!$J44,+IF(L$8='5.Variables'!$B$56,+'5.Variables'!$J58,+IF(L$8='5.Variables'!$B$70,+'5.Variables'!$J72,+IF(L$8='5.Variables'!$B$84,+'5.Variables'!$J86,+IF(L$8='5.Variables'!$B$98,+'5.Variables'!$J100,0))))))</f>
        <v>0</v>
      </c>
      <c r="M17" s="240"/>
      <c r="N17" s="268">
        <f t="shared" si="2"/>
        <v>403195.80682248931</v>
      </c>
      <c r="O17" s="272"/>
      <c r="P17" s="240"/>
      <c r="Q17" t="s">
        <v>13</v>
      </c>
      <c r="R17"/>
      <c r="S17"/>
      <c r="T17"/>
      <c r="U17"/>
      <c r="V17"/>
      <c r="W17"/>
      <c r="X17"/>
      <c r="Y17"/>
      <c r="Z17" s="908"/>
      <c r="AA17" s="908"/>
      <c r="AB17" s="908"/>
      <c r="AC17" s="908"/>
      <c r="AD17" s="243"/>
      <c r="AE17" s="243"/>
      <c r="AF17" s="240"/>
      <c r="AG17" s="240"/>
      <c r="AH17" s="240"/>
      <c r="AI17" s="240"/>
    </row>
    <row r="18" spans="1:35" x14ac:dyDescent="0.2">
      <c r="A18" s="675">
        <f t="shared" si="1"/>
        <v>9</v>
      </c>
      <c r="B18" s="266" t="str">
        <f>CONCATENATE('3. Consumption by Rate Class'!B24,"-",'3. Consumption by Rate Class'!C24)</f>
        <v>2005-September</v>
      </c>
      <c r="C18" s="270">
        <v>363628.9</v>
      </c>
      <c r="D18" s="731"/>
      <c r="E18" s="731"/>
      <c r="F18" s="268">
        <f t="shared" si="0"/>
        <v>363628.9</v>
      </c>
      <c r="G18" s="445">
        <f>IF(G$8='5.Variables'!$B$10,+'5.Variables'!$K21,+IF(G$8='5.Variables'!$B$33,+'5.Variables'!$K44,+IF(G$8='5.Variables'!$B$56,+'5.Variables'!$K58,+IF(G$8='5.Variables'!$B$70,+'5.Variables'!$K72,+IF(G$8='5.Variables'!$B$84,+'5.Variables'!$K86,+IF(G$8='5.Variables'!$B$98,+'5.Variables'!$K100,0))))))</f>
        <v>30.2</v>
      </c>
      <c r="H18" s="445">
        <f>IF(H$8='5.Variables'!$B$10,+'5.Variables'!$K21,+IF(H$8='5.Variables'!$B$33,+'5.Variables'!$K44,+IF(H$8='5.Variables'!$B$56,+'5.Variables'!$K58,+IF(H$8='5.Variables'!$B$70,+'5.Variables'!$K72,+IF(H$8='5.Variables'!$B$84,+'5.Variables'!$K86,+IF(H$8='5.Variables'!$B$98,+'5.Variables'!$K100,0))))))</f>
        <v>57.5</v>
      </c>
      <c r="I18" s="445">
        <f>IF(I$8='5.Variables'!$B$10,+'5.Variables'!$K21,+IF(I$8='5.Variables'!$B$33,+'5.Variables'!$K44,+IF(I$8='5.Variables'!$B$56,+'5.Variables'!$K58,+IF(I$8='5.Variables'!$B$70,+'5.Variables'!$K72,+IF(I$8='5.Variables'!$B$84,+'5.Variables'!$K86,+IF(I$8='5.Variables'!$B$98,+'5.Variables'!$K100,0))))))</f>
        <v>30</v>
      </c>
      <c r="J18" s="445">
        <f>IF(J$8='5.Variables'!$B$10,+'5.Variables'!$K21,+IF(J$8='5.Variables'!$B$33,+'5.Variables'!$K44,+IF(J$8='5.Variables'!$B$56,+'5.Variables'!$K58,+IF(J$8='5.Variables'!$B$70,+'5.Variables'!$K72,+IF(J$8='5.Variables'!$B$84,+'5.Variables'!$K86,+IF(J$8='5.Variables'!$B$98,+'5.Variables'!$K100,0))))))</f>
        <v>1</v>
      </c>
      <c r="K18" s="445">
        <f>IF(K$8='5.Variables'!$B$10,+'5.Variables'!$K21,+IF(K$8='5.Variables'!$B$33,+'5.Variables'!$K44,+IF(K$8='5.Variables'!$B$56,+'5.Variables'!$K58,+IF(K$8='5.Variables'!$B$70,+'5.Variables'!$K72,+IF(K$8='5.Variables'!$B$84,+'5.Variables'!$K86,+IF(K$8='5.Variables'!$B$98,+'5.Variables'!$K100,0))))))</f>
        <v>0</v>
      </c>
      <c r="L18" s="445">
        <f>IF(L$8='5.Variables'!$B$10,+'5.Variables'!$K21,+IF(L$8='5.Variables'!$B$33,+'5.Variables'!$K44,+IF(L$8='5.Variables'!$B$56,+'5.Variables'!$K58,+IF(L$8='5.Variables'!$B$70,+'5.Variables'!$K72,+IF(L$8='5.Variables'!$B$84,+'5.Variables'!$K86,+IF(L$8='5.Variables'!$B$98,+'5.Variables'!$K100,0))))))</f>
        <v>0</v>
      </c>
      <c r="M18" s="240"/>
      <c r="N18" s="268">
        <f t="shared" si="2"/>
        <v>360096.89142728952</v>
      </c>
      <c r="O18" s="272"/>
      <c r="P18" s="240"/>
      <c r="Q18" s="290"/>
      <c r="R18" s="290" t="s">
        <v>18</v>
      </c>
      <c r="S18" s="290" t="s">
        <v>19</v>
      </c>
      <c r="T18" s="290" t="s">
        <v>20</v>
      </c>
      <c r="U18" s="290" t="s">
        <v>21</v>
      </c>
      <c r="V18" s="290" t="s">
        <v>22</v>
      </c>
      <c r="W18"/>
      <c r="X18"/>
      <c r="Y18"/>
      <c r="Z18" s="909"/>
      <c r="AA18" s="908"/>
      <c r="AB18" s="908"/>
      <c r="AC18" s="908"/>
      <c r="AD18" s="243"/>
      <c r="AE18" s="243"/>
      <c r="AF18" s="240"/>
      <c r="AG18" s="240"/>
      <c r="AH18" s="240"/>
      <c r="AI18" s="240"/>
    </row>
    <row r="19" spans="1:35" x14ac:dyDescent="0.2">
      <c r="A19" s="675">
        <f t="shared" si="1"/>
        <v>10</v>
      </c>
      <c r="B19" s="266" t="str">
        <f>CONCATENATE('3. Consumption by Rate Class'!B25,"-",'3. Consumption by Rate Class'!C25)</f>
        <v>2005-October</v>
      </c>
      <c r="C19" s="270">
        <v>338398.35</v>
      </c>
      <c r="D19" s="731"/>
      <c r="E19" s="731"/>
      <c r="F19" s="268">
        <f t="shared" si="0"/>
        <v>338398.35</v>
      </c>
      <c r="G19" s="445">
        <f>IF(G$8='5.Variables'!$B$10,+'5.Variables'!$L21,+IF(G$8='5.Variables'!$B$33,+'5.Variables'!$L44,+IF(G$8='5.Variables'!$B$56,+'5.Variables'!$L58,+IF(G$8='5.Variables'!$B$70,+'5.Variables'!$L72,+IF(G$8='5.Variables'!$B$84,+'5.Variables'!$L86,+IF(G$8='5.Variables'!$B$98,+'5.Variables'!$L100,0))))))</f>
        <v>214.8</v>
      </c>
      <c r="H19" s="445">
        <f>IF(H$8='5.Variables'!$B$10,+'5.Variables'!$L21,+IF(H$8='5.Variables'!$B$33,+'5.Variables'!$L44,+IF(H$8='5.Variables'!$B$56,+'5.Variables'!$L58,+IF(H$8='5.Variables'!$B$70,+'5.Variables'!$L72,+IF(H$8='5.Variables'!$B$84,+'5.Variables'!$L86,+IF(H$8='5.Variables'!$B$98,+'5.Variables'!$L100,0))))))</f>
        <v>20</v>
      </c>
      <c r="I19" s="445">
        <f>IF(I$8='5.Variables'!$B$10,+'5.Variables'!$L21,+IF(I$8='5.Variables'!$B$33,+'5.Variables'!$L44,+IF(I$8='5.Variables'!$B$56,+'5.Variables'!$L58,+IF(I$8='5.Variables'!$B$70,+'5.Variables'!$L72,+IF(I$8='5.Variables'!$B$84,+'5.Variables'!$L86,+IF(I$8='5.Variables'!$B$98,+'5.Variables'!$L100,0))))))</f>
        <v>31</v>
      </c>
      <c r="J19" s="445">
        <f>IF(J$8='5.Variables'!$B$10,+'5.Variables'!$L21,+IF(J$8='5.Variables'!$B$33,+'5.Variables'!$L44,+IF(J$8='5.Variables'!$B$56,+'5.Variables'!$L58,+IF(J$8='5.Variables'!$B$70,+'5.Variables'!$L72,+IF(J$8='5.Variables'!$B$84,+'5.Variables'!$L86,+IF(J$8='5.Variables'!$B$98,+'5.Variables'!$L100,0))))))</f>
        <v>1</v>
      </c>
      <c r="K19" s="445">
        <f>IF(K$8='5.Variables'!$B$10,+'5.Variables'!$L21,+IF(K$8='5.Variables'!$B$33,+'5.Variables'!$L44,+IF(K$8='5.Variables'!$B$56,+'5.Variables'!$L58,+IF(K$8='5.Variables'!$B$70,+'5.Variables'!$L72,+IF(K$8='5.Variables'!$B$84,+'5.Variables'!$L86,+IF(K$8='5.Variables'!$B$98,+'5.Variables'!$L100,0))))))</f>
        <v>0</v>
      </c>
      <c r="L19" s="445">
        <f>IF(L$8='5.Variables'!$B$10,+'5.Variables'!$L21,+IF(L$8='5.Variables'!$B$33,+'5.Variables'!$L44,+IF(L$8='5.Variables'!$B$56,+'5.Variables'!$L58,+IF(L$8='5.Variables'!$B$70,+'5.Variables'!$L72,+IF(L$8='5.Variables'!$B$84,+'5.Variables'!$L86,+IF(L$8='5.Variables'!$B$98,+'5.Variables'!$L100,0))))))</f>
        <v>0</v>
      </c>
      <c r="M19" s="240"/>
      <c r="N19" s="268">
        <f t="shared" si="2"/>
        <v>348828.31068460585</v>
      </c>
      <c r="O19" s="272"/>
      <c r="P19" s="240"/>
      <c r="Q19" s="288" t="s">
        <v>14</v>
      </c>
      <c r="R19" s="288">
        <v>4</v>
      </c>
      <c r="S19" s="288">
        <v>103093198641.20621</v>
      </c>
      <c r="T19" s="288">
        <v>25773299660.301552</v>
      </c>
      <c r="U19" s="288">
        <v>164.82025369501361</v>
      </c>
      <c r="V19" s="288">
        <v>1.676437993986536E-45</v>
      </c>
      <c r="W19"/>
      <c r="X19"/>
      <c r="Y19"/>
      <c r="Z19" s="288"/>
      <c r="AA19" s="908"/>
      <c r="AB19" s="908"/>
      <c r="AC19" s="908"/>
      <c r="AD19" s="243"/>
      <c r="AE19" s="243"/>
      <c r="AF19" s="240"/>
      <c r="AG19" s="240"/>
      <c r="AH19" s="240"/>
      <c r="AI19" s="240"/>
    </row>
    <row r="20" spans="1:35" x14ac:dyDescent="0.2">
      <c r="A20" s="675">
        <f t="shared" si="1"/>
        <v>11</v>
      </c>
      <c r="B20" s="266" t="str">
        <f>CONCATENATE('3. Consumption by Rate Class'!B26,"-",'3. Consumption by Rate Class'!C26)</f>
        <v>2005-November</v>
      </c>
      <c r="C20" s="270">
        <v>322377.48</v>
      </c>
      <c r="D20" s="731"/>
      <c r="E20" s="731"/>
      <c r="F20" s="268">
        <f t="shared" si="0"/>
        <v>322377.48</v>
      </c>
      <c r="G20" s="445">
        <f>IF(G$8='5.Variables'!$B$10,+'5.Variables'!$M21,+IF(G$8='5.Variables'!$B$33,+'5.Variables'!$M44,+IF(G$8='5.Variables'!$B$56,+'5.Variables'!$M58,+IF(G$8='5.Variables'!$B$70,+'5.Variables'!$M72,+IF(G$8='5.Variables'!$B$84,+'5.Variables'!$M86,+IF(G$8='5.Variables'!$B$98,+'5.Variables'!$M100,0))))))</f>
        <v>392.5</v>
      </c>
      <c r="H20" s="445">
        <f>IF(H$8='5.Variables'!$B$10,+'5.Variables'!$M21,+IF(H$8='5.Variables'!$B$33,+'5.Variables'!$M44,+IF(H$8='5.Variables'!$B$56,+'5.Variables'!$M58,+IF(H$8='5.Variables'!$B$70,+'5.Variables'!$M72,+IF(H$8='5.Variables'!$B$84,+'5.Variables'!$M86,+IF(H$8='5.Variables'!$B$98,+'5.Variables'!$M100,0))))))</f>
        <v>0</v>
      </c>
      <c r="I20" s="445">
        <f>IF(I$8='5.Variables'!$B$10,+'5.Variables'!$M21,+IF(I$8='5.Variables'!$B$33,+'5.Variables'!$M44,+IF(I$8='5.Variables'!$B$56,+'5.Variables'!$M58,+IF(I$8='5.Variables'!$B$70,+'5.Variables'!$M72,+IF(I$8='5.Variables'!$B$84,+'5.Variables'!$M86,+IF(I$8='5.Variables'!$B$98,+'5.Variables'!$M100,0))))))</f>
        <v>30</v>
      </c>
      <c r="J20" s="445">
        <f>IF(J$8='5.Variables'!$B$10,+'5.Variables'!$M21,+IF(J$8='5.Variables'!$B$33,+'5.Variables'!$M44,+IF(J$8='5.Variables'!$B$56,+'5.Variables'!$M58,+IF(J$8='5.Variables'!$B$70,+'5.Variables'!$M72,+IF(J$8='5.Variables'!$B$84,+'5.Variables'!$M86,+IF(J$8='5.Variables'!$B$98,+'5.Variables'!$M100,0))))))</f>
        <v>1</v>
      </c>
      <c r="K20" s="445">
        <f>IF(K$8='5.Variables'!$B$10,+'5.Variables'!$M21,+IF(K$8='5.Variables'!$B$33,+'5.Variables'!$M44,+IF(K$8='5.Variables'!$B$56,+'5.Variables'!$M58,+IF(K$8='5.Variables'!$B$70,+'5.Variables'!$M72,+IF(K$8='5.Variables'!$B$84,+'5.Variables'!$M86,+IF(K$8='5.Variables'!$B$98,+'5.Variables'!$M100,0))))))</f>
        <v>0</v>
      </c>
      <c r="L20" s="445">
        <f>IF(L$8='5.Variables'!$B$10,+'5.Variables'!$M21,+IF(L$8='5.Variables'!$B$33,+'5.Variables'!$M44,+IF(L$8='5.Variables'!$B$56,+'5.Variables'!$M58,+IF(L$8='5.Variables'!$B$70,+'5.Variables'!$M72,+IF(L$8='5.Variables'!$B$84,+'5.Variables'!$M86,+IF(L$8='5.Variables'!$B$98,+'5.Variables'!$M100,0))))))</f>
        <v>0</v>
      </c>
      <c r="M20" s="240"/>
      <c r="N20" s="268">
        <f t="shared" si="2"/>
        <v>320522.90694185375</v>
      </c>
      <c r="O20" s="272"/>
      <c r="P20" s="240"/>
      <c r="Q20" s="288" t="s">
        <v>15</v>
      </c>
      <c r="R20" s="288">
        <v>110</v>
      </c>
      <c r="S20" s="288">
        <v>17200937985.929951</v>
      </c>
      <c r="T20" s="288">
        <v>156372163.50845408</v>
      </c>
      <c r="U20" s="288"/>
      <c r="V20" s="288"/>
      <c r="W20"/>
      <c r="X20"/>
      <c r="Y20"/>
      <c r="Z20" s="288"/>
      <c r="AA20" s="908"/>
      <c r="AB20" s="908"/>
      <c r="AC20" s="908"/>
      <c r="AD20" s="243"/>
      <c r="AE20" s="243"/>
      <c r="AF20" s="240"/>
      <c r="AG20" s="240"/>
      <c r="AH20" s="240"/>
      <c r="AI20" s="240"/>
    </row>
    <row r="21" spans="1:35" ht="13.5" thickBot="1" x14ac:dyDescent="0.25">
      <c r="A21" s="675">
        <f t="shared" si="1"/>
        <v>12</v>
      </c>
      <c r="B21" s="266" t="str">
        <f>CONCATENATE('3. Consumption by Rate Class'!B27,"-",'3. Consumption by Rate Class'!C27)</f>
        <v>2005-December</v>
      </c>
      <c r="C21" s="270">
        <v>333422.75</v>
      </c>
      <c r="D21" s="731"/>
      <c r="E21" s="731"/>
      <c r="F21" s="268">
        <f t="shared" si="0"/>
        <v>333422.75</v>
      </c>
      <c r="G21" s="445">
        <f>IF(G$8='5.Variables'!$B$10,+'5.Variables'!$N21,+IF(G$8='5.Variables'!$B$33,+'5.Variables'!$N44,+IF(G$8='5.Variables'!$B$56,+'5.Variables'!$N58,+IF(G$8='5.Variables'!$B$70,+'5.Variables'!$N72,+IF(G$8='5.Variables'!$B$84,+'5.Variables'!$N86,+IF(G$8='5.Variables'!$B$98,+'5.Variables'!$N100,0))))))</f>
        <v>658.5</v>
      </c>
      <c r="H21" s="445">
        <f>IF(H$8='5.Variables'!$B$10,+'5.Variables'!$N21,+IF(H$8='5.Variables'!$B$33,+'5.Variables'!$N44,+IF(H$8='5.Variables'!$B$56,+'5.Variables'!$N58,+IF(H$8='5.Variables'!$B$70,+'5.Variables'!$N72,+IF(H$8='5.Variables'!$B$84,+'5.Variables'!$N86,+IF(H$8='5.Variables'!$B$98,+'5.Variables'!$N100,0))))))</f>
        <v>0</v>
      </c>
      <c r="I21" s="445">
        <f>IF(I$8='5.Variables'!$B$10,+'5.Variables'!$N21,+IF(I$8='5.Variables'!$B$33,+'5.Variables'!$N44,+IF(I$8='5.Variables'!$B$56,+'5.Variables'!$N58,+IF(I$8='5.Variables'!$B$70,+'5.Variables'!$N72,+IF(I$8='5.Variables'!$B$84,+'5.Variables'!$N86,+IF(I$8='5.Variables'!$B$98,+'5.Variables'!$N100,0))))))</f>
        <v>31</v>
      </c>
      <c r="J21" s="445">
        <f>IF(J$8='5.Variables'!$B$10,+'5.Variables'!$N21,+IF(J$8='5.Variables'!$B$33,+'5.Variables'!$N44,+IF(J$8='5.Variables'!$B$56,+'5.Variables'!$N58,+IF(J$8='5.Variables'!$B$70,+'5.Variables'!$N72,+IF(J$8='5.Variables'!$B$84,+'5.Variables'!$N86,+IF(J$8='5.Variables'!$B$98,+'5.Variables'!$N100,0))))))</f>
        <v>0</v>
      </c>
      <c r="K21" s="445">
        <f>IF(K$8='5.Variables'!$B$10,+'5.Variables'!$N21,+IF(K$8='5.Variables'!$B$33,+'5.Variables'!$N44,+IF(K$8='5.Variables'!$B$56,+'5.Variables'!$N58,+IF(K$8='5.Variables'!$B$70,+'5.Variables'!$N72,+IF(K$8='5.Variables'!$B$84,+'5.Variables'!$N86,+IF(K$8='5.Variables'!$B$98,+'5.Variables'!$N100,0))))))</f>
        <v>0</v>
      </c>
      <c r="L21" s="445">
        <f>IF(L$8='5.Variables'!$B$10,+'5.Variables'!$N21,+IF(L$8='5.Variables'!$B$33,+'5.Variables'!$N44,+IF(L$8='5.Variables'!$B$56,+'5.Variables'!$N58,+IF(L$8='5.Variables'!$B$70,+'5.Variables'!$N72,+IF(L$8='5.Variables'!$B$84,+'5.Variables'!$N86,+IF(L$8='5.Variables'!$B$98,+'5.Variables'!$N100,0))))))</f>
        <v>0</v>
      </c>
      <c r="M21" s="240"/>
      <c r="N21" s="268">
        <f t="shared" si="2"/>
        <v>330722.58452394028</v>
      </c>
      <c r="O21" s="272">
        <f>SUM(N10:N21)</f>
        <v>2565573.5031019831</v>
      </c>
      <c r="P21" s="240"/>
      <c r="Q21" s="289" t="s">
        <v>16</v>
      </c>
      <c r="R21" s="289">
        <v>114</v>
      </c>
      <c r="S21" s="289">
        <v>120294136627.13615</v>
      </c>
      <c r="T21" s="289"/>
      <c r="U21" s="289"/>
      <c r="V21" s="289"/>
      <c r="W21"/>
      <c r="X21"/>
      <c r="Y21"/>
      <c r="Z21" s="288"/>
      <c r="AA21" s="908"/>
      <c r="AB21" s="908"/>
      <c r="AC21" s="908"/>
      <c r="AD21" s="243"/>
      <c r="AE21" s="243"/>
      <c r="AF21" s="240"/>
      <c r="AG21" s="240"/>
      <c r="AH21" s="240"/>
      <c r="AI21" s="240"/>
    </row>
    <row r="22" spans="1:35" ht="13.5" thickBot="1" x14ac:dyDescent="0.25">
      <c r="A22" s="675">
        <f t="shared" si="1"/>
        <v>13</v>
      </c>
      <c r="B22" s="266" t="str">
        <f>CONCATENATE('3. Consumption by Rate Class'!B28,"-",'3. Consumption by Rate Class'!C28)</f>
        <v>2006-January</v>
      </c>
      <c r="C22" s="270">
        <v>335213.5</v>
      </c>
      <c r="D22" s="731"/>
      <c r="E22" s="731"/>
      <c r="F22" s="268">
        <f t="shared" si="0"/>
        <v>335213.5</v>
      </c>
      <c r="G22" s="445">
        <f>IF(G$8='5.Variables'!$B$10,+'5.Variables'!$C22,+IF(G$8='5.Variables'!$B$33,+'5.Variables'!$C45,+IF(G$8='5.Variables'!$B$56,+'5.Variables'!$C59,+IF(G$8='5.Variables'!$B$70,+'5.Variables'!$C73,+IF(G$8='5.Variables'!$B$84,+'5.Variables'!$C87,+IF(G$8='5.Variables'!$B$98,+'5.Variables'!$C101,0))))))</f>
        <v>573.5</v>
      </c>
      <c r="H22" s="445">
        <f>IF(H$8='5.Variables'!$B$10,+'5.Variables'!$C22,+IF(H$8='5.Variables'!$B$33,+'5.Variables'!$C45,+IF(H$8='5.Variables'!$B$56,+'5.Variables'!$C59,+IF(H$8='5.Variables'!$B$70,+'5.Variables'!$C73,+IF(H$8='5.Variables'!$B$84,+'5.Variables'!$C87,+IF(H$8='5.Variables'!$B$98,+'5.Variables'!$C101,0))))))</f>
        <v>0</v>
      </c>
      <c r="I22" s="445">
        <f>IF(I$8='5.Variables'!$B$10,+'5.Variables'!$C22,+IF(I$8='5.Variables'!$B$33,+'5.Variables'!$C45,+IF(I$8='5.Variables'!$B$56,+'5.Variables'!$C59,+IF(I$8='5.Variables'!$B$70,+'5.Variables'!$C73,+IF(I$8='5.Variables'!$B$84,+'5.Variables'!$C87,+IF(I$8='5.Variables'!$B$98,+'5.Variables'!$C101,0))))))</f>
        <v>31</v>
      </c>
      <c r="J22" s="445">
        <f>IF(J$8='5.Variables'!$B$10,+'5.Variables'!$C22,+IF(J$8='5.Variables'!$B$33,+'5.Variables'!$C45,+IF(J$8='5.Variables'!$B$56,+'5.Variables'!$C59,+IF(J$8='5.Variables'!$B$70,+'5.Variables'!$C73,+IF(J$8='5.Variables'!$B$84,+'5.Variables'!$C87,+IF(J$8='5.Variables'!$B$98,+'5.Variables'!$C101,0))))))</f>
        <v>0</v>
      </c>
      <c r="K22" s="445">
        <f>IF(K$8='5.Variables'!$B$10,+'5.Variables'!$C22,+IF(K$8='5.Variables'!$B$33,+'5.Variables'!$C45,+IF(K$8='5.Variables'!$B$56,+'5.Variables'!$C59,+IF(K$8='5.Variables'!$B$70,+'5.Variables'!$C73,+IF(K$8='5.Variables'!$B$84,+'5.Variables'!$C87,+IF(K$8='5.Variables'!$B$98,+'5.Variables'!$C101,0))))))</f>
        <v>0</v>
      </c>
      <c r="L22" s="445">
        <f>IF(L$8='5.Variables'!$B$10,+'5.Variables'!$C22,+IF(L$8='5.Variables'!$B$33,+'5.Variables'!$C45,+IF(L$8='5.Variables'!$B$56,+'5.Variables'!$C59,+IF(L$8='5.Variables'!$B$70,+'5.Variables'!$C73,+IF(L$8='5.Variables'!$B$84,+'5.Variables'!$C87,+IF(L$8='5.Variables'!$B$98,+'5.Variables'!$C101,0))))))</f>
        <v>0</v>
      </c>
      <c r="M22" s="240"/>
      <c r="N22" s="268">
        <f t="shared" si="2"/>
        <v>334837.7225426134</v>
      </c>
      <c r="O22" s="272"/>
      <c r="P22" s="240"/>
      <c r="Q22"/>
      <c r="R22"/>
      <c r="S22"/>
      <c r="T22"/>
      <c r="U22"/>
      <c r="V22"/>
      <c r="W22"/>
      <c r="X22"/>
      <c r="Y22"/>
      <c r="Z22" s="908"/>
      <c r="AA22" s="908"/>
      <c r="AB22" s="908"/>
      <c r="AC22" s="908"/>
      <c r="AD22" s="243"/>
      <c r="AE22" s="243"/>
      <c r="AF22" s="240"/>
      <c r="AG22" s="240"/>
      <c r="AH22" s="240"/>
      <c r="AI22" s="240"/>
    </row>
    <row r="23" spans="1:35" x14ac:dyDescent="0.2">
      <c r="A23" s="675">
        <f t="shared" si="1"/>
        <v>14</v>
      </c>
      <c r="B23" s="266" t="str">
        <f>CONCATENATE('3. Consumption by Rate Class'!B29,"-",'3. Consumption by Rate Class'!C29)</f>
        <v>2006-February</v>
      </c>
      <c r="C23" s="270">
        <v>301289.78000000003</v>
      </c>
      <c r="D23" s="731"/>
      <c r="E23" s="731"/>
      <c r="F23" s="268">
        <f t="shared" si="0"/>
        <v>301289.78000000003</v>
      </c>
      <c r="G23" s="445">
        <f>IF(G$8='5.Variables'!$B$10,+'5.Variables'!$D22,+IF(G$8='5.Variables'!$B$33,+'5.Variables'!$D45,+IF(G$8='5.Variables'!$B$56,+'5.Variables'!$D59,+IF(G$8='5.Variables'!$B$70,+'5.Variables'!$D73,+IF(G$8='5.Variables'!$B$84,+'5.Variables'!$D87,+IF(G$8='5.Variables'!$B$98,+'5.Variables'!$D101,0))))))</f>
        <v>630.6</v>
      </c>
      <c r="H23" s="445">
        <f>IF(H$8='5.Variables'!$B$10,+'5.Variables'!$D22,+IF(H$8='5.Variables'!$B$33,+'5.Variables'!$D45,+IF(H$8='5.Variables'!$B$56,+'5.Variables'!$D59,+IF(H$8='5.Variables'!$B$70,+'5.Variables'!$D73,+IF(H$8='5.Variables'!$B$84,+'5.Variables'!$D87,+IF(H$8='5.Variables'!$B$98,+'5.Variables'!$D101,0))))))</f>
        <v>0</v>
      </c>
      <c r="I23" s="445">
        <f>IF(I$8='5.Variables'!$B$10,+'5.Variables'!$D22,+IF(I$8='5.Variables'!$B$33,+'5.Variables'!$D45,+IF(I$8='5.Variables'!$B$56,+'5.Variables'!$D59,+IF(I$8='5.Variables'!$B$70,+'5.Variables'!$D73,+IF(I$8='5.Variables'!$B$84,+'5.Variables'!$D87,+IF(I$8='5.Variables'!$B$98,+'5.Variables'!$D101,0))))))</f>
        <v>28</v>
      </c>
      <c r="J23" s="445">
        <f>IF(J$8='5.Variables'!$B$10,+'5.Variables'!$D22,+IF(J$8='5.Variables'!$B$33,+'5.Variables'!$D45,+IF(J$8='5.Variables'!$B$56,+'5.Variables'!$D59,+IF(J$8='5.Variables'!$B$70,+'5.Variables'!$D73,+IF(J$8='5.Variables'!$B$84,+'5.Variables'!$D87,+IF(J$8='5.Variables'!$B$98,+'5.Variables'!$D101,0))))))</f>
        <v>0</v>
      </c>
      <c r="K23" s="445">
        <f>IF(K$8='5.Variables'!$B$10,+'5.Variables'!$D22,+IF(K$8='5.Variables'!$B$33,+'5.Variables'!$D45,+IF(K$8='5.Variables'!$B$56,+'5.Variables'!$D59,+IF(K$8='5.Variables'!$B$70,+'5.Variables'!$D73,+IF(K$8='5.Variables'!$B$84,+'5.Variables'!$D87,+IF(K$8='5.Variables'!$B$98,+'5.Variables'!$D101,0))))))</f>
        <v>0</v>
      </c>
      <c r="L23" s="445">
        <f>IF(L$8='5.Variables'!$B$10,+'5.Variables'!$D22,+IF(L$8='5.Variables'!$B$33,+'5.Variables'!$D45,+IF(L$8='5.Variables'!$B$56,+'5.Variables'!$D59,+IF(L$8='5.Variables'!$B$70,+'5.Variables'!$D73,+IF(L$8='5.Variables'!$B$84,+'5.Variables'!$D87,+IF(L$8='5.Variables'!$B$98,+'5.Variables'!$D101,0))))))</f>
        <v>0</v>
      </c>
      <c r="M23" s="240"/>
      <c r="N23" s="268">
        <f t="shared" si="2"/>
        <v>295958.08997356717</v>
      </c>
      <c r="O23" s="272"/>
      <c r="P23" s="240"/>
      <c r="Q23" s="290"/>
      <c r="R23" s="290" t="s">
        <v>23</v>
      </c>
      <c r="S23" s="290" t="s">
        <v>11</v>
      </c>
      <c r="T23" s="290" t="s">
        <v>24</v>
      </c>
      <c r="U23" s="290" t="s">
        <v>25</v>
      </c>
      <c r="V23" s="290" t="s">
        <v>26</v>
      </c>
      <c r="W23" s="290" t="s">
        <v>27</v>
      </c>
      <c r="X23" s="290" t="s">
        <v>28</v>
      </c>
      <c r="Y23" s="290" t="s">
        <v>29</v>
      </c>
      <c r="Z23" s="909"/>
      <c r="AA23" s="909"/>
      <c r="AB23" s="909"/>
      <c r="AC23" s="909"/>
      <c r="AD23" s="243"/>
      <c r="AE23" s="243"/>
      <c r="AF23" s="240"/>
      <c r="AG23" s="240"/>
      <c r="AH23" s="240"/>
      <c r="AI23" s="240"/>
    </row>
    <row r="24" spans="1:35" x14ac:dyDescent="0.2">
      <c r="A24" s="675">
        <f t="shared" si="1"/>
        <v>15</v>
      </c>
      <c r="B24" s="266" t="str">
        <f>CONCATENATE('3. Consumption by Rate Class'!B30,"-",'3. Consumption by Rate Class'!C30)</f>
        <v>2006-March</v>
      </c>
      <c r="C24" s="270">
        <v>335533.61</v>
      </c>
      <c r="D24" s="731"/>
      <c r="E24" s="731"/>
      <c r="F24" s="268">
        <f t="shared" si="0"/>
        <v>335533.61</v>
      </c>
      <c r="G24" s="445">
        <f>IF(G$8='5.Variables'!$B$10,+'5.Variables'!$E22,+IF(G$8='5.Variables'!$B$33,+'5.Variables'!$E45,+IF(G$8='5.Variables'!$B$56,+'5.Variables'!$E59,+IF(G$8='5.Variables'!$B$70,+'5.Variables'!$E73,+IF(G$8='5.Variables'!$B$84,+'5.Variables'!$E87,+IF(G$8='5.Variables'!$B$98,+'5.Variables'!$E101,0))))))</f>
        <v>555.29999999999995</v>
      </c>
      <c r="H24" s="445">
        <f>IF(H$8='5.Variables'!$B$10,+'5.Variables'!$E22,+IF(H$8='5.Variables'!$B$33,+'5.Variables'!$E45,+IF(H$8='5.Variables'!$B$56,+'5.Variables'!$E59,+IF(H$8='5.Variables'!$B$70,+'5.Variables'!$E73,+IF(H$8='5.Variables'!$B$84,+'5.Variables'!$E87,+IF(H$8='5.Variables'!$B$98,+'5.Variables'!$E101,0))))))</f>
        <v>0</v>
      </c>
      <c r="I24" s="445">
        <f>IF(I$8='5.Variables'!$B$10,+'5.Variables'!$E22,+IF(I$8='5.Variables'!$B$33,+'5.Variables'!$E45,+IF(I$8='5.Variables'!$B$56,+'5.Variables'!$E59,+IF(I$8='5.Variables'!$B$70,+'5.Variables'!$E73,+IF(I$8='5.Variables'!$B$84,+'5.Variables'!$E87,+IF(I$8='5.Variables'!$B$98,+'5.Variables'!$E101,0))))))</f>
        <v>31</v>
      </c>
      <c r="J24" s="445">
        <f>IF(J$8='5.Variables'!$B$10,+'5.Variables'!$E22,+IF(J$8='5.Variables'!$B$33,+'5.Variables'!$E45,+IF(J$8='5.Variables'!$B$56,+'5.Variables'!$E59,+IF(J$8='5.Variables'!$B$70,+'5.Variables'!$E73,+IF(J$8='5.Variables'!$B$84,+'5.Variables'!$E87,+IF(J$8='5.Variables'!$B$98,+'5.Variables'!$E101,0))))))</f>
        <v>1</v>
      </c>
      <c r="K24" s="445">
        <f>IF(K$8='5.Variables'!$B$10,+'5.Variables'!$E22,+IF(K$8='5.Variables'!$B$33,+'5.Variables'!$E45,+IF(K$8='5.Variables'!$B$56,+'5.Variables'!$E59,+IF(K$8='5.Variables'!$B$70,+'5.Variables'!$E73,+IF(K$8='5.Variables'!$B$84,+'5.Variables'!$E87,+IF(K$8='5.Variables'!$B$98,+'5.Variables'!$E101,0))))))</f>
        <v>0</v>
      </c>
      <c r="L24" s="445">
        <f>IF(L$8='5.Variables'!$B$10,+'5.Variables'!$E22,+IF(L$8='5.Variables'!$B$33,+'5.Variables'!$E45,+IF(L$8='5.Variables'!$B$56,+'5.Variables'!$E59,+IF(L$8='5.Variables'!$B$70,+'5.Variables'!$E73,+IF(L$8='5.Variables'!$B$84,+'5.Variables'!$E87,+IF(L$8='5.Variables'!$B$98,+'5.Variables'!$E101,0))))))</f>
        <v>0</v>
      </c>
      <c r="M24" s="240"/>
      <c r="N24" s="268">
        <f t="shared" si="2"/>
        <v>324679.61666413903</v>
      </c>
      <c r="O24" s="272"/>
      <c r="P24" s="240"/>
      <c r="Q24" s="288" t="s">
        <v>17</v>
      </c>
      <c r="R24" s="288">
        <v>-10587.889423882159</v>
      </c>
      <c r="S24" s="288">
        <v>45665.413121759149</v>
      </c>
      <c r="T24" s="288">
        <v>-0.23185795769878029</v>
      </c>
      <c r="U24" s="288">
        <v>0.81707912191742049</v>
      </c>
      <c r="V24" s="288">
        <v>-101086.01974281657</v>
      </c>
      <c r="W24" s="288">
        <v>79910.240895052237</v>
      </c>
      <c r="X24" s="288">
        <v>-101086.01974281657</v>
      </c>
      <c r="Y24" s="288">
        <v>79910.240895052237</v>
      </c>
      <c r="Z24" s="288"/>
      <c r="AA24" s="288"/>
      <c r="AB24" s="288"/>
      <c r="AC24" s="288"/>
      <c r="AD24" s="243"/>
      <c r="AE24" s="243"/>
      <c r="AF24" s="240"/>
      <c r="AG24" s="240"/>
      <c r="AH24" s="240"/>
      <c r="AI24" s="240"/>
    </row>
    <row r="25" spans="1:35" x14ac:dyDescent="0.2">
      <c r="A25" s="675">
        <f t="shared" si="1"/>
        <v>16</v>
      </c>
      <c r="B25" s="266" t="str">
        <f>CONCATENATE('3. Consumption by Rate Class'!B31,"-",'3. Consumption by Rate Class'!C31)</f>
        <v>2006-April</v>
      </c>
      <c r="C25" s="270">
        <v>326765.42999999993</v>
      </c>
      <c r="D25" s="731"/>
      <c r="E25" s="731"/>
      <c r="F25" s="268">
        <f t="shared" si="0"/>
        <v>326765.42999999993</v>
      </c>
      <c r="G25" s="445">
        <f>IF(G$8='5.Variables'!$B$10,+'5.Variables'!$F22,+IF(G$8='5.Variables'!$B$33,+'5.Variables'!$F45,+IF(G$8='5.Variables'!$B$56,+'5.Variables'!$F59,+IF(G$8='5.Variables'!$B$70,+'5.Variables'!$F73,+IF(G$8='5.Variables'!$B$84,+'5.Variables'!$F87,+IF(G$8='5.Variables'!$B$98,+'5.Variables'!$F101,0))))))</f>
        <v>323.8</v>
      </c>
      <c r="H25" s="445">
        <f>IF(H$8='5.Variables'!$B$10,+'5.Variables'!$F22,+IF(H$8='5.Variables'!$B$33,+'5.Variables'!$F45,+IF(H$8='5.Variables'!$B$56,+'5.Variables'!$F59,+IF(H$8='5.Variables'!$B$70,+'5.Variables'!$F73,+IF(H$8='5.Variables'!$B$84,+'5.Variables'!$F87,+IF(H$8='5.Variables'!$B$98,+'5.Variables'!$F101,0))))))</f>
        <v>0</v>
      </c>
      <c r="I25" s="445">
        <f>IF(I$8='5.Variables'!$B$10,+'5.Variables'!$F22,+IF(I$8='5.Variables'!$B$33,+'5.Variables'!$F45,+IF(I$8='5.Variables'!$B$56,+'5.Variables'!$F59,+IF(I$8='5.Variables'!$B$70,+'5.Variables'!$F73,+IF(I$8='5.Variables'!$B$84,+'5.Variables'!$F87,+IF(I$8='5.Variables'!$B$98,+'5.Variables'!$F101,0))))))</f>
        <v>30</v>
      </c>
      <c r="J25" s="445">
        <f>IF(J$8='5.Variables'!$B$10,+'5.Variables'!$F22,+IF(J$8='5.Variables'!$B$33,+'5.Variables'!$F45,+IF(J$8='5.Variables'!$B$56,+'5.Variables'!$F59,+IF(J$8='5.Variables'!$B$70,+'5.Variables'!$F73,+IF(J$8='5.Variables'!$B$84,+'5.Variables'!$F87,+IF(J$8='5.Variables'!$B$98,+'5.Variables'!$F101,0))))))</f>
        <v>1</v>
      </c>
      <c r="K25" s="445">
        <f>IF(K$8='5.Variables'!$B$10,+'5.Variables'!$F22,+IF(K$8='5.Variables'!$B$33,+'5.Variables'!$F45,+IF(K$8='5.Variables'!$B$56,+'5.Variables'!$F59,+IF(K$8='5.Variables'!$B$70,+'5.Variables'!$F73,+IF(K$8='5.Variables'!$B$84,+'5.Variables'!$F87,+IF(K$8='5.Variables'!$B$98,+'5.Variables'!$F101,0))))))</f>
        <v>0</v>
      </c>
      <c r="L25" s="445">
        <f>IF(L$8='5.Variables'!$B$10,+'5.Variables'!$F22,+IF(L$8='5.Variables'!$B$33,+'5.Variables'!$F45,+IF(L$8='5.Variables'!$B$56,+'5.Variables'!$F59,+IF(L$8='5.Variables'!$B$70,+'5.Variables'!$F73,+IF(L$8='5.Variables'!$B$84,+'5.Variables'!$F87,+IF(L$8='5.Variables'!$B$98,+'5.Variables'!$F101,0))))))</f>
        <v>0</v>
      </c>
      <c r="M25" s="240"/>
      <c r="N25" s="268">
        <f t="shared" si="2"/>
        <v>323848.90672871069</v>
      </c>
      <c r="O25" s="272"/>
      <c r="P25" s="240"/>
      <c r="Q25" s="288" t="str">
        <f>G8</f>
        <v>HDD</v>
      </c>
      <c r="R25" s="288">
        <v>-48.41338845497755</v>
      </c>
      <c r="S25" s="288">
        <v>7.4537495756930872</v>
      </c>
      <c r="T25" s="288">
        <v>-6.4951723912022938</v>
      </c>
      <c r="U25" s="288">
        <v>2.4834532057823535E-9</v>
      </c>
      <c r="V25" s="288">
        <v>-63.184970585795021</v>
      </c>
      <c r="W25" s="288">
        <v>-33.641806324160079</v>
      </c>
      <c r="X25" s="288">
        <v>-63.184970585795021</v>
      </c>
      <c r="Y25" s="288">
        <v>-33.641806324160079</v>
      </c>
      <c r="Z25" s="288"/>
      <c r="AA25" s="288"/>
      <c r="AB25" s="288"/>
      <c r="AC25" s="288"/>
      <c r="AD25" s="243"/>
      <c r="AE25" s="243"/>
      <c r="AF25" s="240"/>
      <c r="AG25" s="240"/>
      <c r="AH25" s="240"/>
      <c r="AI25" s="240"/>
    </row>
    <row r="26" spans="1:35" x14ac:dyDescent="0.2">
      <c r="A26" s="675">
        <f t="shared" si="1"/>
        <v>17</v>
      </c>
      <c r="B26" s="266" t="str">
        <f>CONCATENATE('3. Consumption by Rate Class'!B32,"-",'3. Consumption by Rate Class'!C32)</f>
        <v>2006-May</v>
      </c>
      <c r="C26" s="270">
        <v>361032.47</v>
      </c>
      <c r="D26" s="731"/>
      <c r="E26" s="731"/>
      <c r="F26" s="268">
        <f t="shared" si="0"/>
        <v>361032.47</v>
      </c>
      <c r="G26" s="445">
        <f>IF(G$8='5.Variables'!$B$10,+'5.Variables'!$G22,+IF(G$8='5.Variables'!$B$33,+'5.Variables'!$G45,+IF(G$8='5.Variables'!$B$56,+'5.Variables'!$G59,+IF(G$8='5.Variables'!$B$70,+'5.Variables'!$G73,+IF(G$8='5.Variables'!$B$84,+'5.Variables'!$G87,+IF(G$8='5.Variables'!$B$98,+'5.Variables'!$G101,0))))))</f>
        <v>160.9</v>
      </c>
      <c r="H26" s="445">
        <f>IF(H$8='5.Variables'!$B$10,+'5.Variables'!$G22,+IF(H$8='5.Variables'!$B$33,+'5.Variables'!$G45,+IF(H$8='5.Variables'!$B$56,+'5.Variables'!$G59,+IF(H$8='5.Variables'!$B$70,+'5.Variables'!$G73,+IF(H$8='5.Variables'!$B$84,+'5.Variables'!$G87,+IF(H$8='5.Variables'!$B$98,+'5.Variables'!$G101,0))))))</f>
        <v>15.6</v>
      </c>
      <c r="I26" s="445">
        <f>IF(I$8='5.Variables'!$B$10,+'5.Variables'!$G22,+IF(I$8='5.Variables'!$B$33,+'5.Variables'!$G45,+IF(I$8='5.Variables'!$B$56,+'5.Variables'!$G59,+IF(I$8='5.Variables'!$B$70,+'5.Variables'!$G73,+IF(I$8='5.Variables'!$B$84,+'5.Variables'!$G87,+IF(I$8='5.Variables'!$B$98,+'5.Variables'!$G101,0))))))</f>
        <v>31</v>
      </c>
      <c r="J26" s="445">
        <f>IF(J$8='5.Variables'!$B$10,+'5.Variables'!$G22,+IF(J$8='5.Variables'!$B$33,+'5.Variables'!$G45,+IF(J$8='5.Variables'!$B$56,+'5.Variables'!$G59,+IF(J$8='5.Variables'!$B$70,+'5.Variables'!$G73,+IF(J$8='5.Variables'!$B$84,+'5.Variables'!$G87,+IF(J$8='5.Variables'!$B$98,+'5.Variables'!$G101,0))))))</f>
        <v>1</v>
      </c>
      <c r="K26" s="445">
        <f>IF(K$8='5.Variables'!$B$10,+'5.Variables'!$G22,+IF(K$8='5.Variables'!$B$33,+'5.Variables'!$G45,+IF(K$8='5.Variables'!$B$56,+'5.Variables'!$G59,+IF(K$8='5.Variables'!$B$70,+'5.Variables'!$G73,+IF(K$8='5.Variables'!$B$84,+'5.Variables'!$G87,+IF(K$8='5.Variables'!$B$98,+'5.Variables'!$G101,0))))))</f>
        <v>0</v>
      </c>
      <c r="L26" s="445">
        <f>IF(L$8='5.Variables'!$B$10,+'5.Variables'!$G22,+IF(L$8='5.Variables'!$B$33,+'5.Variables'!$G45,+IF(L$8='5.Variables'!$B$56,+'5.Variables'!$G59,+IF(L$8='5.Variables'!$B$70,+'5.Variables'!$G73,+IF(L$8='5.Variables'!$B$84,+'5.Variables'!$G87,+IF(L$8='5.Variables'!$B$98,+'5.Variables'!$G101,0))))))</f>
        <v>0</v>
      </c>
      <c r="M26" s="240"/>
      <c r="N26" s="268">
        <f t="shared" si="2"/>
        <v>349751.7265669888</v>
      </c>
      <c r="O26" s="272"/>
      <c r="P26" s="240"/>
      <c r="Q26" s="288" t="str">
        <f>H8</f>
        <v>CDD</v>
      </c>
      <c r="R26" s="288">
        <v>383.19676257734687</v>
      </c>
      <c r="S26" s="288">
        <v>56.86062824018483</v>
      </c>
      <c r="T26" s="288">
        <v>6.7392284334018688</v>
      </c>
      <c r="U26" s="288">
        <v>7.6314158595237672E-10</v>
      </c>
      <c r="V26" s="288">
        <v>270.51234361071295</v>
      </c>
      <c r="W26" s="288">
        <v>495.8811815439808</v>
      </c>
      <c r="X26" s="288">
        <v>270.51234361071295</v>
      </c>
      <c r="Y26" s="288">
        <v>495.8811815439808</v>
      </c>
      <c r="Z26" s="288"/>
      <c r="AA26" s="288"/>
      <c r="AB26" s="288"/>
      <c r="AC26" s="288"/>
      <c r="AD26" s="243"/>
      <c r="AE26" s="243"/>
      <c r="AF26" s="240"/>
      <c r="AG26" s="240"/>
      <c r="AH26" s="240"/>
      <c r="AI26" s="240"/>
    </row>
    <row r="27" spans="1:35" x14ac:dyDescent="0.2">
      <c r="A27" s="675">
        <f t="shared" si="1"/>
        <v>18</v>
      </c>
      <c r="B27" s="266" t="str">
        <f>CONCATENATE('3. Consumption by Rate Class'!B33,"-",'3. Consumption by Rate Class'!C33)</f>
        <v>2006-June</v>
      </c>
      <c r="C27" s="270">
        <v>367674.32</v>
      </c>
      <c r="D27" s="731"/>
      <c r="E27" s="731"/>
      <c r="F27" s="268">
        <f t="shared" si="0"/>
        <v>367674.32</v>
      </c>
      <c r="G27" s="445">
        <f>IF(G$8='5.Variables'!$B$10,+'5.Variables'!$H22,+IF(G$8='5.Variables'!$B$33,+'5.Variables'!$H45,+IF(G$8='5.Variables'!$B$56,+'5.Variables'!$H59,+IF(G$8='5.Variables'!$B$70,+'5.Variables'!$H73,+IF(G$8='5.Variables'!$B$84,+'5.Variables'!$H87,+IF(G$8='5.Variables'!$B$98,+'5.Variables'!$H101,0))))))</f>
        <v>46.1</v>
      </c>
      <c r="H27" s="445">
        <f>IF(H$8='5.Variables'!$B$10,+'5.Variables'!$H22,+IF(H$8='5.Variables'!$B$33,+'5.Variables'!$H45,+IF(H$8='5.Variables'!$B$56,+'5.Variables'!$H59,+IF(H$8='5.Variables'!$B$70,+'5.Variables'!$H73,+IF(H$8='5.Variables'!$B$84,+'5.Variables'!$H87,+IF(H$8='5.Variables'!$B$98,+'5.Variables'!$H101,0))))))</f>
        <v>44.9</v>
      </c>
      <c r="I27" s="445">
        <f>IF(I$8='5.Variables'!$B$10,+'5.Variables'!$H22,+IF(I$8='5.Variables'!$B$33,+'5.Variables'!$H45,+IF(I$8='5.Variables'!$B$56,+'5.Variables'!$H59,+IF(I$8='5.Variables'!$B$70,+'5.Variables'!$H73,+IF(I$8='5.Variables'!$B$84,+'5.Variables'!$H87,+IF(I$8='5.Variables'!$B$98,+'5.Variables'!$H101,0))))))</f>
        <v>30</v>
      </c>
      <c r="J27" s="445">
        <f>IF(J$8='5.Variables'!$B$10,+'5.Variables'!$H22,+IF(J$8='5.Variables'!$B$33,+'5.Variables'!$H45,+IF(J$8='5.Variables'!$B$56,+'5.Variables'!$H59,+IF(J$8='5.Variables'!$B$70,+'5.Variables'!$H73,+IF(J$8='5.Variables'!$B$84,+'5.Variables'!$H87,+IF(J$8='5.Variables'!$B$98,+'5.Variables'!$H101,0))))))</f>
        <v>0</v>
      </c>
      <c r="K27" s="445">
        <f>IF(K$8='5.Variables'!$B$10,+'5.Variables'!$H22,+IF(K$8='5.Variables'!$B$33,+'5.Variables'!$H45,+IF(K$8='5.Variables'!$B$56,+'5.Variables'!$H59,+IF(K$8='5.Variables'!$B$70,+'5.Variables'!$H73,+IF(K$8='5.Variables'!$B$84,+'5.Variables'!$H87,+IF(K$8='5.Variables'!$B$98,+'5.Variables'!$H101,0))))))</f>
        <v>0</v>
      </c>
      <c r="L27" s="445">
        <f>IF(L$8='5.Variables'!$B$10,+'5.Variables'!$H22,+IF(L$8='5.Variables'!$B$33,+'5.Variables'!$H45,+IF(L$8='5.Variables'!$B$56,+'5.Variables'!$H59,+IF(L$8='5.Variables'!$B$70,+'5.Variables'!$H73,+IF(L$8='5.Variables'!$B$84,+'5.Variables'!$H87,+IF(L$8='5.Variables'!$B$98,+'5.Variables'!$H101,0))))))</f>
        <v>0</v>
      </c>
      <c r="M27" s="240"/>
      <c r="N27" s="268">
        <f t="shared" si="2"/>
        <v>365538.06889073574</v>
      </c>
      <c r="O27" s="272"/>
      <c r="P27" s="240"/>
      <c r="Q27" s="288" t="str">
        <f>I8</f>
        <v>Days in Month</v>
      </c>
      <c r="R27" s="288">
        <v>12038.40936275565</v>
      </c>
      <c r="S27" s="288">
        <v>1509.5389804346119</v>
      </c>
      <c r="T27" s="288">
        <v>7.9748913534446579</v>
      </c>
      <c r="U27" s="288">
        <v>1.5608126827374214E-12</v>
      </c>
      <c r="V27" s="288">
        <v>9046.8574193048371</v>
      </c>
      <c r="W27" s="288">
        <v>15029.961306206464</v>
      </c>
      <c r="X27" s="288">
        <v>9046.8574193048371</v>
      </c>
      <c r="Y27" s="288">
        <v>15029.961306206464</v>
      </c>
      <c r="Z27" s="288"/>
      <c r="AA27" s="288"/>
      <c r="AB27" s="288"/>
      <c r="AC27" s="288"/>
      <c r="AD27" s="243"/>
      <c r="AE27" s="243"/>
      <c r="AF27" s="240"/>
      <c r="AG27" s="240"/>
      <c r="AH27" s="240"/>
      <c r="AI27" s="240"/>
    </row>
    <row r="28" spans="1:35" ht="13.5" thickBot="1" x14ac:dyDescent="0.25">
      <c r="A28" s="675">
        <f t="shared" si="1"/>
        <v>19</v>
      </c>
      <c r="B28" s="266" t="str">
        <f>CONCATENATE('3. Consumption by Rate Class'!B34,"-",'3. Consumption by Rate Class'!C34)</f>
        <v>2006-July</v>
      </c>
      <c r="C28" s="270">
        <v>427913.41</v>
      </c>
      <c r="D28" s="731"/>
      <c r="E28" s="731"/>
      <c r="F28" s="268">
        <f t="shared" si="0"/>
        <v>427913.41</v>
      </c>
      <c r="G28" s="445">
        <f>IF(G$8='5.Variables'!$B$10,+'5.Variables'!$I22,+IF(G$8='5.Variables'!$B$33,+'5.Variables'!$I45,+IF(G$8='5.Variables'!$B$56,+'5.Variables'!$I59,+IF(G$8='5.Variables'!$B$70,+'5.Variables'!$I73,+IF(G$8='5.Variables'!$B$84,+'5.Variables'!$I87,+IF(G$8='5.Variables'!$B$98,+'5.Variables'!$I101,0))))))</f>
        <v>2.5</v>
      </c>
      <c r="H28" s="445">
        <f>IF(H$8='5.Variables'!$B$10,+'5.Variables'!$I22,+IF(H$8='5.Variables'!$B$33,+'5.Variables'!$I45,+IF(H$8='5.Variables'!$B$56,+'5.Variables'!$I59,+IF(H$8='5.Variables'!$B$70,+'5.Variables'!$I73,+IF(H$8='5.Variables'!$B$84,+'5.Variables'!$I87,+IF(H$8='5.Variables'!$B$98,+'5.Variables'!$I101,0))))))</f>
        <v>141.4</v>
      </c>
      <c r="I28" s="445">
        <f>IF(I$8='5.Variables'!$B$10,+'5.Variables'!$I22,+IF(I$8='5.Variables'!$B$33,+'5.Variables'!$I45,+IF(I$8='5.Variables'!$B$56,+'5.Variables'!$I59,+IF(I$8='5.Variables'!$B$70,+'5.Variables'!$I73,+IF(I$8='5.Variables'!$B$84,+'5.Variables'!$I87,+IF(I$8='5.Variables'!$B$98,+'5.Variables'!$I101,0))))))</f>
        <v>31</v>
      </c>
      <c r="J28" s="445">
        <f>IF(J$8='5.Variables'!$B$10,+'5.Variables'!$I22,+IF(J$8='5.Variables'!$B$33,+'5.Variables'!$I45,+IF(J$8='5.Variables'!$B$56,+'5.Variables'!$I59,+IF(J$8='5.Variables'!$B$70,+'5.Variables'!$I73,+IF(J$8='5.Variables'!$B$84,+'5.Variables'!$I87,+IF(J$8='5.Variables'!$B$98,+'5.Variables'!$I101,0))))))</f>
        <v>0</v>
      </c>
      <c r="K28" s="445">
        <f>IF(K$8='5.Variables'!$B$10,+'5.Variables'!$I22,+IF(K$8='5.Variables'!$B$33,+'5.Variables'!$I45,+IF(K$8='5.Variables'!$B$56,+'5.Variables'!$I59,+IF(K$8='5.Variables'!$B$70,+'5.Variables'!$I73,+IF(K$8='5.Variables'!$B$84,+'5.Variables'!$I87,+IF(K$8='5.Variables'!$B$98,+'5.Variables'!$I101,0))))))</f>
        <v>0</v>
      </c>
      <c r="L28" s="445">
        <f>IF(L$8='5.Variables'!$B$10,+'5.Variables'!$I22,+IF(L$8='5.Variables'!$B$33,+'5.Variables'!$I45,+IF(L$8='5.Variables'!$B$56,+'5.Variables'!$I59,+IF(L$8='5.Variables'!$B$70,+'5.Variables'!$I73,+IF(L$8='5.Variables'!$B$84,+'5.Variables'!$I87,+IF(L$8='5.Variables'!$B$98,+'5.Variables'!$I101,0))))))</f>
        <v>0</v>
      </c>
      <c r="M28" s="240"/>
      <c r="N28" s="268">
        <f t="shared" si="2"/>
        <v>416665.78957884241</v>
      </c>
      <c r="O28" s="272"/>
      <c r="P28" s="240"/>
      <c r="Q28" s="289" t="str">
        <f>J8</f>
        <v>Spring Fall Flag</v>
      </c>
      <c r="R28" s="289">
        <v>-11039.229548354921</v>
      </c>
      <c r="S28" s="289">
        <v>3075.894936909307</v>
      </c>
      <c r="T28" s="289">
        <v>-3.5889488343341336</v>
      </c>
      <c r="U28" s="289">
        <v>4.9728030969305181E-4</v>
      </c>
      <c r="V28" s="289">
        <v>-17134.931345808531</v>
      </c>
      <c r="W28" s="289">
        <v>-4943.5277509013085</v>
      </c>
      <c r="X28" s="289">
        <v>-17134.931345808531</v>
      </c>
      <c r="Y28" s="289">
        <v>-4943.5277509013085</v>
      </c>
      <c r="Z28" s="288"/>
      <c r="AA28" s="288"/>
      <c r="AB28" s="288"/>
      <c r="AC28" s="288"/>
      <c r="AD28" s="243"/>
      <c r="AE28" s="243"/>
      <c r="AF28" s="240"/>
      <c r="AG28" s="240"/>
      <c r="AH28" s="240"/>
      <c r="AI28" s="240"/>
    </row>
    <row r="29" spans="1:35" x14ac:dyDescent="0.2">
      <c r="A29" s="675">
        <f t="shared" si="1"/>
        <v>20</v>
      </c>
      <c r="B29" s="266" t="str">
        <f>CONCATENATE('3. Consumption by Rate Class'!B35,"-",'3. Consumption by Rate Class'!C35)</f>
        <v>2006-August</v>
      </c>
      <c r="C29" s="270">
        <v>398924.3</v>
      </c>
      <c r="D29" s="731"/>
      <c r="E29" s="731"/>
      <c r="F29" s="268">
        <f t="shared" si="0"/>
        <v>398924.3</v>
      </c>
      <c r="G29" s="445">
        <f>IF(G$8='5.Variables'!$B$10,+'5.Variables'!$J22,+IF(G$8='5.Variables'!$B$33,+'5.Variables'!$J45,+IF(G$8='5.Variables'!$B$56,+'5.Variables'!$J59,+IF(G$8='5.Variables'!$B$70,+'5.Variables'!$J73,+IF(G$8='5.Variables'!$B$84,+'5.Variables'!$J87,+IF(G$8='5.Variables'!$B$98,+'5.Variables'!$J101,0))))))</f>
        <v>12.1</v>
      </c>
      <c r="H29" s="445">
        <f>IF(H$8='5.Variables'!$B$10,+'5.Variables'!$J22,+IF(H$8='5.Variables'!$B$33,+'5.Variables'!$J45,+IF(H$8='5.Variables'!$B$56,+'5.Variables'!$J59,+IF(H$8='5.Variables'!$B$70,+'5.Variables'!$J73,+IF(H$8='5.Variables'!$B$84,+'5.Variables'!$J87,+IF(H$8='5.Variables'!$B$98,+'5.Variables'!$J101,0))))))</f>
        <v>73.599999999999994</v>
      </c>
      <c r="I29" s="445">
        <f>IF(I$8='5.Variables'!$B$10,+'5.Variables'!$J22,+IF(I$8='5.Variables'!$B$33,+'5.Variables'!$J45,+IF(I$8='5.Variables'!$B$56,+'5.Variables'!$J59,+IF(I$8='5.Variables'!$B$70,+'5.Variables'!$J73,+IF(I$8='5.Variables'!$B$84,+'5.Variables'!$J87,+IF(I$8='5.Variables'!$B$98,+'5.Variables'!$J101,0))))))</f>
        <v>31</v>
      </c>
      <c r="J29" s="445">
        <f>IF(J$8='5.Variables'!$B$10,+'5.Variables'!$J22,+IF(J$8='5.Variables'!$B$33,+'5.Variables'!$J45,+IF(J$8='5.Variables'!$B$56,+'5.Variables'!$J59,+IF(J$8='5.Variables'!$B$70,+'5.Variables'!$J73,+IF(J$8='5.Variables'!$B$84,+'5.Variables'!$J87,+IF(J$8='5.Variables'!$B$98,+'5.Variables'!$J101,0))))))</f>
        <v>0</v>
      </c>
      <c r="K29" s="445">
        <f>IF(K$8='5.Variables'!$B$10,+'5.Variables'!$J22,+IF(K$8='5.Variables'!$B$33,+'5.Variables'!$J45,+IF(K$8='5.Variables'!$B$56,+'5.Variables'!$J59,+IF(K$8='5.Variables'!$B$70,+'5.Variables'!$J73,+IF(K$8='5.Variables'!$B$84,+'5.Variables'!$J87,+IF(K$8='5.Variables'!$B$98,+'5.Variables'!$J101,0))))))</f>
        <v>0</v>
      </c>
      <c r="L29" s="445">
        <f>IF(L$8='5.Variables'!$B$10,+'5.Variables'!$J22,+IF(L$8='5.Variables'!$B$33,+'5.Variables'!$J45,+IF(L$8='5.Variables'!$B$56,+'5.Variables'!$J59,+IF(L$8='5.Variables'!$B$70,+'5.Variables'!$J73,+IF(L$8='5.Variables'!$B$84,+'5.Variables'!$J87,+IF(L$8='5.Variables'!$B$98,+'5.Variables'!$J101,0))))))</f>
        <v>0</v>
      </c>
      <c r="M29" s="240"/>
      <c r="N29" s="268">
        <f t="shared" si="2"/>
        <v>390220.2805469305</v>
      </c>
      <c r="O29" s="272"/>
      <c r="P29" s="240"/>
      <c r="Q29"/>
      <c r="R29"/>
      <c r="S29"/>
      <c r="T29"/>
      <c r="U29"/>
      <c r="V29"/>
      <c r="W29"/>
      <c r="X29"/>
      <c r="Y29"/>
      <c r="Z29"/>
      <c r="AA29"/>
      <c r="AB29"/>
      <c r="AC29"/>
      <c r="AD29" s="243"/>
      <c r="AE29" s="243"/>
      <c r="AF29" s="240"/>
      <c r="AG29" s="240"/>
      <c r="AH29" s="240"/>
      <c r="AI29" s="240"/>
    </row>
    <row r="30" spans="1:35" x14ac:dyDescent="0.2">
      <c r="A30" s="675">
        <f t="shared" si="1"/>
        <v>21</v>
      </c>
      <c r="B30" s="266" t="str">
        <f>CONCATENATE('3. Consumption by Rate Class'!B36,"-",'3. Consumption by Rate Class'!C36)</f>
        <v>2006-September</v>
      </c>
      <c r="C30" s="270">
        <v>358425.98</v>
      </c>
      <c r="D30" s="731"/>
      <c r="E30" s="731"/>
      <c r="F30" s="268">
        <f t="shared" si="0"/>
        <v>358425.98</v>
      </c>
      <c r="G30" s="445">
        <f>IF(G$8='5.Variables'!$B$10,+'5.Variables'!$K22,+IF(G$8='5.Variables'!$B$33,+'5.Variables'!$K45,+IF(G$8='5.Variables'!$B$56,+'5.Variables'!$K59,+IF(G$8='5.Variables'!$B$70,+'5.Variables'!$K73,+IF(G$8='5.Variables'!$B$84,+'5.Variables'!$K87,+IF(G$8='5.Variables'!$B$98,+'5.Variables'!$K101,0))))))</f>
        <v>98.2</v>
      </c>
      <c r="H30" s="445">
        <f>IF(H$8='5.Variables'!$B$10,+'5.Variables'!$K22,+IF(H$8='5.Variables'!$B$33,+'5.Variables'!$K45,+IF(H$8='5.Variables'!$B$56,+'5.Variables'!$K59,+IF(H$8='5.Variables'!$B$70,+'5.Variables'!$K73,+IF(H$8='5.Variables'!$B$84,+'5.Variables'!$K87,+IF(H$8='5.Variables'!$B$98,+'5.Variables'!$K101,0))))))</f>
        <v>9.1999999999999993</v>
      </c>
      <c r="I30" s="445">
        <f>IF(I$8='5.Variables'!$B$10,+'5.Variables'!$K22,+IF(I$8='5.Variables'!$B$33,+'5.Variables'!$K45,+IF(I$8='5.Variables'!$B$56,+'5.Variables'!$K59,+IF(I$8='5.Variables'!$B$70,+'5.Variables'!$K73,+IF(I$8='5.Variables'!$B$84,+'5.Variables'!$K87,+IF(I$8='5.Variables'!$B$98,+'5.Variables'!$K101,0))))))</f>
        <v>30</v>
      </c>
      <c r="J30" s="445">
        <f>IF(J$8='5.Variables'!$B$10,+'5.Variables'!$K22,+IF(J$8='5.Variables'!$B$33,+'5.Variables'!$K45,+IF(J$8='5.Variables'!$B$56,+'5.Variables'!$K59,+IF(J$8='5.Variables'!$B$70,+'5.Variables'!$K73,+IF(J$8='5.Variables'!$B$84,+'5.Variables'!$K87,+IF(J$8='5.Variables'!$B$98,+'5.Variables'!$K101,0))))))</f>
        <v>1</v>
      </c>
      <c r="K30" s="445">
        <f>IF(K$8='5.Variables'!$B$10,+'5.Variables'!$K22,+IF(K$8='5.Variables'!$B$33,+'5.Variables'!$K45,+IF(K$8='5.Variables'!$B$56,+'5.Variables'!$K59,+IF(K$8='5.Variables'!$B$70,+'5.Variables'!$K73,+IF(K$8='5.Variables'!$B$84,+'5.Variables'!$K87,+IF(K$8='5.Variables'!$B$98,+'5.Variables'!$K101,0))))))</f>
        <v>0</v>
      </c>
      <c r="L30" s="445">
        <f>IF(L$8='5.Variables'!$B$10,+'5.Variables'!$K22,+IF(L$8='5.Variables'!$B$33,+'5.Variables'!$K45,+IF(L$8='5.Variables'!$B$56,+'5.Variables'!$K59,+IF(L$8='5.Variables'!$B$70,+'5.Variables'!$K73,+IF(L$8='5.Variables'!$B$84,+'5.Variables'!$K87,+IF(L$8='5.Variables'!$B$98,+'5.Variables'!$K101,0))))))</f>
        <v>0</v>
      </c>
      <c r="M30" s="240"/>
      <c r="N30" s="268">
        <f t="shared" si="2"/>
        <v>338296.37737986521</v>
      </c>
      <c r="O30" s="272"/>
      <c r="P30" s="240"/>
      <c r="Q30"/>
      <c r="R30"/>
      <c r="S30"/>
      <c r="T30"/>
      <c r="U30"/>
      <c r="V30"/>
      <c r="W30"/>
      <c r="X30"/>
      <c r="Y30"/>
      <c r="Z30"/>
      <c r="AA30"/>
      <c r="AB30"/>
      <c r="AC30"/>
      <c r="AD30" s="243"/>
      <c r="AE30" s="243"/>
      <c r="AF30" s="240"/>
      <c r="AG30" s="240"/>
      <c r="AH30" s="240"/>
      <c r="AI30" s="240"/>
    </row>
    <row r="31" spans="1:35" x14ac:dyDescent="0.2">
      <c r="A31" s="675">
        <f t="shared" si="1"/>
        <v>22</v>
      </c>
      <c r="B31" s="266" t="str">
        <f>CONCATENATE('3. Consumption by Rate Class'!B37,"-",'3. Consumption by Rate Class'!C37)</f>
        <v>2006-October</v>
      </c>
      <c r="C31" s="270">
        <v>342184.75</v>
      </c>
      <c r="D31" s="731"/>
      <c r="E31" s="731"/>
      <c r="F31" s="268">
        <f t="shared" si="0"/>
        <v>342184.75</v>
      </c>
      <c r="G31" s="445">
        <f>IF(G$8='5.Variables'!$B$10,+'5.Variables'!$L22,+IF(G$8='5.Variables'!$B$33,+'5.Variables'!$L45,+IF(G$8='5.Variables'!$B$56,+'5.Variables'!$L59,+IF(G$8='5.Variables'!$B$70,+'5.Variables'!$L73,+IF(G$8='5.Variables'!$B$84,+'5.Variables'!$L87,+IF(G$8='5.Variables'!$B$98,+'5.Variables'!$L101,0))))))</f>
        <v>287.7</v>
      </c>
      <c r="H31" s="445">
        <f>IF(H$8='5.Variables'!$B$10,+'5.Variables'!$L22,+IF(H$8='5.Variables'!$B$33,+'5.Variables'!$L45,+IF(H$8='5.Variables'!$B$56,+'5.Variables'!$L59,+IF(H$8='5.Variables'!$B$70,+'5.Variables'!$L73,+IF(H$8='5.Variables'!$B$84,+'5.Variables'!$L87,+IF(H$8='5.Variables'!$B$98,+'5.Variables'!$L101,0))))))</f>
        <v>0.6</v>
      </c>
      <c r="I31" s="445">
        <f>IF(I$8='5.Variables'!$B$10,+'5.Variables'!$L22,+IF(I$8='5.Variables'!$B$33,+'5.Variables'!$L45,+IF(I$8='5.Variables'!$B$56,+'5.Variables'!$L59,+IF(I$8='5.Variables'!$B$70,+'5.Variables'!$L73,+IF(I$8='5.Variables'!$B$84,+'5.Variables'!$L87,+IF(I$8='5.Variables'!$B$98,+'5.Variables'!$L101,0))))))</f>
        <v>31</v>
      </c>
      <c r="J31" s="445">
        <f>IF(J$8='5.Variables'!$B$10,+'5.Variables'!$L22,+IF(J$8='5.Variables'!$B$33,+'5.Variables'!$L45,+IF(J$8='5.Variables'!$B$56,+'5.Variables'!$L59,+IF(J$8='5.Variables'!$B$70,+'5.Variables'!$L73,+IF(J$8='5.Variables'!$B$84,+'5.Variables'!$L87,+IF(J$8='5.Variables'!$B$98,+'5.Variables'!$L101,0))))))</f>
        <v>1</v>
      </c>
      <c r="K31" s="445">
        <f>IF(K$8='5.Variables'!$B$10,+'5.Variables'!$L22,+IF(K$8='5.Variables'!$B$33,+'5.Variables'!$L45,+IF(K$8='5.Variables'!$B$56,+'5.Variables'!$L59,+IF(K$8='5.Variables'!$B$70,+'5.Variables'!$L73,+IF(K$8='5.Variables'!$B$84,+'5.Variables'!$L87,+IF(K$8='5.Variables'!$B$98,+'5.Variables'!$L101,0))))))</f>
        <v>0</v>
      </c>
      <c r="L31" s="445">
        <f>IF(L$8='5.Variables'!$B$10,+'5.Variables'!$L22,+IF(L$8='5.Variables'!$B$33,+'5.Variables'!$L45,+IF(L$8='5.Variables'!$B$56,+'5.Variables'!$L59,+IF(L$8='5.Variables'!$B$70,+'5.Variables'!$L73,+IF(L$8='5.Variables'!$B$84,+'5.Variables'!$L87,+IF(L$8='5.Variables'!$B$98,+'5.Variables'!$L101,0))))))</f>
        <v>0</v>
      </c>
      <c r="M31" s="240"/>
      <c r="N31" s="268">
        <f t="shared" si="2"/>
        <v>337864.95747223747</v>
      </c>
      <c r="O31" s="272"/>
      <c r="P31" s="240"/>
      <c r="Q31"/>
      <c r="R31"/>
      <c r="S31"/>
      <c r="T31"/>
      <c r="U31"/>
      <c r="V31"/>
      <c r="W31"/>
      <c r="X31"/>
      <c r="Y31"/>
      <c r="Z31"/>
      <c r="AA31"/>
      <c r="AB31"/>
      <c r="AC31"/>
      <c r="AD31" s="240"/>
      <c r="AE31" s="240"/>
      <c r="AF31" s="240"/>
      <c r="AG31" s="240"/>
      <c r="AH31" s="240"/>
      <c r="AI31" s="240"/>
    </row>
    <row r="32" spans="1:35" x14ac:dyDescent="0.2">
      <c r="A32" s="675">
        <f t="shared" si="1"/>
        <v>23</v>
      </c>
      <c r="B32" s="266" t="str">
        <f>CONCATENATE('3. Consumption by Rate Class'!B38,"-",'3. Consumption by Rate Class'!C38)</f>
        <v>2006-November</v>
      </c>
      <c r="C32" s="270">
        <v>332941.04999999993</v>
      </c>
      <c r="D32" s="731"/>
      <c r="E32" s="731"/>
      <c r="F32" s="268">
        <f t="shared" si="0"/>
        <v>332941.04999999993</v>
      </c>
      <c r="G32" s="445">
        <f>IF(G$8='5.Variables'!$B$10,+'5.Variables'!$M22,+IF(G$8='5.Variables'!$B$33,+'5.Variables'!$M45,+IF(G$8='5.Variables'!$B$56,+'5.Variables'!$M59,+IF(G$8='5.Variables'!$B$70,+'5.Variables'!$M73,+IF(G$8='5.Variables'!$B$84,+'5.Variables'!$M87,+IF(G$8='5.Variables'!$B$98,+'5.Variables'!$M101,0))))))</f>
        <v>367.5</v>
      </c>
      <c r="H32" s="445">
        <f>IF(H$8='5.Variables'!$B$10,+'5.Variables'!$M22,+IF(H$8='5.Variables'!$B$33,+'5.Variables'!$M45,+IF(H$8='5.Variables'!$B$56,+'5.Variables'!$M59,+IF(H$8='5.Variables'!$B$70,+'5.Variables'!$M73,+IF(H$8='5.Variables'!$B$84,+'5.Variables'!$M87,+IF(H$8='5.Variables'!$B$98,+'5.Variables'!$M101,0))))))</f>
        <v>0</v>
      </c>
      <c r="I32" s="445">
        <f>IF(I$8='5.Variables'!$B$10,+'5.Variables'!$M22,+IF(I$8='5.Variables'!$B$33,+'5.Variables'!$M45,+IF(I$8='5.Variables'!$B$56,+'5.Variables'!$M59,+IF(I$8='5.Variables'!$B$70,+'5.Variables'!$M73,+IF(I$8='5.Variables'!$B$84,+'5.Variables'!$M87,+IF(I$8='5.Variables'!$B$98,+'5.Variables'!$M101,0))))))</f>
        <v>30</v>
      </c>
      <c r="J32" s="445">
        <f>IF(J$8='5.Variables'!$B$10,+'5.Variables'!$M22,+IF(J$8='5.Variables'!$B$33,+'5.Variables'!$M45,+IF(J$8='5.Variables'!$B$56,+'5.Variables'!$M59,+IF(J$8='5.Variables'!$B$70,+'5.Variables'!$M73,+IF(J$8='5.Variables'!$B$84,+'5.Variables'!$M87,+IF(J$8='5.Variables'!$B$98,+'5.Variables'!$M101,0))))))</f>
        <v>1</v>
      </c>
      <c r="K32" s="445">
        <f>IF(K$8='5.Variables'!$B$10,+'5.Variables'!$M22,+IF(K$8='5.Variables'!$B$33,+'5.Variables'!$M45,+IF(K$8='5.Variables'!$B$56,+'5.Variables'!$M59,+IF(K$8='5.Variables'!$B$70,+'5.Variables'!$M73,+IF(K$8='5.Variables'!$B$84,+'5.Variables'!$M87,+IF(K$8='5.Variables'!$B$98,+'5.Variables'!$M101,0))))))</f>
        <v>0</v>
      </c>
      <c r="L32" s="445">
        <f>IF(L$8='5.Variables'!$B$10,+'5.Variables'!$M22,+IF(L$8='5.Variables'!$B$33,+'5.Variables'!$M45,+IF(L$8='5.Variables'!$B$56,+'5.Variables'!$M59,+IF(L$8='5.Variables'!$B$70,+'5.Variables'!$M73,+IF(L$8='5.Variables'!$B$84,+'5.Variables'!$M87,+IF(L$8='5.Variables'!$B$98,+'5.Variables'!$M101,0))))))</f>
        <v>0</v>
      </c>
      <c r="M32" s="240"/>
      <c r="N32" s="268">
        <f t="shared" si="2"/>
        <v>321733.24165322818</v>
      </c>
      <c r="O32" s="272"/>
      <c r="P32" s="240"/>
      <c r="Q32" t="s">
        <v>579</v>
      </c>
      <c r="R32"/>
      <c r="S32"/>
      <c r="T32"/>
      <c r="U32"/>
      <c r="V32"/>
      <c r="W32"/>
      <c r="X32"/>
      <c r="Y32"/>
      <c r="Z32" s="264"/>
      <c r="AA32" s="240"/>
      <c r="AB32" s="240"/>
      <c r="AC32" s="240"/>
      <c r="AD32" s="240"/>
      <c r="AE32" s="240"/>
      <c r="AF32" s="240"/>
      <c r="AG32" s="240"/>
      <c r="AH32" s="240"/>
      <c r="AI32" s="240"/>
    </row>
    <row r="33" spans="1:35" ht="13.5" customHeight="1" x14ac:dyDescent="0.2">
      <c r="A33" s="675">
        <f t="shared" si="1"/>
        <v>24</v>
      </c>
      <c r="B33" s="266" t="str">
        <f>CONCATENATE('3. Consumption by Rate Class'!B39,"-",'3. Consumption by Rate Class'!C39)</f>
        <v>2006-December</v>
      </c>
      <c r="C33" s="270">
        <v>345364.95</v>
      </c>
      <c r="D33" s="731"/>
      <c r="E33" s="731"/>
      <c r="F33" s="268">
        <f t="shared" si="0"/>
        <v>345364.95</v>
      </c>
      <c r="G33" s="445">
        <f>IF(G$8='5.Variables'!$B$10,+'5.Variables'!$N22,+IF(G$8='5.Variables'!$B$33,+'5.Variables'!$N45,+IF(G$8='5.Variables'!$B$56,+'5.Variables'!$N59,+IF(G$8='5.Variables'!$B$70,+'5.Variables'!$N73,+IF(G$8='5.Variables'!$B$84,+'5.Variables'!$N87,+IF(G$8='5.Variables'!$B$98,+'5.Variables'!$N101,0))))))</f>
        <v>503.7</v>
      </c>
      <c r="H33" s="445">
        <f>IF(H$8='5.Variables'!$B$10,+'5.Variables'!$N22,+IF(H$8='5.Variables'!$B$33,+'5.Variables'!$N45,+IF(H$8='5.Variables'!$B$56,+'5.Variables'!$N59,+IF(H$8='5.Variables'!$B$70,+'5.Variables'!$N73,+IF(H$8='5.Variables'!$B$84,+'5.Variables'!$N87,+IF(H$8='5.Variables'!$B$98,+'5.Variables'!$N101,0))))))</f>
        <v>0</v>
      </c>
      <c r="I33" s="445">
        <f>IF(I$8='5.Variables'!$B$10,+'5.Variables'!$N22,+IF(I$8='5.Variables'!$B$33,+'5.Variables'!$N45,+IF(I$8='5.Variables'!$B$56,+'5.Variables'!$N59,+IF(I$8='5.Variables'!$B$70,+'5.Variables'!$N73,+IF(I$8='5.Variables'!$B$84,+'5.Variables'!$N87,+IF(I$8='5.Variables'!$B$98,+'5.Variables'!$N101,0))))))</f>
        <v>31</v>
      </c>
      <c r="J33" s="445">
        <f>IF(J$8='5.Variables'!$B$10,+'5.Variables'!$N22,+IF(J$8='5.Variables'!$B$33,+'5.Variables'!$N45,+IF(J$8='5.Variables'!$B$56,+'5.Variables'!$N59,+IF(J$8='5.Variables'!$B$70,+'5.Variables'!$N73,+IF(J$8='5.Variables'!$B$84,+'5.Variables'!$N87,+IF(J$8='5.Variables'!$B$98,+'5.Variables'!$N101,0))))))</f>
        <v>0</v>
      </c>
      <c r="K33" s="445">
        <f>IF(K$8='5.Variables'!$B$10,+'5.Variables'!$N22,+IF(K$8='5.Variables'!$B$33,+'5.Variables'!$N45,+IF(K$8='5.Variables'!$B$56,+'5.Variables'!$N59,+IF(K$8='5.Variables'!$B$70,+'5.Variables'!$N73,+IF(K$8='5.Variables'!$B$84,+'5.Variables'!$N87,+IF(K$8='5.Variables'!$B$98,+'5.Variables'!$N101,0))))))</f>
        <v>0</v>
      </c>
      <c r="L33" s="445">
        <f>IF(L$8='5.Variables'!$B$10,+'5.Variables'!$N22,+IF(L$8='5.Variables'!$B$33,+'5.Variables'!$N45,+IF(L$8='5.Variables'!$B$56,+'5.Variables'!$N59,+IF(L$8='5.Variables'!$B$70,+'5.Variables'!$N73,+IF(L$8='5.Variables'!$B$84,+'5.Variables'!$N87,+IF(L$8='5.Variables'!$B$98,+'5.Variables'!$N101,0))))))</f>
        <v>0</v>
      </c>
      <c r="M33" s="240"/>
      <c r="N33" s="268">
        <f t="shared" si="2"/>
        <v>338216.97705677082</v>
      </c>
      <c r="O33" s="272">
        <f>SUM(N22:N33)</f>
        <v>4137611.7550546294</v>
      </c>
      <c r="P33" s="240"/>
      <c r="Q33"/>
      <c r="R33"/>
      <c r="S33"/>
      <c r="T33"/>
      <c r="U33"/>
      <c r="V33"/>
      <c r="W33"/>
      <c r="X33"/>
      <c r="Y33"/>
      <c r="Z33" s="264"/>
      <c r="AA33" s="240"/>
      <c r="AB33" s="240"/>
      <c r="AC33" s="240"/>
      <c r="AD33" s="240"/>
      <c r="AE33" s="240"/>
      <c r="AF33" s="240"/>
      <c r="AG33" s="240"/>
      <c r="AH33" s="240"/>
      <c r="AI33" s="240"/>
    </row>
    <row r="34" spans="1:35" x14ac:dyDescent="0.2">
      <c r="A34" s="675">
        <f t="shared" si="1"/>
        <v>25</v>
      </c>
      <c r="B34" s="266" t="str">
        <f>CONCATENATE('3. Consumption by Rate Class'!B40,"-",'3. Consumption by Rate Class'!C40)</f>
        <v>2007-January</v>
      </c>
      <c r="C34" s="270">
        <v>337237.76000000001</v>
      </c>
      <c r="D34" s="731"/>
      <c r="E34" s="731"/>
      <c r="F34" s="268">
        <f t="shared" si="0"/>
        <v>337237.76000000001</v>
      </c>
      <c r="G34" s="445">
        <f>IF(G$8='5.Variables'!$B$10,+'5.Variables'!$C23,+IF(G$8='5.Variables'!$B$33,+'5.Variables'!$C46,+IF(G$8='5.Variables'!$B$56,+'5.Variables'!$C60,+IF(G$8='5.Variables'!$B$70,+'5.Variables'!$C74,+IF(G$8='5.Variables'!$B$84,+'5.Variables'!$C88,+IF(G$8='5.Variables'!$B$98,+'5.Variables'!$C102,0))))))</f>
        <v>668.8</v>
      </c>
      <c r="H34" s="445">
        <f>IF(H$8='5.Variables'!$B$10,+'5.Variables'!$C23,+IF(H$8='5.Variables'!$B$33,+'5.Variables'!$C46,+IF(H$8='5.Variables'!$B$56,+'5.Variables'!$C60,+IF(H$8='5.Variables'!$B$70,+'5.Variables'!$C74,+IF(H$8='5.Variables'!$B$84,+'5.Variables'!$C88,+IF(H$8='5.Variables'!$B$98,+'5.Variables'!$C102,0))))))</f>
        <v>0</v>
      </c>
      <c r="I34" s="445">
        <f>IF(I$8='5.Variables'!$B$10,+'5.Variables'!$C23,+IF(I$8='5.Variables'!$B$33,+'5.Variables'!$C46,+IF(I$8='5.Variables'!$B$56,+'5.Variables'!$C60,+IF(I$8='5.Variables'!$B$70,+'5.Variables'!$C74,+IF(I$8='5.Variables'!$B$84,+'5.Variables'!$C88,+IF(I$8='5.Variables'!$B$98,+'5.Variables'!$C102,0))))))</f>
        <v>31</v>
      </c>
      <c r="J34" s="445">
        <f>IF(J$8='5.Variables'!$B$10,+'5.Variables'!$C23,+IF(J$8='5.Variables'!$B$33,+'5.Variables'!$C46,+IF(J$8='5.Variables'!$B$56,+'5.Variables'!$C60,+IF(J$8='5.Variables'!$B$70,+'5.Variables'!$C74,+IF(J$8='5.Variables'!$B$84,+'5.Variables'!$C88,+IF(J$8='5.Variables'!$B$98,+'5.Variables'!$C102,0))))))</f>
        <v>0</v>
      </c>
      <c r="K34" s="445">
        <f>IF(K$8='5.Variables'!$B$10,+'5.Variables'!$C23,+IF(K$8='5.Variables'!$B$33,+'5.Variables'!$C46,+IF(K$8='5.Variables'!$B$56,+'5.Variables'!$C60,+IF(K$8='5.Variables'!$B$70,+'5.Variables'!$C74,+IF(K$8='5.Variables'!$B$84,+'5.Variables'!$C88,+IF(K$8='5.Variables'!$B$98,+'5.Variables'!$C102,0))))))</f>
        <v>0</v>
      </c>
      <c r="L34" s="445">
        <f>IF(L$8='5.Variables'!$B$10,+'5.Variables'!$C23,+IF(L$8='5.Variables'!$B$33,+'5.Variables'!$C46,+IF(L$8='5.Variables'!$B$56,+'5.Variables'!$C60,+IF(L$8='5.Variables'!$B$70,+'5.Variables'!$C74,+IF(L$8='5.Variables'!$B$84,+'5.Variables'!$C88,+IF(L$8='5.Variables'!$B$98,+'5.Variables'!$C102,0))))))</f>
        <v>0</v>
      </c>
      <c r="M34" s="240"/>
      <c r="N34" s="268">
        <f t="shared" si="2"/>
        <v>330223.92662285402</v>
      </c>
      <c r="O34" s="272"/>
      <c r="P34" s="240"/>
      <c r="Q34" s="273" t="s">
        <v>164</v>
      </c>
      <c r="R34" s="258"/>
      <c r="S34" s="258"/>
      <c r="T34" s="258"/>
      <c r="U34" s="258"/>
      <c r="V34" s="258"/>
      <c r="W34"/>
      <c r="X34"/>
      <c r="Y34"/>
      <c r="Z34" s="264"/>
      <c r="AA34" s="240"/>
      <c r="AB34" s="240"/>
      <c r="AC34" s="240"/>
      <c r="AD34" s="240"/>
      <c r="AE34" s="240"/>
      <c r="AF34" s="240"/>
      <c r="AG34" s="240"/>
      <c r="AH34" s="240"/>
      <c r="AI34" s="240"/>
    </row>
    <row r="35" spans="1:35" x14ac:dyDescent="0.2">
      <c r="A35" s="675">
        <f t="shared" si="1"/>
        <v>26</v>
      </c>
      <c r="B35" s="266" t="str">
        <f>CONCATENATE('3. Consumption by Rate Class'!B41,"-",'3. Consumption by Rate Class'!C41)</f>
        <v>2007-February</v>
      </c>
      <c r="C35" s="270">
        <v>302258.60999999993</v>
      </c>
      <c r="D35" s="731"/>
      <c r="E35" s="731"/>
      <c r="F35" s="268">
        <f t="shared" si="0"/>
        <v>302258.60999999993</v>
      </c>
      <c r="G35" s="445">
        <f>IF(G$8='5.Variables'!$B$10,+'5.Variables'!$D23,+IF(G$8='5.Variables'!$B$33,+'5.Variables'!$D46,+IF(G$8='5.Variables'!$B$56,+'5.Variables'!$D60,+IF(G$8='5.Variables'!$B$70,+'5.Variables'!$D74,+IF(G$8='5.Variables'!$B$84,+'5.Variables'!$D88,+IF(G$8='5.Variables'!$B$98,+'5.Variables'!$D102,0))))))</f>
        <v>729.3</v>
      </c>
      <c r="H35" s="445">
        <f>IF(H$8='5.Variables'!$B$10,+'5.Variables'!$D23,+IF(H$8='5.Variables'!$B$33,+'5.Variables'!$D46,+IF(H$8='5.Variables'!$B$56,+'5.Variables'!$D60,+IF(H$8='5.Variables'!$B$70,+'5.Variables'!$D74,+IF(H$8='5.Variables'!$B$84,+'5.Variables'!$D88,+IF(H$8='5.Variables'!$B$98,+'5.Variables'!$D102,0))))))</f>
        <v>0</v>
      </c>
      <c r="I35" s="445">
        <f>IF(I$8='5.Variables'!$B$10,+'5.Variables'!$D23,+IF(I$8='5.Variables'!$B$33,+'5.Variables'!$D46,+IF(I$8='5.Variables'!$B$56,+'5.Variables'!$D60,+IF(I$8='5.Variables'!$B$70,+'5.Variables'!$D74,+IF(I$8='5.Variables'!$B$84,+'5.Variables'!$D88,+IF(I$8='5.Variables'!$B$98,+'5.Variables'!$D102,0))))))</f>
        <v>28</v>
      </c>
      <c r="J35" s="445">
        <f>IF(J$8='5.Variables'!$B$10,+'5.Variables'!$D23,+IF(J$8='5.Variables'!$B$33,+'5.Variables'!$D46,+IF(J$8='5.Variables'!$B$56,+'5.Variables'!$D60,+IF(J$8='5.Variables'!$B$70,+'5.Variables'!$D74,+IF(J$8='5.Variables'!$B$84,+'5.Variables'!$D88,+IF(J$8='5.Variables'!$B$98,+'5.Variables'!$D102,0))))))</f>
        <v>0</v>
      </c>
      <c r="K35" s="445">
        <f>IF(K$8='5.Variables'!$B$10,+'5.Variables'!$D23,+IF(K$8='5.Variables'!$B$33,+'5.Variables'!$D46,+IF(K$8='5.Variables'!$B$56,+'5.Variables'!$D60,+IF(K$8='5.Variables'!$B$70,+'5.Variables'!$D74,+IF(K$8='5.Variables'!$B$84,+'5.Variables'!$D88,+IF(K$8='5.Variables'!$B$98,+'5.Variables'!$D102,0))))))</f>
        <v>0</v>
      </c>
      <c r="L35" s="445">
        <f>IF(L$8='5.Variables'!$B$10,+'5.Variables'!$D23,+IF(L$8='5.Variables'!$B$33,+'5.Variables'!$D46,+IF(L$8='5.Variables'!$B$56,+'5.Variables'!$D60,+IF(L$8='5.Variables'!$B$70,+'5.Variables'!$D74,+IF(L$8='5.Variables'!$B$84,+'5.Variables'!$D88,+IF(L$8='5.Variables'!$B$98,+'5.Variables'!$D102,0))))))</f>
        <v>0</v>
      </c>
      <c r="M35" s="240"/>
      <c r="N35" s="268">
        <f t="shared" si="2"/>
        <v>291179.68853306089</v>
      </c>
      <c r="O35" s="272"/>
      <c r="P35" s="240"/>
      <c r="Q35" s="906" t="s">
        <v>33</v>
      </c>
      <c r="R35" s="906" t="s">
        <v>42</v>
      </c>
      <c r="S35" s="906" t="s">
        <v>43</v>
      </c>
      <c r="T35" s="906" t="s">
        <v>31</v>
      </c>
      <c r="U35" s="906" t="s">
        <v>43</v>
      </c>
      <c r="V35" s="906" t="s">
        <v>44</v>
      </c>
      <c r="W35"/>
      <c r="X35"/>
      <c r="Y35"/>
      <c r="Z35" s="264"/>
      <c r="AA35" s="240"/>
      <c r="AB35" s="240"/>
      <c r="AC35" s="240"/>
      <c r="AD35" s="240"/>
      <c r="AE35" s="240"/>
      <c r="AF35" s="240"/>
      <c r="AG35" s="240"/>
      <c r="AH35" s="240"/>
      <c r="AI35" s="240"/>
    </row>
    <row r="36" spans="1:35" x14ac:dyDescent="0.2">
      <c r="A36" s="675">
        <f t="shared" si="1"/>
        <v>27</v>
      </c>
      <c r="B36" s="266" t="str">
        <f>CONCATENATE('3. Consumption by Rate Class'!B42,"-",'3. Consumption by Rate Class'!C42)</f>
        <v>2007-March</v>
      </c>
      <c r="C36" s="270">
        <v>332559.84999999998</v>
      </c>
      <c r="D36" s="731"/>
      <c r="E36" s="731"/>
      <c r="F36" s="268">
        <f t="shared" si="0"/>
        <v>332559.84999999998</v>
      </c>
      <c r="G36" s="445">
        <f>IF(G$8='5.Variables'!$B$10,+'5.Variables'!$E23,+IF(G$8='5.Variables'!$B$33,+'5.Variables'!$E46,+IF(G$8='5.Variables'!$B$56,+'5.Variables'!$E60,+IF(G$8='5.Variables'!$B$70,+'5.Variables'!$E74,+IF(G$8='5.Variables'!$B$84,+'5.Variables'!$E88,+IF(G$8='5.Variables'!$B$98,+'5.Variables'!$E102,0))))))</f>
        <v>559.9</v>
      </c>
      <c r="H36" s="445">
        <f>IF(H$8='5.Variables'!$B$10,+'5.Variables'!$E23,+IF(H$8='5.Variables'!$B$33,+'5.Variables'!$E46,+IF(H$8='5.Variables'!$B$56,+'5.Variables'!$E60,+IF(H$8='5.Variables'!$B$70,+'5.Variables'!$E74,+IF(H$8='5.Variables'!$B$84,+'5.Variables'!$E88,+IF(H$8='5.Variables'!$B$98,+'5.Variables'!$E102,0))))))</f>
        <v>0</v>
      </c>
      <c r="I36" s="445">
        <f>IF(I$8='5.Variables'!$B$10,+'5.Variables'!$E23,+IF(I$8='5.Variables'!$B$33,+'5.Variables'!$E46,+IF(I$8='5.Variables'!$B$56,+'5.Variables'!$E60,+IF(I$8='5.Variables'!$B$70,+'5.Variables'!$E74,+IF(I$8='5.Variables'!$B$84,+'5.Variables'!$E88,+IF(I$8='5.Variables'!$B$98,+'5.Variables'!$E102,0))))))</f>
        <v>31</v>
      </c>
      <c r="J36" s="445">
        <f>IF(J$8='5.Variables'!$B$10,+'5.Variables'!$E23,+IF(J$8='5.Variables'!$B$33,+'5.Variables'!$E46,+IF(J$8='5.Variables'!$B$56,+'5.Variables'!$E60,+IF(J$8='5.Variables'!$B$70,+'5.Variables'!$E74,+IF(J$8='5.Variables'!$B$84,+'5.Variables'!$E88,+IF(J$8='5.Variables'!$B$98,+'5.Variables'!$E102,0))))))</f>
        <v>1</v>
      </c>
      <c r="K36" s="445">
        <f>IF(K$8='5.Variables'!$B$10,+'5.Variables'!$E23,+IF(K$8='5.Variables'!$B$33,+'5.Variables'!$E46,+IF(K$8='5.Variables'!$B$56,+'5.Variables'!$E60,+IF(K$8='5.Variables'!$B$70,+'5.Variables'!$E74,+IF(K$8='5.Variables'!$B$84,+'5.Variables'!$E88,+IF(K$8='5.Variables'!$B$98,+'5.Variables'!$E102,0))))))</f>
        <v>0</v>
      </c>
      <c r="L36" s="445">
        <f>IF(L$8='5.Variables'!$B$10,+'5.Variables'!$E23,+IF(L$8='5.Variables'!$B$33,+'5.Variables'!$E46,+IF(L$8='5.Variables'!$B$56,+'5.Variables'!$E60,+IF(L$8='5.Variables'!$B$70,+'5.Variables'!$E74,+IF(L$8='5.Variables'!$B$84,+'5.Variables'!$E88,+IF(L$8='5.Variables'!$B$98,+'5.Variables'!$E102,0))))))</f>
        <v>0</v>
      </c>
      <c r="M36" s="240"/>
      <c r="N36" s="268">
        <f t="shared" si="2"/>
        <v>324456.91507724614</v>
      </c>
      <c r="O36" s="272"/>
      <c r="P36" s="240"/>
      <c r="Q36" s="246">
        <f>'4. Customer Growth'!B9</f>
        <v>2005</v>
      </c>
      <c r="R36" s="677">
        <f>SUM(F10:F21)</f>
        <v>2598159.8200000003</v>
      </c>
      <c r="S36" s="677"/>
      <c r="T36" s="677">
        <f>O21</f>
        <v>2565573.5031019831</v>
      </c>
      <c r="U36" s="677"/>
      <c r="V36" s="275">
        <f t="shared" ref="V36:V45" si="3">(T36-R36)/R36</f>
        <v>-1.2542075605655846E-2</v>
      </c>
      <c r="W36"/>
      <c r="X36"/>
      <c r="Y36"/>
      <c r="Z36" s="264"/>
      <c r="AA36" s="240"/>
      <c r="AB36" s="240"/>
      <c r="AC36" s="240"/>
      <c r="AD36" s="240"/>
      <c r="AE36" s="240"/>
      <c r="AF36" s="240"/>
      <c r="AG36" s="240"/>
      <c r="AH36" s="240"/>
      <c r="AI36" s="240"/>
    </row>
    <row r="37" spans="1:35" x14ac:dyDescent="0.2">
      <c r="A37" s="675">
        <f t="shared" si="1"/>
        <v>28</v>
      </c>
      <c r="B37" s="266" t="str">
        <f>CONCATENATE('3. Consumption by Rate Class'!B43,"-",'3. Consumption by Rate Class'!C43)</f>
        <v>2007-April</v>
      </c>
      <c r="C37" s="270">
        <v>323203.26</v>
      </c>
      <c r="D37" s="731"/>
      <c r="E37" s="731"/>
      <c r="F37" s="268">
        <f t="shared" si="0"/>
        <v>323203.26</v>
      </c>
      <c r="G37" s="445">
        <f>IF(G$8='5.Variables'!$B$10,+'5.Variables'!$F23,+IF(G$8='5.Variables'!$B$33,+'5.Variables'!$F46,+IF(G$8='5.Variables'!$B$56,+'5.Variables'!$F60,+IF(G$8='5.Variables'!$B$70,+'5.Variables'!$F74,+IF(G$8='5.Variables'!$B$84,+'5.Variables'!$F88,+IF(G$8='5.Variables'!$B$98,+'5.Variables'!$F102,0))))))</f>
        <v>402.3</v>
      </c>
      <c r="H37" s="445">
        <f>IF(H$8='5.Variables'!$B$10,+'5.Variables'!$F23,+IF(H$8='5.Variables'!$B$33,+'5.Variables'!$F46,+IF(H$8='5.Variables'!$B$56,+'5.Variables'!$F60,+IF(H$8='5.Variables'!$B$70,+'5.Variables'!$F74,+IF(H$8='5.Variables'!$B$84,+'5.Variables'!$F88,+IF(H$8='5.Variables'!$B$98,+'5.Variables'!$F102,0))))))</f>
        <v>0</v>
      </c>
      <c r="I37" s="445">
        <f>IF(I$8='5.Variables'!$B$10,+'5.Variables'!$F23,+IF(I$8='5.Variables'!$B$33,+'5.Variables'!$F46,+IF(I$8='5.Variables'!$B$56,+'5.Variables'!$F60,+IF(I$8='5.Variables'!$B$70,+'5.Variables'!$F74,+IF(I$8='5.Variables'!$B$84,+'5.Variables'!$F88,+IF(I$8='5.Variables'!$B$98,+'5.Variables'!$F102,0))))))</f>
        <v>30</v>
      </c>
      <c r="J37" s="445">
        <f>IF(J$8='5.Variables'!$B$10,+'5.Variables'!$F23,+IF(J$8='5.Variables'!$B$33,+'5.Variables'!$F46,+IF(J$8='5.Variables'!$B$56,+'5.Variables'!$F60,+IF(J$8='5.Variables'!$B$70,+'5.Variables'!$F74,+IF(J$8='5.Variables'!$B$84,+'5.Variables'!$F88,+IF(J$8='5.Variables'!$B$98,+'5.Variables'!$F102,0))))))</f>
        <v>1</v>
      </c>
      <c r="K37" s="445">
        <f>IF(K$8='5.Variables'!$B$10,+'5.Variables'!$F23,+IF(K$8='5.Variables'!$B$33,+'5.Variables'!$F46,+IF(K$8='5.Variables'!$B$56,+'5.Variables'!$F60,+IF(K$8='5.Variables'!$B$70,+'5.Variables'!$F74,+IF(K$8='5.Variables'!$B$84,+'5.Variables'!$F88,+IF(K$8='5.Variables'!$B$98,+'5.Variables'!$F102,0))))))</f>
        <v>0</v>
      </c>
      <c r="L37" s="445">
        <f>IF(L$8='5.Variables'!$B$10,+'5.Variables'!$F23,+IF(L$8='5.Variables'!$B$33,+'5.Variables'!$F46,+IF(L$8='5.Variables'!$B$56,+'5.Variables'!$F60,+IF(L$8='5.Variables'!$B$70,+'5.Variables'!$F74,+IF(L$8='5.Variables'!$B$84,+'5.Variables'!$F88,+IF(L$8='5.Variables'!$B$98,+'5.Variables'!$F102,0))))))</f>
        <v>0</v>
      </c>
      <c r="M37" s="240"/>
      <c r="N37" s="268">
        <f t="shared" si="2"/>
        <v>320048.45573499496</v>
      </c>
      <c r="O37" s="272"/>
      <c r="P37" s="240"/>
      <c r="Q37" s="246">
        <f>'4. Customer Growth'!B10</f>
        <v>2006</v>
      </c>
      <c r="R37" s="677">
        <f>SUM(F22:F33)</f>
        <v>4233263.55</v>
      </c>
      <c r="S37" s="275">
        <f>(R37-R36)/R36</f>
        <v>0.62933146660700778</v>
      </c>
      <c r="T37" s="677">
        <f>O33</f>
        <v>4137611.7550546294</v>
      </c>
      <c r="U37" s="275">
        <f>(T37-T36)/T36</f>
        <v>0.61274340807305916</v>
      </c>
      <c r="V37" s="275">
        <f t="shared" si="3"/>
        <v>-2.2595284658185388E-2</v>
      </c>
      <c r="W37"/>
      <c r="X37"/>
      <c r="Y37"/>
      <c r="Z37" s="240"/>
      <c r="AA37" s="240"/>
      <c r="AB37" s="240"/>
      <c r="AC37" s="240"/>
      <c r="AD37" s="240"/>
      <c r="AE37" s="240"/>
      <c r="AF37" s="240"/>
      <c r="AG37" s="240"/>
      <c r="AH37" s="240"/>
      <c r="AI37" s="240"/>
    </row>
    <row r="38" spans="1:35" x14ac:dyDescent="0.2">
      <c r="A38" s="675">
        <f t="shared" si="1"/>
        <v>29</v>
      </c>
      <c r="B38" s="266" t="str">
        <f>CONCATENATE('3. Consumption by Rate Class'!B44,"-",'3. Consumption by Rate Class'!C44)</f>
        <v>2007-May</v>
      </c>
      <c r="C38" s="270">
        <v>357832.93</v>
      </c>
      <c r="D38" s="731"/>
      <c r="E38" s="731"/>
      <c r="F38" s="268">
        <f t="shared" si="0"/>
        <v>357832.93</v>
      </c>
      <c r="G38" s="445">
        <f>IF(G$8='5.Variables'!$B$10,+'5.Variables'!$G23,+IF(G$8='5.Variables'!$B$33,+'5.Variables'!$G46,+IF(G$8='5.Variables'!$B$56,+'5.Variables'!$G60,+IF(G$8='5.Variables'!$B$70,+'5.Variables'!$G74,+IF(G$8='5.Variables'!$B$84,+'5.Variables'!$G88,+IF(G$8='5.Variables'!$B$98,+'5.Variables'!$G102,0))))))</f>
        <v>185.5</v>
      </c>
      <c r="H38" s="445">
        <f>IF(H$8='5.Variables'!$B$10,+'5.Variables'!$G23,+IF(H$8='5.Variables'!$B$33,+'5.Variables'!$G46,+IF(H$8='5.Variables'!$B$56,+'5.Variables'!$G60,+IF(H$8='5.Variables'!$B$70,+'5.Variables'!$G74,+IF(H$8='5.Variables'!$B$84,+'5.Variables'!$G88,+IF(H$8='5.Variables'!$B$98,+'5.Variables'!$G102,0))))))</f>
        <v>18</v>
      </c>
      <c r="I38" s="445">
        <f>IF(I$8='5.Variables'!$B$10,+'5.Variables'!$G23,+IF(I$8='5.Variables'!$B$33,+'5.Variables'!$G46,+IF(I$8='5.Variables'!$B$56,+'5.Variables'!$G60,+IF(I$8='5.Variables'!$B$70,+'5.Variables'!$G74,+IF(I$8='5.Variables'!$B$84,+'5.Variables'!$G88,+IF(I$8='5.Variables'!$B$98,+'5.Variables'!$G102,0))))))</f>
        <v>31</v>
      </c>
      <c r="J38" s="445">
        <f>IF(J$8='5.Variables'!$B$10,+'5.Variables'!$G23,+IF(J$8='5.Variables'!$B$33,+'5.Variables'!$G46,+IF(J$8='5.Variables'!$B$56,+'5.Variables'!$G60,+IF(J$8='5.Variables'!$B$70,+'5.Variables'!$G74,+IF(J$8='5.Variables'!$B$84,+'5.Variables'!$G88,+IF(J$8='5.Variables'!$B$98,+'5.Variables'!$G102,0))))))</f>
        <v>1</v>
      </c>
      <c r="K38" s="445">
        <f>IF(K$8='5.Variables'!$B$10,+'5.Variables'!$G23,+IF(K$8='5.Variables'!$B$33,+'5.Variables'!$G46,+IF(K$8='5.Variables'!$B$56,+'5.Variables'!$G60,+IF(K$8='5.Variables'!$B$70,+'5.Variables'!$G74,+IF(K$8='5.Variables'!$B$84,+'5.Variables'!$G88,+IF(K$8='5.Variables'!$B$98,+'5.Variables'!$G102,0))))))</f>
        <v>0</v>
      </c>
      <c r="L38" s="445">
        <f>IF(L$8='5.Variables'!$B$10,+'5.Variables'!$G23,+IF(L$8='5.Variables'!$B$33,+'5.Variables'!$G46,+IF(L$8='5.Variables'!$B$56,+'5.Variables'!$G60,+IF(L$8='5.Variables'!$B$70,+'5.Variables'!$G74,+IF(L$8='5.Variables'!$B$84,+'5.Variables'!$G88,+IF(L$8='5.Variables'!$B$98,+'5.Variables'!$G102,0))))))</f>
        <v>0</v>
      </c>
      <c r="M38" s="240"/>
      <c r="N38" s="268">
        <f t="shared" si="2"/>
        <v>349480.429441182</v>
      </c>
      <c r="O38" s="272"/>
      <c r="P38" s="240"/>
      <c r="Q38" s="246">
        <f>'4. Customer Growth'!B11</f>
        <v>2007</v>
      </c>
      <c r="R38" s="677">
        <f>SUM(F34:F45)</f>
        <v>4141943.81</v>
      </c>
      <c r="S38" s="275">
        <f t="shared" ref="S38:U45" si="4">(R38-R37)/R37</f>
        <v>-2.157194772340592E-2</v>
      </c>
      <c r="T38" s="677">
        <f>O45</f>
        <v>4122882.5316565009</v>
      </c>
      <c r="U38" s="275">
        <f t="shared" si="4"/>
        <v>-3.5598369953717545E-3</v>
      </c>
      <c r="V38" s="275">
        <f t="shared" si="3"/>
        <v>-4.6020127789949839E-3</v>
      </c>
      <c r="W38"/>
      <c r="X38"/>
      <c r="Y38"/>
      <c r="Z38" s="240"/>
      <c r="AA38" s="240"/>
      <c r="AB38" s="240"/>
      <c r="AC38" s="240"/>
      <c r="AD38" s="240"/>
      <c r="AE38" s="240"/>
      <c r="AF38" s="240"/>
      <c r="AG38" s="240"/>
      <c r="AH38" s="240"/>
      <c r="AI38" s="240"/>
    </row>
    <row r="39" spans="1:35" x14ac:dyDescent="0.2">
      <c r="A39" s="675">
        <f t="shared" si="1"/>
        <v>30</v>
      </c>
      <c r="B39" s="266" t="str">
        <f>CONCATENATE('3. Consumption by Rate Class'!B45,"-",'3. Consumption by Rate Class'!C45)</f>
        <v>2007-June</v>
      </c>
      <c r="C39" s="270">
        <v>372632.13</v>
      </c>
      <c r="D39" s="731"/>
      <c r="E39" s="731"/>
      <c r="F39" s="268">
        <f t="shared" si="0"/>
        <v>372632.13</v>
      </c>
      <c r="G39" s="445">
        <f>IF(G$8='5.Variables'!$B$10,+'5.Variables'!$H23,+IF(G$8='5.Variables'!$B$33,+'5.Variables'!$H46,+IF(G$8='5.Variables'!$B$56,+'5.Variables'!$H60,+IF(G$8='5.Variables'!$B$70,+'5.Variables'!$H74,+IF(G$8='5.Variables'!$B$84,+'5.Variables'!$H88,+IF(G$8='5.Variables'!$B$98,+'5.Variables'!$H102,0))))))</f>
        <v>45.6</v>
      </c>
      <c r="H39" s="445">
        <f>IF(H$8='5.Variables'!$B$10,+'5.Variables'!$H23,+IF(H$8='5.Variables'!$B$33,+'5.Variables'!$H46,+IF(H$8='5.Variables'!$B$56,+'5.Variables'!$H60,+IF(H$8='5.Variables'!$B$70,+'5.Variables'!$H74,+IF(H$8='5.Variables'!$B$84,+'5.Variables'!$H88,+IF(H$8='5.Variables'!$B$98,+'5.Variables'!$H102,0))))))</f>
        <v>59.8</v>
      </c>
      <c r="I39" s="445">
        <f>IF(I$8='5.Variables'!$B$10,+'5.Variables'!$H23,+IF(I$8='5.Variables'!$B$33,+'5.Variables'!$H46,+IF(I$8='5.Variables'!$B$56,+'5.Variables'!$H60,+IF(I$8='5.Variables'!$B$70,+'5.Variables'!$H74,+IF(I$8='5.Variables'!$B$84,+'5.Variables'!$H88,+IF(I$8='5.Variables'!$B$98,+'5.Variables'!$H102,0))))))</f>
        <v>30</v>
      </c>
      <c r="J39" s="445">
        <f>IF(J$8='5.Variables'!$B$10,+'5.Variables'!$H23,+IF(J$8='5.Variables'!$B$33,+'5.Variables'!$H46,+IF(J$8='5.Variables'!$B$56,+'5.Variables'!$H60,+IF(J$8='5.Variables'!$B$70,+'5.Variables'!$H74,+IF(J$8='5.Variables'!$B$84,+'5.Variables'!$H88,+IF(J$8='5.Variables'!$B$98,+'5.Variables'!$H102,0))))))</f>
        <v>0</v>
      </c>
      <c r="K39" s="445">
        <f>IF(K$8='5.Variables'!$B$10,+'5.Variables'!$H23,+IF(K$8='5.Variables'!$B$33,+'5.Variables'!$H46,+IF(K$8='5.Variables'!$B$56,+'5.Variables'!$H60,+IF(K$8='5.Variables'!$B$70,+'5.Variables'!$H74,+IF(K$8='5.Variables'!$B$84,+'5.Variables'!$H88,+IF(K$8='5.Variables'!$B$98,+'5.Variables'!$H102,0))))))</f>
        <v>0</v>
      </c>
      <c r="L39" s="445">
        <f>IF(L$8='5.Variables'!$B$10,+'5.Variables'!$H23,+IF(L$8='5.Variables'!$B$33,+'5.Variables'!$H46,+IF(L$8='5.Variables'!$B$56,+'5.Variables'!$H60,+IF(L$8='5.Variables'!$B$70,+'5.Variables'!$H74,+IF(L$8='5.Variables'!$B$84,+'5.Variables'!$H88,+IF(L$8='5.Variables'!$B$98,+'5.Variables'!$H102,0))))))</f>
        <v>0</v>
      </c>
      <c r="M39" s="240"/>
      <c r="N39" s="268">
        <f t="shared" si="2"/>
        <v>371271.90734736569</v>
      </c>
      <c r="O39" s="272"/>
      <c r="P39" s="240"/>
      <c r="Q39" s="246">
        <f>'4. Customer Growth'!B12</f>
        <v>2008</v>
      </c>
      <c r="R39" s="677">
        <f>SUM(F46:F57)</f>
        <v>4099392.6199999996</v>
      </c>
      <c r="S39" s="275">
        <f t="shared" si="4"/>
        <v>-1.0273241731881537E-2</v>
      </c>
      <c r="T39" s="677">
        <f>O57</f>
        <v>4102071.2514470448</v>
      </c>
      <c r="U39" s="275">
        <f t="shared" si="4"/>
        <v>-5.0477499782402247E-3</v>
      </c>
      <c r="V39" s="275">
        <f t="shared" si="3"/>
        <v>6.5342154200519903E-4</v>
      </c>
      <c r="W39"/>
      <c r="X39"/>
      <c r="Y39"/>
      <c r="Z39" s="240"/>
      <c r="AA39" s="240"/>
      <c r="AB39" s="240"/>
      <c r="AC39" s="240"/>
      <c r="AD39" s="240"/>
      <c r="AE39" s="240"/>
      <c r="AF39" s="240"/>
      <c r="AG39" s="240"/>
      <c r="AH39" s="240"/>
      <c r="AI39" s="240"/>
    </row>
    <row r="40" spans="1:35" x14ac:dyDescent="0.2">
      <c r="A40" s="675">
        <f t="shared" si="1"/>
        <v>31</v>
      </c>
      <c r="B40" s="266" t="str">
        <f>CONCATENATE('3. Consumption by Rate Class'!B46,"-",'3. Consumption by Rate Class'!C46)</f>
        <v>2007-July</v>
      </c>
      <c r="C40" s="270">
        <v>386222.04</v>
      </c>
      <c r="D40" s="731"/>
      <c r="E40" s="731"/>
      <c r="F40" s="268">
        <f t="shared" si="0"/>
        <v>386222.04</v>
      </c>
      <c r="G40" s="445">
        <f>IF(G$8='5.Variables'!$B$10,+'5.Variables'!$I23,+IF(G$8='5.Variables'!$B$33,+'5.Variables'!$I46,+IF(G$8='5.Variables'!$B$56,+'5.Variables'!$I60,+IF(G$8='5.Variables'!$B$70,+'5.Variables'!$I74,+IF(G$8='5.Variables'!$B$84,+'5.Variables'!$I88,+IF(G$8='5.Variables'!$B$98,+'5.Variables'!$I102,0))))))</f>
        <v>13.4</v>
      </c>
      <c r="H40" s="445">
        <f>IF(H$8='5.Variables'!$B$10,+'5.Variables'!$I23,+IF(H$8='5.Variables'!$B$33,+'5.Variables'!$I46,+IF(H$8='5.Variables'!$B$56,+'5.Variables'!$I60,+IF(H$8='5.Variables'!$B$70,+'5.Variables'!$I74,+IF(H$8='5.Variables'!$B$84,+'5.Variables'!$I88,+IF(H$8='5.Variables'!$B$98,+'5.Variables'!$I102,0))))))</f>
        <v>64.400000000000006</v>
      </c>
      <c r="I40" s="445">
        <f>IF(I$8='5.Variables'!$B$10,+'5.Variables'!$I23,+IF(I$8='5.Variables'!$B$33,+'5.Variables'!$I46,+IF(I$8='5.Variables'!$B$56,+'5.Variables'!$I60,+IF(I$8='5.Variables'!$B$70,+'5.Variables'!$I74,+IF(I$8='5.Variables'!$B$84,+'5.Variables'!$I88,+IF(I$8='5.Variables'!$B$98,+'5.Variables'!$I102,0))))))</f>
        <v>31</v>
      </c>
      <c r="J40" s="445">
        <f>IF(J$8='5.Variables'!$B$10,+'5.Variables'!$I23,+IF(J$8='5.Variables'!$B$33,+'5.Variables'!$I46,+IF(J$8='5.Variables'!$B$56,+'5.Variables'!$I60,+IF(J$8='5.Variables'!$B$70,+'5.Variables'!$I74,+IF(J$8='5.Variables'!$B$84,+'5.Variables'!$I88,+IF(J$8='5.Variables'!$B$98,+'5.Variables'!$I102,0))))))</f>
        <v>0</v>
      </c>
      <c r="K40" s="445">
        <f>IF(K$8='5.Variables'!$B$10,+'5.Variables'!$I23,+IF(K$8='5.Variables'!$B$33,+'5.Variables'!$I46,+IF(K$8='5.Variables'!$B$56,+'5.Variables'!$I60,+IF(K$8='5.Variables'!$B$70,+'5.Variables'!$I74,+IF(K$8='5.Variables'!$B$84,+'5.Variables'!$I88,+IF(K$8='5.Variables'!$B$98,+'5.Variables'!$I102,0))))))</f>
        <v>0</v>
      </c>
      <c r="L40" s="445">
        <f>IF(L$8='5.Variables'!$B$10,+'5.Variables'!$I23,+IF(L$8='5.Variables'!$B$33,+'5.Variables'!$I46,+IF(L$8='5.Variables'!$B$56,+'5.Variables'!$I60,+IF(L$8='5.Variables'!$B$70,+'5.Variables'!$I74,+IF(L$8='5.Variables'!$B$84,+'5.Variables'!$I88,+IF(L$8='5.Variables'!$B$98,+'5.Variables'!$I102,0))))))</f>
        <v>0</v>
      </c>
      <c r="M40" s="240"/>
      <c r="N40" s="268">
        <f t="shared" si="2"/>
        <v>386631.93292622746</v>
      </c>
      <c r="O40" s="272"/>
      <c r="P40" s="240"/>
      <c r="Q40" s="246">
        <f>'4. Customer Growth'!B13</f>
        <v>2009</v>
      </c>
      <c r="R40" s="677">
        <f>SUM(F58:F69)</f>
        <v>4140210.33</v>
      </c>
      <c r="S40" s="275">
        <f t="shared" si="4"/>
        <v>9.9570140710260706E-3</v>
      </c>
      <c r="T40" s="677">
        <f>O69</f>
        <v>4052678.8787053344</v>
      </c>
      <c r="U40" s="275">
        <f t="shared" si="4"/>
        <v>-1.2040837351200753E-2</v>
      </c>
      <c r="V40" s="275">
        <f t="shared" si="3"/>
        <v>-2.1141788536783272E-2</v>
      </c>
      <c r="W40"/>
      <c r="X40"/>
      <c r="Y40"/>
      <c r="Z40" s="240"/>
      <c r="AA40" s="240"/>
      <c r="AB40" s="240"/>
      <c r="AC40" s="240"/>
      <c r="AD40" s="240"/>
      <c r="AE40" s="240"/>
      <c r="AF40" s="240"/>
      <c r="AG40" s="240"/>
      <c r="AH40" s="240"/>
      <c r="AI40" s="240"/>
    </row>
    <row r="41" spans="1:35" x14ac:dyDescent="0.2">
      <c r="A41" s="675">
        <f t="shared" si="1"/>
        <v>32</v>
      </c>
      <c r="B41" s="266" t="str">
        <f>CONCATENATE('3. Consumption by Rate Class'!B47,"-",'3. Consumption by Rate Class'!C47)</f>
        <v>2007-August</v>
      </c>
      <c r="C41" s="270">
        <v>379514.46</v>
      </c>
      <c r="D41" s="731"/>
      <c r="E41" s="731"/>
      <c r="F41" s="268">
        <f t="shared" si="0"/>
        <v>379514.46</v>
      </c>
      <c r="G41" s="445">
        <f>IF(G$8='5.Variables'!$B$10,+'5.Variables'!$J23,+IF(G$8='5.Variables'!$B$33,+'5.Variables'!$J46,+IF(G$8='5.Variables'!$B$56,+'5.Variables'!$J60,+IF(G$8='5.Variables'!$B$70,+'5.Variables'!$J74,+IF(G$8='5.Variables'!$B$84,+'5.Variables'!$J88,+IF(G$8='5.Variables'!$B$98,+'5.Variables'!$J102,0))))))</f>
        <v>17.5</v>
      </c>
      <c r="H41" s="445">
        <f>IF(H$8='5.Variables'!$B$10,+'5.Variables'!$J23,+IF(H$8='5.Variables'!$B$33,+'5.Variables'!$J46,+IF(H$8='5.Variables'!$B$56,+'5.Variables'!$J60,+IF(H$8='5.Variables'!$B$70,+'5.Variables'!$J74,+IF(H$8='5.Variables'!$B$84,+'5.Variables'!$J88,+IF(H$8='5.Variables'!$B$98,+'5.Variables'!$J102,0))))))</f>
        <v>88.7</v>
      </c>
      <c r="I41" s="445">
        <f>IF(I$8='5.Variables'!$B$10,+'5.Variables'!$J23,+IF(I$8='5.Variables'!$B$33,+'5.Variables'!$J46,+IF(I$8='5.Variables'!$B$56,+'5.Variables'!$J60,+IF(I$8='5.Variables'!$B$70,+'5.Variables'!$J74,+IF(I$8='5.Variables'!$B$84,+'5.Variables'!$J88,+IF(I$8='5.Variables'!$B$98,+'5.Variables'!$J102,0))))))</f>
        <v>31</v>
      </c>
      <c r="J41" s="445">
        <f>IF(J$8='5.Variables'!$B$10,+'5.Variables'!$J23,+IF(J$8='5.Variables'!$B$33,+'5.Variables'!$J46,+IF(J$8='5.Variables'!$B$56,+'5.Variables'!$J60,+IF(J$8='5.Variables'!$B$70,+'5.Variables'!$J74,+IF(J$8='5.Variables'!$B$84,+'5.Variables'!$J88,+IF(J$8='5.Variables'!$B$98,+'5.Variables'!$J102,0))))))</f>
        <v>0</v>
      </c>
      <c r="K41" s="445">
        <f>IF(K$8='5.Variables'!$B$10,+'5.Variables'!$J23,+IF(K$8='5.Variables'!$B$33,+'5.Variables'!$J46,+IF(K$8='5.Variables'!$B$56,+'5.Variables'!$J60,+IF(K$8='5.Variables'!$B$70,+'5.Variables'!$J74,+IF(K$8='5.Variables'!$B$84,+'5.Variables'!$J88,+IF(K$8='5.Variables'!$B$98,+'5.Variables'!$J102,0))))))</f>
        <v>0</v>
      </c>
      <c r="L41" s="445">
        <f>IF(L$8='5.Variables'!$B$10,+'5.Variables'!$J23,+IF(L$8='5.Variables'!$B$33,+'5.Variables'!$J46,+IF(L$8='5.Variables'!$B$56,+'5.Variables'!$J60,+IF(L$8='5.Variables'!$B$70,+'5.Variables'!$J74,+IF(L$8='5.Variables'!$B$84,+'5.Variables'!$J88,+IF(L$8='5.Variables'!$B$98,+'5.Variables'!$J102,0))))))</f>
        <v>0</v>
      </c>
      <c r="M41" s="240"/>
      <c r="N41" s="268">
        <f t="shared" si="2"/>
        <v>395745.11936419155</v>
      </c>
      <c r="O41" s="272"/>
      <c r="P41" s="240"/>
      <c r="Q41" s="246">
        <f>'4. Customer Growth'!B14</f>
        <v>2010</v>
      </c>
      <c r="R41" s="677">
        <f>SUM(F70:F81)</f>
        <v>4263662.8500000006</v>
      </c>
      <c r="S41" s="275">
        <f t="shared" si="4"/>
        <v>2.9817934394651992E-2</v>
      </c>
      <c r="T41" s="677">
        <f>O81</f>
        <v>4150412.6779563678</v>
      </c>
      <c r="U41" s="275">
        <f t="shared" si="4"/>
        <v>2.4115850817732546E-2</v>
      </c>
      <c r="V41" s="275">
        <f t="shared" si="3"/>
        <v>-2.65617090346702E-2</v>
      </c>
      <c r="W41"/>
      <c r="X41"/>
      <c r="Y41"/>
      <c r="Z41" s="240"/>
      <c r="AA41" s="240"/>
      <c r="AB41" s="240"/>
      <c r="AC41" s="240"/>
      <c r="AD41" s="240"/>
      <c r="AE41" s="240"/>
      <c r="AF41" s="240"/>
      <c r="AG41" s="240"/>
      <c r="AH41" s="240"/>
      <c r="AI41" s="240"/>
    </row>
    <row r="42" spans="1:35" x14ac:dyDescent="0.2">
      <c r="A42" s="675">
        <f t="shared" si="1"/>
        <v>33</v>
      </c>
      <c r="B42" s="266" t="str">
        <f>CONCATENATE('3. Consumption by Rate Class'!B48,"-",'3. Consumption by Rate Class'!C48)</f>
        <v>2007-September</v>
      </c>
      <c r="C42" s="270">
        <v>353933.64</v>
      </c>
      <c r="D42" s="731"/>
      <c r="E42" s="731"/>
      <c r="F42" s="268">
        <f t="shared" ref="F42:F73" si="5">SUM(C42:E42)</f>
        <v>353933.64</v>
      </c>
      <c r="G42" s="445">
        <f>IF(G$8='5.Variables'!$B$10,+'5.Variables'!$K23,+IF(G$8='5.Variables'!$B$33,+'5.Variables'!$K46,+IF(G$8='5.Variables'!$B$56,+'5.Variables'!$K60,+IF(G$8='5.Variables'!$B$70,+'5.Variables'!$K74,+IF(G$8='5.Variables'!$B$84,+'5.Variables'!$K88,+IF(G$8='5.Variables'!$B$98,+'5.Variables'!$K102,0))))))</f>
        <v>50.4</v>
      </c>
      <c r="H42" s="445">
        <f>IF(H$8='5.Variables'!$B$10,+'5.Variables'!$K23,+IF(H$8='5.Variables'!$B$33,+'5.Variables'!$K46,+IF(H$8='5.Variables'!$B$56,+'5.Variables'!$K60,+IF(H$8='5.Variables'!$B$70,+'5.Variables'!$K74,+IF(H$8='5.Variables'!$B$84,+'5.Variables'!$K88,+IF(H$8='5.Variables'!$B$98,+'5.Variables'!$K102,0))))))</f>
        <v>40.9</v>
      </c>
      <c r="I42" s="445">
        <f>IF(I$8='5.Variables'!$B$10,+'5.Variables'!$K23,+IF(I$8='5.Variables'!$B$33,+'5.Variables'!$K46,+IF(I$8='5.Variables'!$B$56,+'5.Variables'!$K60,+IF(I$8='5.Variables'!$B$70,+'5.Variables'!$K74,+IF(I$8='5.Variables'!$B$84,+'5.Variables'!$K88,+IF(I$8='5.Variables'!$B$98,+'5.Variables'!$K102,0))))))</f>
        <v>30</v>
      </c>
      <c r="J42" s="445">
        <f>IF(J$8='5.Variables'!$B$10,+'5.Variables'!$K23,+IF(J$8='5.Variables'!$B$33,+'5.Variables'!$K46,+IF(J$8='5.Variables'!$B$56,+'5.Variables'!$K60,+IF(J$8='5.Variables'!$B$70,+'5.Variables'!$K74,+IF(J$8='5.Variables'!$B$84,+'5.Variables'!$K88,+IF(J$8='5.Variables'!$B$98,+'5.Variables'!$K102,0))))))</f>
        <v>1</v>
      </c>
      <c r="K42" s="445">
        <f>IF(K$8='5.Variables'!$B$10,+'5.Variables'!$K23,+IF(K$8='5.Variables'!$B$33,+'5.Variables'!$K46,+IF(K$8='5.Variables'!$B$56,+'5.Variables'!$K60,+IF(K$8='5.Variables'!$B$70,+'5.Variables'!$K74,+IF(K$8='5.Variables'!$B$84,+'5.Variables'!$K88,+IF(K$8='5.Variables'!$B$98,+'5.Variables'!$K102,0))))))</f>
        <v>0</v>
      </c>
      <c r="L42" s="445">
        <f>IF(L$8='5.Variables'!$B$10,+'5.Variables'!$K23,+IF(L$8='5.Variables'!$B$33,+'5.Variables'!$K46,+IF(L$8='5.Variables'!$B$56,+'5.Variables'!$K60,+IF(L$8='5.Variables'!$B$70,+'5.Variables'!$K74,+IF(L$8='5.Variables'!$B$84,+'5.Variables'!$K88,+IF(L$8='5.Variables'!$B$98,+'5.Variables'!$K102,0))))))</f>
        <v>0</v>
      </c>
      <c r="M42" s="240"/>
      <c r="N42" s="268">
        <f t="shared" si="2"/>
        <v>352757.87472171505</v>
      </c>
      <c r="O42" s="272"/>
      <c r="P42" s="240"/>
      <c r="Q42" s="246">
        <f>'4. Customer Growth'!B15</f>
        <v>2011</v>
      </c>
      <c r="R42" s="677">
        <f>SUM(F82:F93)</f>
        <v>4201222.58</v>
      </c>
      <c r="S42" s="275">
        <f t="shared" si="4"/>
        <v>-1.4644748470203379E-2</v>
      </c>
      <c r="T42" s="677">
        <f>O93:O93</f>
        <v>4127060.7424970362</v>
      </c>
      <c r="U42" s="275">
        <f t="shared" si="4"/>
        <v>-5.6264129066871315E-3</v>
      </c>
      <c r="V42" s="275">
        <f t="shared" si="3"/>
        <v>-1.7652441900129899E-2</v>
      </c>
      <c r="W42"/>
      <c r="X42"/>
      <c r="Y42"/>
      <c r="Z42" s="240"/>
      <c r="AA42" s="240"/>
      <c r="AB42" s="240"/>
      <c r="AC42" s="240"/>
      <c r="AD42" s="240"/>
      <c r="AE42" s="240"/>
      <c r="AF42" s="240"/>
      <c r="AG42" s="240"/>
      <c r="AH42" s="240"/>
      <c r="AI42" s="240"/>
    </row>
    <row r="43" spans="1:35" x14ac:dyDescent="0.2">
      <c r="A43" s="675">
        <f t="shared" si="1"/>
        <v>34</v>
      </c>
      <c r="B43" s="266" t="str">
        <f>CONCATENATE('3. Consumption by Rate Class'!B49,"-",'3. Consumption by Rate Class'!C49)</f>
        <v>2007-October</v>
      </c>
      <c r="C43" s="270">
        <v>350233.07</v>
      </c>
      <c r="D43" s="731"/>
      <c r="E43" s="731"/>
      <c r="F43" s="268">
        <f t="shared" si="5"/>
        <v>350233.07</v>
      </c>
      <c r="G43" s="445">
        <f>IF(G$8='5.Variables'!$B$10,+'5.Variables'!$L23,+IF(G$8='5.Variables'!$B$33,+'5.Variables'!$L46,+IF(G$8='5.Variables'!$B$56,+'5.Variables'!$L60,+IF(G$8='5.Variables'!$B$70,+'5.Variables'!$L74,+IF(G$8='5.Variables'!$B$84,+'5.Variables'!$L88,+IF(G$8='5.Variables'!$B$98,+'5.Variables'!$L102,0))))))</f>
        <v>141.9</v>
      </c>
      <c r="H43" s="445">
        <f>IF(H$8='5.Variables'!$B$10,+'5.Variables'!$L23,+IF(H$8='5.Variables'!$B$33,+'5.Variables'!$L46,+IF(H$8='5.Variables'!$B$56,+'5.Variables'!$L60,+IF(H$8='5.Variables'!$B$70,+'5.Variables'!$L74,+IF(H$8='5.Variables'!$B$84,+'5.Variables'!$L88,+IF(H$8='5.Variables'!$B$98,+'5.Variables'!$L102,0))))))</f>
        <v>22.2</v>
      </c>
      <c r="I43" s="445">
        <f>IF(I$8='5.Variables'!$B$10,+'5.Variables'!$L23,+IF(I$8='5.Variables'!$B$33,+'5.Variables'!$L46,+IF(I$8='5.Variables'!$B$56,+'5.Variables'!$L60,+IF(I$8='5.Variables'!$B$70,+'5.Variables'!$L74,+IF(I$8='5.Variables'!$B$84,+'5.Variables'!$L88,+IF(I$8='5.Variables'!$B$98,+'5.Variables'!$L102,0))))))</f>
        <v>31</v>
      </c>
      <c r="J43" s="445">
        <f>IF(J$8='5.Variables'!$B$10,+'5.Variables'!$L23,+IF(J$8='5.Variables'!$B$33,+'5.Variables'!$L46,+IF(J$8='5.Variables'!$B$56,+'5.Variables'!$L60,+IF(J$8='5.Variables'!$B$70,+'5.Variables'!$L74,+IF(J$8='5.Variables'!$B$84,+'5.Variables'!$L88,+IF(J$8='5.Variables'!$B$98,+'5.Variables'!$L102,0))))))</f>
        <v>1</v>
      </c>
      <c r="K43" s="445">
        <f>IF(K$8='5.Variables'!$B$10,+'5.Variables'!$L23,+IF(K$8='5.Variables'!$B$33,+'5.Variables'!$L46,+IF(K$8='5.Variables'!$B$56,+'5.Variables'!$L60,+IF(K$8='5.Variables'!$B$70,+'5.Variables'!$L74,+IF(K$8='5.Variables'!$B$84,+'5.Variables'!$L88,+IF(K$8='5.Variables'!$B$98,+'5.Variables'!$L102,0))))))</f>
        <v>0</v>
      </c>
      <c r="L43" s="445">
        <f>IF(L$8='5.Variables'!$B$10,+'5.Variables'!$L23,+IF(L$8='5.Variables'!$B$33,+'5.Variables'!$L46,+IF(L$8='5.Variables'!$B$56,+'5.Variables'!$L60,+IF(L$8='5.Variables'!$B$70,+'5.Variables'!$L74,+IF(L$8='5.Variables'!$B$84,+'5.Variables'!$L88,+IF(L$8='5.Variables'!$B$98,+'5.Variables'!$L102,0))))))</f>
        <v>0</v>
      </c>
      <c r="M43" s="240"/>
      <c r="N43" s="268">
        <f t="shared" si="2"/>
        <v>353200.67958064383</v>
      </c>
      <c r="O43" s="272"/>
      <c r="P43" s="240"/>
      <c r="Q43" s="246">
        <f>'4. Customer Growth'!B16</f>
        <v>2012</v>
      </c>
      <c r="R43" s="677">
        <f>SUM(F94:F105)</f>
        <v>4033266.448941953</v>
      </c>
      <c r="S43" s="275">
        <f t="shared" si="4"/>
        <v>-3.9977917822684617E-2</v>
      </c>
      <c r="T43" s="677">
        <f>O105</f>
        <v>4178142.5975111648</v>
      </c>
      <c r="U43" s="275">
        <f t="shared" si="4"/>
        <v>1.2377296628598215E-2</v>
      </c>
      <c r="V43" s="275">
        <f t="shared" si="3"/>
        <v>3.5920301919853868E-2</v>
      </c>
      <c r="W43"/>
      <c r="X43"/>
      <c r="Y43"/>
      <c r="Z43" s="240"/>
      <c r="AA43" s="240"/>
      <c r="AB43" s="240"/>
      <c r="AC43" s="240"/>
      <c r="AD43" s="240"/>
      <c r="AE43" s="240"/>
      <c r="AF43" s="240"/>
      <c r="AG43" s="240"/>
      <c r="AH43" s="240"/>
      <c r="AI43" s="240"/>
    </row>
    <row r="44" spans="1:35" x14ac:dyDescent="0.2">
      <c r="A44" s="675">
        <f t="shared" si="1"/>
        <v>35</v>
      </c>
      <c r="B44" s="266" t="str">
        <f>CONCATENATE('3. Consumption by Rate Class'!B50,"-",'3. Consumption by Rate Class'!C50)</f>
        <v>2007-November</v>
      </c>
      <c r="C44" s="270">
        <v>319086.7</v>
      </c>
      <c r="D44" s="731"/>
      <c r="E44" s="731"/>
      <c r="F44" s="268">
        <f t="shared" si="5"/>
        <v>319086.7</v>
      </c>
      <c r="G44" s="445">
        <f>IF(G$8='5.Variables'!$B$10,+'5.Variables'!$M23,+IF(G$8='5.Variables'!$B$33,+'5.Variables'!$M46,+IF(G$8='5.Variables'!$B$56,+'5.Variables'!$M60,+IF(G$8='5.Variables'!$B$70,+'5.Variables'!$M74,+IF(G$8='5.Variables'!$B$84,+'5.Variables'!$M88,+IF(G$8='5.Variables'!$B$98,+'5.Variables'!$M102,0))))))</f>
        <v>466.3</v>
      </c>
      <c r="H44" s="445">
        <f>IF(H$8='5.Variables'!$B$10,+'5.Variables'!$M23,+IF(H$8='5.Variables'!$B$33,+'5.Variables'!$M46,+IF(H$8='5.Variables'!$B$56,+'5.Variables'!$M60,+IF(H$8='5.Variables'!$B$70,+'5.Variables'!$M74,+IF(H$8='5.Variables'!$B$84,+'5.Variables'!$M88,+IF(H$8='5.Variables'!$B$98,+'5.Variables'!$M102,0))))))</f>
        <v>0</v>
      </c>
      <c r="I44" s="445">
        <f>IF(I$8='5.Variables'!$B$10,+'5.Variables'!$M23,+IF(I$8='5.Variables'!$B$33,+'5.Variables'!$M46,+IF(I$8='5.Variables'!$B$56,+'5.Variables'!$M60,+IF(I$8='5.Variables'!$B$70,+'5.Variables'!$M74,+IF(I$8='5.Variables'!$B$84,+'5.Variables'!$M88,+IF(I$8='5.Variables'!$B$98,+'5.Variables'!$M102,0))))))</f>
        <v>30</v>
      </c>
      <c r="J44" s="445">
        <f>IF(J$8='5.Variables'!$B$10,+'5.Variables'!$M23,+IF(J$8='5.Variables'!$B$33,+'5.Variables'!$M46,+IF(J$8='5.Variables'!$B$56,+'5.Variables'!$M60,+IF(J$8='5.Variables'!$B$70,+'5.Variables'!$M74,+IF(J$8='5.Variables'!$B$84,+'5.Variables'!$M88,+IF(J$8='5.Variables'!$B$98,+'5.Variables'!$M102,0))))))</f>
        <v>1</v>
      </c>
      <c r="K44" s="445">
        <f>IF(K$8='5.Variables'!$B$10,+'5.Variables'!$M23,+IF(K$8='5.Variables'!$B$33,+'5.Variables'!$M46,+IF(K$8='5.Variables'!$B$56,+'5.Variables'!$M60,+IF(K$8='5.Variables'!$B$70,+'5.Variables'!$M74,+IF(K$8='5.Variables'!$B$84,+'5.Variables'!$M88,+IF(K$8='5.Variables'!$B$98,+'5.Variables'!$M102,0))))))</f>
        <v>0</v>
      </c>
      <c r="L44" s="445">
        <f>IF(L$8='5.Variables'!$B$10,+'5.Variables'!$M23,+IF(L$8='5.Variables'!$B$33,+'5.Variables'!$M46,+IF(L$8='5.Variables'!$B$56,+'5.Variables'!$M60,+IF(L$8='5.Variables'!$B$70,+'5.Variables'!$M74,+IF(L$8='5.Variables'!$B$84,+'5.Variables'!$M88,+IF(L$8='5.Variables'!$B$98,+'5.Variables'!$M102,0))))))</f>
        <v>0</v>
      </c>
      <c r="M44" s="240"/>
      <c r="N44" s="268">
        <f t="shared" si="2"/>
        <v>316949.99887387635</v>
      </c>
      <c r="O44" s="272"/>
      <c r="P44" s="240"/>
      <c r="Q44" s="246">
        <f>'4. Customer Growth'!B17</f>
        <v>2013</v>
      </c>
      <c r="R44" s="677">
        <f>SUM(F106:F117)</f>
        <v>3997606.645890411</v>
      </c>
      <c r="S44" s="275">
        <f t="shared" si="4"/>
        <v>-8.8414201003002568E-3</v>
      </c>
      <c r="T44" s="677">
        <f>O117</f>
        <v>4100479.5896861143</v>
      </c>
      <c r="U44" s="275">
        <f t="shared" si="4"/>
        <v>-1.8587926575630232E-2</v>
      </c>
      <c r="V44" s="275">
        <f t="shared" si="3"/>
        <v>2.5733633373222951E-2</v>
      </c>
      <c r="W44"/>
      <c r="X44"/>
      <c r="Y44"/>
      <c r="Z44" s="240"/>
      <c r="AA44" s="240"/>
      <c r="AB44" s="240"/>
      <c r="AC44" s="240"/>
      <c r="AD44" s="240"/>
      <c r="AE44" s="240"/>
      <c r="AF44" s="240"/>
      <c r="AG44" s="240"/>
      <c r="AH44" s="240"/>
      <c r="AI44" s="240"/>
    </row>
    <row r="45" spans="1:35" x14ac:dyDescent="0.2">
      <c r="A45" s="675">
        <f t="shared" si="1"/>
        <v>36</v>
      </c>
      <c r="B45" s="266" t="str">
        <f>CONCATENATE('3. Consumption by Rate Class'!B51,"-",'3. Consumption by Rate Class'!C51)</f>
        <v>2007-December</v>
      </c>
      <c r="C45" s="270">
        <v>327229.36</v>
      </c>
      <c r="D45" s="731"/>
      <c r="E45" s="731"/>
      <c r="F45" s="268">
        <f t="shared" si="5"/>
        <v>327229.36</v>
      </c>
      <c r="G45" s="445">
        <f>IF(G$8='5.Variables'!$B$10,+'5.Variables'!$N23,+IF(G$8='5.Variables'!$B$33,+'5.Variables'!$N46,+IF(G$8='5.Variables'!$B$56,+'5.Variables'!$N60,+IF(G$8='5.Variables'!$B$70,+'5.Variables'!$N74,+IF(G$8='5.Variables'!$B$84,+'5.Variables'!$N88,+IF(G$8='5.Variables'!$B$98,+'5.Variables'!$N102,0))))))</f>
        <v>654.1</v>
      </c>
      <c r="H45" s="445">
        <f>IF(H$8='5.Variables'!$B$10,+'5.Variables'!$N23,+IF(H$8='5.Variables'!$B$33,+'5.Variables'!$N46,+IF(H$8='5.Variables'!$B$56,+'5.Variables'!$N60,+IF(H$8='5.Variables'!$B$70,+'5.Variables'!$N74,+IF(H$8='5.Variables'!$B$84,+'5.Variables'!$N88,+IF(H$8='5.Variables'!$B$98,+'5.Variables'!$N102,0))))))</f>
        <v>0</v>
      </c>
      <c r="I45" s="445">
        <f>IF(I$8='5.Variables'!$B$10,+'5.Variables'!$N23,+IF(I$8='5.Variables'!$B$33,+'5.Variables'!$N46,+IF(I$8='5.Variables'!$B$56,+'5.Variables'!$N60,+IF(I$8='5.Variables'!$B$70,+'5.Variables'!$N74,+IF(I$8='5.Variables'!$B$84,+'5.Variables'!$N88,+IF(I$8='5.Variables'!$B$98,+'5.Variables'!$N102,0))))))</f>
        <v>31</v>
      </c>
      <c r="J45" s="445">
        <f>IF(J$8='5.Variables'!$B$10,+'5.Variables'!$N23,+IF(J$8='5.Variables'!$B$33,+'5.Variables'!$N46,+IF(J$8='5.Variables'!$B$56,+'5.Variables'!$N60,+IF(J$8='5.Variables'!$B$70,+'5.Variables'!$N74,+IF(J$8='5.Variables'!$B$84,+'5.Variables'!$N88,+IF(J$8='5.Variables'!$B$98,+'5.Variables'!$N102,0))))))</f>
        <v>0</v>
      </c>
      <c r="K45" s="445">
        <f>IF(K$8='5.Variables'!$B$10,+'5.Variables'!$N23,+IF(K$8='5.Variables'!$B$33,+'5.Variables'!$N46,+IF(K$8='5.Variables'!$B$56,+'5.Variables'!$N60,+IF(K$8='5.Variables'!$B$70,+'5.Variables'!$N74,+IF(K$8='5.Variables'!$B$84,+'5.Variables'!$N88,+IF(K$8='5.Variables'!$B$98,+'5.Variables'!$N102,0))))))</f>
        <v>0</v>
      </c>
      <c r="L45" s="445">
        <f>IF(L$8='5.Variables'!$B$10,+'5.Variables'!$N23,+IF(L$8='5.Variables'!$B$33,+'5.Variables'!$N46,+IF(L$8='5.Variables'!$B$56,+'5.Variables'!$N60,+IF(L$8='5.Variables'!$B$70,+'5.Variables'!$N74,+IF(L$8='5.Variables'!$B$84,+'5.Variables'!$N88,+IF(L$8='5.Variables'!$B$98,+'5.Variables'!$N102,0))))))</f>
        <v>0</v>
      </c>
      <c r="M45" s="240"/>
      <c r="N45" s="268">
        <f t="shared" si="2"/>
        <v>330935.60343314218</v>
      </c>
      <c r="O45" s="272">
        <f>SUM(N34:N45)</f>
        <v>4122882.5316565009</v>
      </c>
      <c r="P45" s="240"/>
      <c r="Q45" s="246">
        <f>'4. Customer Growth'!B18</f>
        <v>2014</v>
      </c>
      <c r="R45" s="677">
        <f>SUM(F118:F129)</f>
        <v>3868161.7455504159</v>
      </c>
      <c r="S45" s="275">
        <f t="shared" si="4"/>
        <v>-3.2380599645306776E-2</v>
      </c>
      <c r="T45" s="677">
        <f>O129</f>
        <v>4055791.4113826836</v>
      </c>
      <c r="U45" s="275">
        <f t="shared" si="4"/>
        <v>-1.0898280878128112E-2</v>
      </c>
      <c r="V45" s="275">
        <f t="shared" si="3"/>
        <v>4.8506158267063115E-2</v>
      </c>
      <c r="W45"/>
      <c r="X45"/>
      <c r="Y45"/>
      <c r="Z45" s="240"/>
      <c r="AA45" s="240"/>
      <c r="AB45" s="240"/>
      <c r="AC45" s="240"/>
      <c r="AD45" s="240"/>
      <c r="AE45" s="240"/>
      <c r="AF45" s="240"/>
      <c r="AG45" s="240"/>
      <c r="AH45" s="240"/>
      <c r="AI45" s="240"/>
    </row>
    <row r="46" spans="1:35" x14ac:dyDescent="0.2">
      <c r="A46" s="675">
        <f t="shared" si="1"/>
        <v>37</v>
      </c>
      <c r="B46" s="266" t="str">
        <f>CONCATENATE('3. Consumption by Rate Class'!B52,"-",'3. Consumption by Rate Class'!C52)</f>
        <v>2008-January</v>
      </c>
      <c r="C46" s="270">
        <v>329003.87</v>
      </c>
      <c r="D46" s="731"/>
      <c r="E46" s="731"/>
      <c r="F46" s="268">
        <f t="shared" si="5"/>
        <v>329003.87</v>
      </c>
      <c r="G46" s="445">
        <f>IF(G$8='5.Variables'!$B$10,+'5.Variables'!$C24,+IF(G$8='5.Variables'!$B$33,+'5.Variables'!$C47,+IF(G$8='5.Variables'!$B$56,+'5.Variables'!$C61,+IF(G$8='5.Variables'!$B$70,+'5.Variables'!$C75,+IF(G$8='5.Variables'!$B$84,+'5.Variables'!$C89,+IF(G$8='5.Variables'!$B$98,+'5.Variables'!$C103,0))))))</f>
        <v>622.1</v>
      </c>
      <c r="H46" s="445">
        <f>IF(H$8='5.Variables'!$B$10,+'5.Variables'!$C24,+IF(H$8='5.Variables'!$B$33,+'5.Variables'!$C47,+IF(H$8='5.Variables'!$B$56,+'5.Variables'!$C61,+IF(H$8='5.Variables'!$B$70,+'5.Variables'!$C75,+IF(H$8='5.Variables'!$B$84,+'5.Variables'!$C89,+IF(H$8='5.Variables'!$B$98,+'5.Variables'!$C103,0))))))</f>
        <v>0</v>
      </c>
      <c r="I46" s="445">
        <f>IF(I$8='5.Variables'!$B$10,+'5.Variables'!$C24,+IF(I$8='5.Variables'!$B$33,+'5.Variables'!$C47,+IF(I$8='5.Variables'!$B$56,+'5.Variables'!$C61,+IF(I$8='5.Variables'!$B$70,+'5.Variables'!$C75,+IF(I$8='5.Variables'!$B$84,+'5.Variables'!$C89,+IF(I$8='5.Variables'!$B$98,+'5.Variables'!$C103,0))))))</f>
        <v>31</v>
      </c>
      <c r="J46" s="445">
        <f>IF(J$8='5.Variables'!$B$10,+'5.Variables'!$C24,+IF(J$8='5.Variables'!$B$33,+'5.Variables'!$C47,+IF(J$8='5.Variables'!$B$56,+'5.Variables'!$C61,+IF(J$8='5.Variables'!$B$70,+'5.Variables'!$C75,+IF(J$8='5.Variables'!$B$84,+'5.Variables'!$C89,+IF(J$8='5.Variables'!$B$98,+'5.Variables'!$C103,0))))))</f>
        <v>0</v>
      </c>
      <c r="K46" s="445">
        <f>IF(K$8='5.Variables'!$B$10,+'5.Variables'!$C24,+IF(K$8='5.Variables'!$B$33,+'5.Variables'!$C47,+IF(K$8='5.Variables'!$B$56,+'5.Variables'!$C61,+IF(K$8='5.Variables'!$B$70,+'5.Variables'!$C75,+IF(K$8='5.Variables'!$B$84,+'5.Variables'!$C89,+IF(K$8='5.Variables'!$B$98,+'5.Variables'!$C103,0))))))</f>
        <v>0</v>
      </c>
      <c r="L46" s="445">
        <f>IF(L$8='5.Variables'!$B$10,+'5.Variables'!$C24,+IF(L$8='5.Variables'!$B$33,+'5.Variables'!$C47,+IF(L$8='5.Variables'!$B$56,+'5.Variables'!$C61,+IF(L$8='5.Variables'!$B$70,+'5.Variables'!$C75,+IF(L$8='5.Variables'!$B$84,+'5.Variables'!$C89,+IF(L$8='5.Variables'!$B$98,+'5.Variables'!$C103,0))))))</f>
        <v>0</v>
      </c>
      <c r="M46" s="240"/>
      <c r="N46" s="268">
        <f t="shared" si="2"/>
        <v>332484.83186370146</v>
      </c>
      <c r="O46" s="272"/>
      <c r="P46" s="240"/>
      <c r="Q46" s="240"/>
      <c r="R46" s="276"/>
      <c r="S46" s="276"/>
      <c r="T46" s="277"/>
      <c r="U46" s="240"/>
      <c r="V46" s="240"/>
      <c r="W46"/>
      <c r="X46"/>
      <c r="Y46"/>
      <c r="Z46" s="240"/>
      <c r="AA46" s="240"/>
      <c r="AB46" s="240"/>
      <c r="AC46" s="240"/>
      <c r="AD46" s="240"/>
      <c r="AE46" s="240"/>
      <c r="AF46" s="240"/>
      <c r="AG46" s="240"/>
      <c r="AH46" s="240"/>
      <c r="AI46" s="240"/>
    </row>
    <row r="47" spans="1:35" x14ac:dyDescent="0.2">
      <c r="A47" s="675">
        <f t="shared" si="1"/>
        <v>38</v>
      </c>
      <c r="B47" s="266" t="str">
        <f>CONCATENATE('3. Consumption by Rate Class'!B53,"-",'3. Consumption by Rate Class'!C53)</f>
        <v>2008-February</v>
      </c>
      <c r="C47" s="270">
        <v>301411.94</v>
      </c>
      <c r="D47" s="731"/>
      <c r="E47" s="731"/>
      <c r="F47" s="268">
        <f t="shared" si="5"/>
        <v>301411.94</v>
      </c>
      <c r="G47" s="445">
        <f>IF(G$8='5.Variables'!$B$10,+'5.Variables'!$D24,+IF(G$8='5.Variables'!$B$33,+'5.Variables'!$D47,+IF(G$8='5.Variables'!$B$56,+'5.Variables'!$D61,+IF(G$8='5.Variables'!$B$70,+'5.Variables'!$D75,+IF(G$8='5.Variables'!$B$84,+'5.Variables'!$D89,+IF(G$8='5.Variables'!$B$98,+'5.Variables'!$D103,0))))))</f>
        <v>688.6</v>
      </c>
      <c r="H47" s="445">
        <f>IF(H$8='5.Variables'!$B$10,+'5.Variables'!$D24,+IF(H$8='5.Variables'!$B$33,+'5.Variables'!$D47,+IF(H$8='5.Variables'!$B$56,+'5.Variables'!$D61,+IF(H$8='5.Variables'!$B$70,+'5.Variables'!$D75,+IF(H$8='5.Variables'!$B$84,+'5.Variables'!$D89,+IF(H$8='5.Variables'!$B$98,+'5.Variables'!$D103,0))))))</f>
        <v>0</v>
      </c>
      <c r="I47" s="445">
        <f>IF(I$8='5.Variables'!$B$10,+'5.Variables'!$D24,+IF(I$8='5.Variables'!$B$33,+'5.Variables'!$D47,+IF(I$8='5.Variables'!$B$56,+'5.Variables'!$D61,+IF(I$8='5.Variables'!$B$70,+'5.Variables'!$D75,+IF(I$8='5.Variables'!$B$84,+'5.Variables'!$D89,+IF(I$8='5.Variables'!$B$98,+'5.Variables'!$D103,0))))))</f>
        <v>29</v>
      </c>
      <c r="J47" s="445">
        <f>IF(J$8='5.Variables'!$B$10,+'5.Variables'!$D24,+IF(J$8='5.Variables'!$B$33,+'5.Variables'!$D47,+IF(J$8='5.Variables'!$B$56,+'5.Variables'!$D61,+IF(J$8='5.Variables'!$B$70,+'5.Variables'!$D75,+IF(J$8='5.Variables'!$B$84,+'5.Variables'!$D89,+IF(J$8='5.Variables'!$B$98,+'5.Variables'!$D103,0))))))</f>
        <v>0</v>
      </c>
      <c r="K47" s="445">
        <f>IF(K$8='5.Variables'!$B$10,+'5.Variables'!$D24,+IF(K$8='5.Variables'!$B$33,+'5.Variables'!$D47,+IF(K$8='5.Variables'!$B$56,+'5.Variables'!$D61,+IF(K$8='5.Variables'!$B$70,+'5.Variables'!$D75,+IF(K$8='5.Variables'!$B$84,+'5.Variables'!$D89,+IF(K$8='5.Variables'!$B$98,+'5.Variables'!$D103,0))))))</f>
        <v>0</v>
      </c>
      <c r="L47" s="445">
        <f>IF(L$8='5.Variables'!$B$10,+'5.Variables'!$D24,+IF(L$8='5.Variables'!$B$33,+'5.Variables'!$D47,+IF(L$8='5.Variables'!$B$56,+'5.Variables'!$D61,+IF(L$8='5.Variables'!$B$70,+'5.Variables'!$D75,+IF(L$8='5.Variables'!$B$84,+'5.Variables'!$D89,+IF(L$8='5.Variables'!$B$98,+'5.Variables'!$D103,0))))))</f>
        <v>0</v>
      </c>
      <c r="M47" s="240"/>
      <c r="N47" s="268">
        <f t="shared" si="2"/>
        <v>305188.52280593413</v>
      </c>
      <c r="O47" s="272"/>
      <c r="P47" s="240"/>
      <c r="Q47" s="906" t="s">
        <v>33</v>
      </c>
      <c r="R47" s="906" t="s">
        <v>42</v>
      </c>
      <c r="S47" s="906" t="s">
        <v>31</v>
      </c>
      <c r="T47" s="906" t="s">
        <v>30</v>
      </c>
      <c r="U47" s="240"/>
      <c r="V47" s="240"/>
      <c r="W47"/>
      <c r="X47"/>
      <c r="Y47"/>
      <c r="Z47" s="240"/>
      <c r="AA47" s="240"/>
      <c r="AB47" s="240"/>
      <c r="AC47" s="240"/>
      <c r="AD47" s="240"/>
      <c r="AE47" s="240"/>
      <c r="AF47" s="240"/>
      <c r="AG47" s="240"/>
      <c r="AH47" s="240"/>
      <c r="AI47" s="240"/>
    </row>
    <row r="48" spans="1:35" x14ac:dyDescent="0.2">
      <c r="A48" s="675">
        <f t="shared" si="1"/>
        <v>39</v>
      </c>
      <c r="B48" s="266" t="str">
        <f>CONCATENATE('3. Consumption by Rate Class'!B54,"-",'3. Consumption by Rate Class'!C54)</f>
        <v>2008-March</v>
      </c>
      <c r="C48" s="270">
        <v>312389.95</v>
      </c>
      <c r="D48" s="731"/>
      <c r="E48" s="731"/>
      <c r="F48" s="268">
        <f t="shared" si="5"/>
        <v>312389.95</v>
      </c>
      <c r="G48" s="445">
        <f>IF(G$8='5.Variables'!$B$10,+'5.Variables'!$E24,+IF(G$8='5.Variables'!$B$33,+'5.Variables'!$E47,+IF(G$8='5.Variables'!$B$56,+'5.Variables'!$E61,+IF(G$8='5.Variables'!$B$70,+'5.Variables'!$E75,+IF(G$8='5.Variables'!$B$84,+'5.Variables'!$E89,+IF(G$8='5.Variables'!$B$98,+'5.Variables'!$E103,0))))))</f>
        <v>630.20000000000005</v>
      </c>
      <c r="H48" s="445">
        <f>IF(H$8='5.Variables'!$B$10,+'5.Variables'!$E24,+IF(H$8='5.Variables'!$B$33,+'5.Variables'!$E47,+IF(H$8='5.Variables'!$B$56,+'5.Variables'!$E61,+IF(H$8='5.Variables'!$B$70,+'5.Variables'!$E75,+IF(H$8='5.Variables'!$B$84,+'5.Variables'!$E89,+IF(H$8='5.Variables'!$B$98,+'5.Variables'!$E103,0))))))</f>
        <v>0</v>
      </c>
      <c r="I48" s="445">
        <f>IF(I$8='5.Variables'!$B$10,+'5.Variables'!$E24,+IF(I$8='5.Variables'!$B$33,+'5.Variables'!$E47,+IF(I$8='5.Variables'!$B$56,+'5.Variables'!$E61,+IF(I$8='5.Variables'!$B$70,+'5.Variables'!$E75,+IF(I$8='5.Variables'!$B$84,+'5.Variables'!$E89,+IF(I$8='5.Variables'!$B$98,+'5.Variables'!$E103,0))))))</f>
        <v>31</v>
      </c>
      <c r="J48" s="445">
        <f>IF(J$8='5.Variables'!$B$10,+'5.Variables'!$E24,+IF(J$8='5.Variables'!$B$33,+'5.Variables'!$E47,+IF(J$8='5.Variables'!$B$56,+'5.Variables'!$E61,+IF(J$8='5.Variables'!$B$70,+'5.Variables'!$E75,+IF(J$8='5.Variables'!$B$84,+'5.Variables'!$E89,+IF(J$8='5.Variables'!$B$98,+'5.Variables'!$E103,0))))))</f>
        <v>1</v>
      </c>
      <c r="K48" s="445">
        <f>IF(K$8='5.Variables'!$B$10,+'5.Variables'!$E24,+IF(K$8='5.Variables'!$B$33,+'5.Variables'!$E47,+IF(K$8='5.Variables'!$B$56,+'5.Variables'!$E61,+IF(K$8='5.Variables'!$B$70,+'5.Variables'!$E75,+IF(K$8='5.Variables'!$B$84,+'5.Variables'!$E89,+IF(K$8='5.Variables'!$B$98,+'5.Variables'!$E103,0))))))</f>
        <v>0</v>
      </c>
      <c r="L48" s="445">
        <f>IF(L$8='5.Variables'!$B$10,+'5.Variables'!$E24,+IF(L$8='5.Variables'!$B$33,+'5.Variables'!$E47,+IF(L$8='5.Variables'!$B$56,+'5.Variables'!$E61,+IF(L$8='5.Variables'!$B$70,+'5.Variables'!$E75,+IF(L$8='5.Variables'!$B$84,+'5.Variables'!$E89,+IF(L$8='5.Variables'!$B$98,+'5.Variables'!$E103,0))))))</f>
        <v>0</v>
      </c>
      <c r="M48" s="240"/>
      <c r="N48" s="268">
        <f t="shared" si="2"/>
        <v>321053.45386886119</v>
      </c>
      <c r="O48" s="272"/>
      <c r="P48" s="240"/>
      <c r="Q48" s="246">
        <f>Q36</f>
        <v>2005</v>
      </c>
      <c r="R48" s="677">
        <f>R36</f>
        <v>2598159.8200000003</v>
      </c>
      <c r="S48" s="677">
        <f>T36</f>
        <v>2565573.5031019831</v>
      </c>
      <c r="T48" s="275">
        <f>IF(ABS(R48-S48)=0,0,ABS(R48-S48)/R48)</f>
        <v>1.2542075605655846E-2</v>
      </c>
      <c r="U48" s="240"/>
      <c r="V48" s="240"/>
      <c r="W48"/>
      <c r="X48"/>
      <c r="Y48"/>
      <c r="Z48" s="240"/>
      <c r="AA48" s="240"/>
      <c r="AB48" s="240"/>
      <c r="AC48" s="240"/>
      <c r="AD48" s="240"/>
      <c r="AE48" s="240"/>
      <c r="AF48" s="240"/>
      <c r="AG48" s="240"/>
      <c r="AH48" s="240"/>
      <c r="AI48" s="240"/>
    </row>
    <row r="49" spans="1:35" x14ac:dyDescent="0.2">
      <c r="A49" s="675">
        <f t="shared" si="1"/>
        <v>40</v>
      </c>
      <c r="B49" s="266" t="str">
        <f>CONCATENATE('3. Consumption by Rate Class'!B55,"-",'3. Consumption by Rate Class'!C55)</f>
        <v>2008-April</v>
      </c>
      <c r="C49" s="270">
        <v>313623.98999999993</v>
      </c>
      <c r="D49" s="731"/>
      <c r="E49" s="731"/>
      <c r="F49" s="268">
        <f t="shared" si="5"/>
        <v>313623.98999999993</v>
      </c>
      <c r="G49" s="445">
        <f>IF(G$8='5.Variables'!$B$10,+'5.Variables'!$F24,+IF(G$8='5.Variables'!$B$33,+'5.Variables'!$F47,+IF(G$8='5.Variables'!$B$56,+'5.Variables'!$F61,+IF(G$8='5.Variables'!$B$70,+'5.Variables'!$F75,+IF(G$8='5.Variables'!$B$84,+'5.Variables'!$F89,+IF(G$8='5.Variables'!$B$98,+'5.Variables'!$F103,0))))))</f>
        <v>280.39999999999998</v>
      </c>
      <c r="H49" s="445">
        <f>IF(H$8='5.Variables'!$B$10,+'5.Variables'!$F24,+IF(H$8='5.Variables'!$B$33,+'5.Variables'!$F47,+IF(H$8='5.Variables'!$B$56,+'5.Variables'!$F61,+IF(H$8='5.Variables'!$B$70,+'5.Variables'!$F75,+IF(H$8='5.Variables'!$B$84,+'5.Variables'!$F89,+IF(H$8='5.Variables'!$B$98,+'5.Variables'!$F103,0))))))</f>
        <v>0.9</v>
      </c>
      <c r="I49" s="445">
        <f>IF(I$8='5.Variables'!$B$10,+'5.Variables'!$F24,+IF(I$8='5.Variables'!$B$33,+'5.Variables'!$F47,+IF(I$8='5.Variables'!$B$56,+'5.Variables'!$F61,+IF(I$8='5.Variables'!$B$70,+'5.Variables'!$F75,+IF(I$8='5.Variables'!$B$84,+'5.Variables'!$F89,+IF(I$8='5.Variables'!$B$98,+'5.Variables'!$F103,0))))))</f>
        <v>30</v>
      </c>
      <c r="J49" s="445">
        <f>IF(J$8='5.Variables'!$B$10,+'5.Variables'!$F24,+IF(J$8='5.Variables'!$B$33,+'5.Variables'!$F47,+IF(J$8='5.Variables'!$B$56,+'5.Variables'!$F61,+IF(J$8='5.Variables'!$B$70,+'5.Variables'!$F75,+IF(J$8='5.Variables'!$B$84,+'5.Variables'!$F89,+IF(J$8='5.Variables'!$B$98,+'5.Variables'!$F103,0))))))</f>
        <v>1</v>
      </c>
      <c r="K49" s="445">
        <f>IF(K$8='5.Variables'!$B$10,+'5.Variables'!$F24,+IF(K$8='5.Variables'!$B$33,+'5.Variables'!$F47,+IF(K$8='5.Variables'!$B$56,+'5.Variables'!$F61,+IF(K$8='5.Variables'!$B$70,+'5.Variables'!$F75,+IF(K$8='5.Variables'!$B$84,+'5.Variables'!$F89,+IF(K$8='5.Variables'!$B$98,+'5.Variables'!$F103,0))))))</f>
        <v>0</v>
      </c>
      <c r="L49" s="445">
        <f>IF(L$8='5.Variables'!$B$10,+'5.Variables'!$F24,+IF(L$8='5.Variables'!$B$33,+'5.Variables'!$F47,+IF(L$8='5.Variables'!$B$56,+'5.Variables'!$F61,+IF(L$8='5.Variables'!$B$70,+'5.Variables'!$F75,+IF(L$8='5.Variables'!$B$84,+'5.Variables'!$F89,+IF(L$8='5.Variables'!$B$98,+'5.Variables'!$F103,0))))))</f>
        <v>0</v>
      </c>
      <c r="M49" s="240"/>
      <c r="N49" s="268">
        <f t="shared" si="2"/>
        <v>326294.92487397633</v>
      </c>
      <c r="O49" s="272"/>
      <c r="P49" s="240"/>
      <c r="Q49" s="246">
        <f t="shared" ref="Q49:Q57" si="6">Q37</f>
        <v>2006</v>
      </c>
      <c r="R49" s="677">
        <f t="shared" ref="R49:R57" si="7">R37</f>
        <v>4233263.55</v>
      </c>
      <c r="S49" s="677">
        <f t="shared" ref="S49:S57" si="8">T37</f>
        <v>4137611.7550546294</v>
      </c>
      <c r="T49" s="275">
        <f t="shared" ref="T49:T57" si="9">IF(ABS(R49-S49)=0,0,ABS(R49-S49)/R49)</f>
        <v>2.2595284658185388E-2</v>
      </c>
      <c r="U49" s="278"/>
      <c r="V49" s="240"/>
      <c r="W49"/>
      <c r="X49"/>
      <c r="Y49"/>
      <c r="Z49" s="240"/>
      <c r="AA49" s="240"/>
      <c r="AB49" s="240"/>
      <c r="AC49" s="240"/>
      <c r="AD49" s="240"/>
      <c r="AE49" s="240"/>
      <c r="AF49" s="240"/>
      <c r="AG49" s="240"/>
      <c r="AH49" s="240"/>
      <c r="AI49" s="240"/>
    </row>
    <row r="50" spans="1:35" x14ac:dyDescent="0.2">
      <c r="A50" s="675">
        <f t="shared" si="1"/>
        <v>41</v>
      </c>
      <c r="B50" s="266" t="str">
        <f>CONCATENATE('3. Consumption by Rate Class'!B56,"-",'3. Consumption by Rate Class'!C56)</f>
        <v>2008-May</v>
      </c>
      <c r="C50" s="270">
        <v>330914.47000000003</v>
      </c>
      <c r="D50" s="731"/>
      <c r="E50" s="731"/>
      <c r="F50" s="268">
        <f t="shared" si="5"/>
        <v>330914.47000000003</v>
      </c>
      <c r="G50" s="445">
        <f>IF(G$8='5.Variables'!$B$10,+'5.Variables'!$G24,+IF(G$8='5.Variables'!$B$33,+'5.Variables'!$G47,+IF(G$8='5.Variables'!$B$56,+'5.Variables'!$G61,+IF(G$8='5.Variables'!$B$70,+'5.Variables'!$G75,+IF(G$8='5.Variables'!$B$84,+'5.Variables'!$G89,+IF(G$8='5.Variables'!$B$98,+'5.Variables'!$G103,0))))))</f>
        <v>238.1</v>
      </c>
      <c r="H50" s="445">
        <f>IF(H$8='5.Variables'!$B$10,+'5.Variables'!$G24,+IF(H$8='5.Variables'!$B$33,+'5.Variables'!$G47,+IF(H$8='5.Variables'!$B$56,+'5.Variables'!$G61,+IF(H$8='5.Variables'!$B$70,+'5.Variables'!$G75,+IF(H$8='5.Variables'!$B$84,+'5.Variables'!$G89,+IF(H$8='5.Variables'!$B$98,+'5.Variables'!$G103,0))))))</f>
        <v>0</v>
      </c>
      <c r="I50" s="445">
        <f>IF(I$8='5.Variables'!$B$10,+'5.Variables'!$G24,+IF(I$8='5.Variables'!$B$33,+'5.Variables'!$G47,+IF(I$8='5.Variables'!$B$56,+'5.Variables'!$G61,+IF(I$8='5.Variables'!$B$70,+'5.Variables'!$G75,+IF(I$8='5.Variables'!$B$84,+'5.Variables'!$G89,+IF(I$8='5.Variables'!$B$98,+'5.Variables'!$G103,0))))))</f>
        <v>31</v>
      </c>
      <c r="J50" s="445">
        <f>IF(J$8='5.Variables'!$B$10,+'5.Variables'!$G24,+IF(J$8='5.Variables'!$B$33,+'5.Variables'!$G47,+IF(J$8='5.Variables'!$B$56,+'5.Variables'!$G61,+IF(J$8='5.Variables'!$B$70,+'5.Variables'!$G75,+IF(J$8='5.Variables'!$B$84,+'5.Variables'!$G89,+IF(J$8='5.Variables'!$B$98,+'5.Variables'!$G103,0))))))</f>
        <v>1</v>
      </c>
      <c r="K50" s="445">
        <f>IF(K$8='5.Variables'!$B$10,+'5.Variables'!$G24,+IF(K$8='5.Variables'!$B$33,+'5.Variables'!$G47,+IF(K$8='5.Variables'!$B$56,+'5.Variables'!$G61,+IF(K$8='5.Variables'!$B$70,+'5.Variables'!$G75,+IF(K$8='5.Variables'!$B$84,+'5.Variables'!$G89,+IF(K$8='5.Variables'!$B$98,+'5.Variables'!$G103,0))))))</f>
        <v>0</v>
      </c>
      <c r="L50" s="445">
        <f>IF(L$8='5.Variables'!$B$10,+'5.Variables'!$G24,+IF(L$8='5.Variables'!$B$33,+'5.Variables'!$G47,+IF(L$8='5.Variables'!$B$56,+'5.Variables'!$G61,+IF(L$8='5.Variables'!$B$70,+'5.Variables'!$G75,+IF(L$8='5.Variables'!$B$84,+'5.Variables'!$G89,+IF(L$8='5.Variables'!$B$98,+'5.Variables'!$G103,0))))))</f>
        <v>0</v>
      </c>
      <c r="M50" s="240"/>
      <c r="N50" s="268">
        <f t="shared" si="2"/>
        <v>340036.34348205791</v>
      </c>
      <c r="O50" s="272"/>
      <c r="P50" s="240"/>
      <c r="Q50" s="246">
        <f t="shared" si="6"/>
        <v>2007</v>
      </c>
      <c r="R50" s="677">
        <f t="shared" si="7"/>
        <v>4141943.81</v>
      </c>
      <c r="S50" s="677">
        <f t="shared" si="8"/>
        <v>4122882.5316565009</v>
      </c>
      <c r="T50" s="275">
        <f t="shared" si="9"/>
        <v>4.6020127789949839E-3</v>
      </c>
      <c r="U50" s="278"/>
      <c r="V50" s="240"/>
      <c r="W50"/>
      <c r="X50"/>
      <c r="Y50"/>
      <c r="Z50" s="240"/>
      <c r="AA50" s="240"/>
      <c r="AB50" s="240"/>
      <c r="AC50" s="240"/>
      <c r="AD50" s="240"/>
      <c r="AE50" s="240"/>
      <c r="AF50" s="240"/>
      <c r="AG50" s="240"/>
      <c r="AH50" s="240"/>
      <c r="AI50" s="240"/>
    </row>
    <row r="51" spans="1:35" x14ac:dyDescent="0.2">
      <c r="A51" s="675">
        <f t="shared" si="1"/>
        <v>42</v>
      </c>
      <c r="B51" s="266" t="str">
        <f>CONCATENATE('3. Consumption by Rate Class'!B57,"-",'3. Consumption by Rate Class'!C57)</f>
        <v>2008-June</v>
      </c>
      <c r="C51" s="270">
        <v>376652.81</v>
      </c>
      <c r="D51" s="731"/>
      <c r="E51" s="731"/>
      <c r="F51" s="268">
        <f t="shared" si="5"/>
        <v>376652.81</v>
      </c>
      <c r="G51" s="445">
        <f>IF(G$8='5.Variables'!$B$10,+'5.Variables'!$H24,+IF(G$8='5.Variables'!$B$33,+'5.Variables'!$H47,+IF(G$8='5.Variables'!$B$56,+'5.Variables'!$H61,+IF(G$8='5.Variables'!$B$70,+'5.Variables'!$H75,+IF(G$8='5.Variables'!$B$84,+'5.Variables'!$H89,+IF(G$8='5.Variables'!$B$98,+'5.Variables'!$H103,0))))))</f>
        <v>35.200000000000003</v>
      </c>
      <c r="H51" s="445">
        <f>IF(H$8='5.Variables'!$B$10,+'5.Variables'!$H24,+IF(H$8='5.Variables'!$B$33,+'5.Variables'!$H47,+IF(H$8='5.Variables'!$B$56,+'5.Variables'!$H61,+IF(H$8='5.Variables'!$B$70,+'5.Variables'!$H75,+IF(H$8='5.Variables'!$B$84,+'5.Variables'!$H89,+IF(H$8='5.Variables'!$B$98,+'5.Variables'!$H103,0))))))</f>
        <v>49.6</v>
      </c>
      <c r="I51" s="445">
        <f>IF(I$8='5.Variables'!$B$10,+'5.Variables'!$H24,+IF(I$8='5.Variables'!$B$33,+'5.Variables'!$H47,+IF(I$8='5.Variables'!$B$56,+'5.Variables'!$H61,+IF(I$8='5.Variables'!$B$70,+'5.Variables'!$H75,+IF(I$8='5.Variables'!$B$84,+'5.Variables'!$H89,+IF(I$8='5.Variables'!$B$98,+'5.Variables'!$H103,0))))))</f>
        <v>30</v>
      </c>
      <c r="J51" s="445">
        <f>IF(J$8='5.Variables'!$B$10,+'5.Variables'!$H24,+IF(J$8='5.Variables'!$B$33,+'5.Variables'!$H47,+IF(J$8='5.Variables'!$B$56,+'5.Variables'!$H61,+IF(J$8='5.Variables'!$B$70,+'5.Variables'!$H75,+IF(J$8='5.Variables'!$B$84,+'5.Variables'!$H89,+IF(J$8='5.Variables'!$B$98,+'5.Variables'!$H103,0))))))</f>
        <v>0</v>
      </c>
      <c r="K51" s="445">
        <f>IF(K$8='5.Variables'!$B$10,+'5.Variables'!$H24,+IF(K$8='5.Variables'!$B$33,+'5.Variables'!$H47,+IF(K$8='5.Variables'!$B$56,+'5.Variables'!$H61,+IF(K$8='5.Variables'!$B$70,+'5.Variables'!$H75,+IF(K$8='5.Variables'!$B$84,+'5.Variables'!$H89,+IF(K$8='5.Variables'!$B$98,+'5.Variables'!$H103,0))))))</f>
        <v>0</v>
      </c>
      <c r="L51" s="445">
        <f>IF(L$8='5.Variables'!$B$10,+'5.Variables'!$H24,+IF(L$8='5.Variables'!$B$33,+'5.Variables'!$H47,+IF(L$8='5.Variables'!$B$56,+'5.Variables'!$H61,+IF(L$8='5.Variables'!$B$70,+'5.Variables'!$H75,+IF(L$8='5.Variables'!$B$84,+'5.Variables'!$H89,+IF(L$8='5.Variables'!$B$98,+'5.Variables'!$H103,0))))))</f>
        <v>0</v>
      </c>
      <c r="M51" s="240"/>
      <c r="N51" s="268">
        <f t="shared" si="2"/>
        <v>367866.79960900854</v>
      </c>
      <c r="O51" s="272"/>
      <c r="P51" s="240"/>
      <c r="Q51" s="246">
        <f t="shared" si="6"/>
        <v>2008</v>
      </c>
      <c r="R51" s="677">
        <f t="shared" si="7"/>
        <v>4099392.6199999996</v>
      </c>
      <c r="S51" s="677">
        <f t="shared" si="8"/>
        <v>4102071.2514470448</v>
      </c>
      <c r="T51" s="275">
        <f t="shared" si="9"/>
        <v>6.5342154200519903E-4</v>
      </c>
      <c r="U51" s="278"/>
      <c r="V51" s="240"/>
      <c r="W51"/>
      <c r="X51"/>
      <c r="Y51"/>
      <c r="Z51" s="240"/>
      <c r="AA51" s="240"/>
      <c r="AB51" s="240"/>
      <c r="AC51" s="240"/>
      <c r="AD51" s="240"/>
      <c r="AE51" s="240"/>
      <c r="AF51" s="240"/>
      <c r="AG51" s="240"/>
      <c r="AH51" s="240"/>
      <c r="AI51" s="240"/>
    </row>
    <row r="52" spans="1:35" x14ac:dyDescent="0.2">
      <c r="A52" s="675">
        <f t="shared" si="1"/>
        <v>43</v>
      </c>
      <c r="B52" s="266" t="str">
        <f>CONCATENATE('3. Consumption by Rate Class'!B58,"-",'3. Consumption by Rate Class'!C58)</f>
        <v>2008-July</v>
      </c>
      <c r="C52" s="270">
        <v>403858.91</v>
      </c>
      <c r="D52" s="731"/>
      <c r="E52" s="731"/>
      <c r="F52" s="268">
        <f t="shared" si="5"/>
        <v>403858.91</v>
      </c>
      <c r="G52" s="445">
        <f>IF(G$8='5.Variables'!$B$10,+'5.Variables'!$I24,+IF(G$8='5.Variables'!$B$33,+'5.Variables'!$I47,+IF(G$8='5.Variables'!$B$56,+'5.Variables'!$I61,+IF(G$8='5.Variables'!$B$70,+'5.Variables'!$I75,+IF(G$8='5.Variables'!$B$84,+'5.Variables'!$I89,+IF(G$8='5.Variables'!$B$98,+'5.Variables'!$I103,0))))))</f>
        <v>9.5</v>
      </c>
      <c r="H52" s="445">
        <f>IF(H$8='5.Variables'!$B$10,+'5.Variables'!$I24,+IF(H$8='5.Variables'!$B$33,+'5.Variables'!$I47,+IF(H$8='5.Variables'!$B$56,+'5.Variables'!$I61,+IF(H$8='5.Variables'!$B$70,+'5.Variables'!$I75,+IF(H$8='5.Variables'!$B$84,+'5.Variables'!$I89,+IF(H$8='5.Variables'!$B$98,+'5.Variables'!$I103,0))))))</f>
        <v>87.9</v>
      </c>
      <c r="I52" s="445">
        <f>IF(I$8='5.Variables'!$B$10,+'5.Variables'!$I24,+IF(I$8='5.Variables'!$B$33,+'5.Variables'!$I47,+IF(I$8='5.Variables'!$B$56,+'5.Variables'!$I61,+IF(I$8='5.Variables'!$B$70,+'5.Variables'!$I75,+IF(I$8='5.Variables'!$B$84,+'5.Variables'!$I89,+IF(I$8='5.Variables'!$B$98,+'5.Variables'!$I103,0))))))</f>
        <v>31</v>
      </c>
      <c r="J52" s="445">
        <f>IF(J$8='5.Variables'!$B$10,+'5.Variables'!$I24,+IF(J$8='5.Variables'!$B$33,+'5.Variables'!$I47,+IF(J$8='5.Variables'!$B$56,+'5.Variables'!$I61,+IF(J$8='5.Variables'!$B$70,+'5.Variables'!$I75,+IF(J$8='5.Variables'!$B$84,+'5.Variables'!$I89,+IF(J$8='5.Variables'!$B$98,+'5.Variables'!$I103,0))))))</f>
        <v>0</v>
      </c>
      <c r="K52" s="445">
        <f>IF(K$8='5.Variables'!$B$10,+'5.Variables'!$I24,+IF(K$8='5.Variables'!$B$33,+'5.Variables'!$I47,+IF(K$8='5.Variables'!$B$56,+'5.Variables'!$I61,+IF(K$8='5.Variables'!$B$70,+'5.Variables'!$I75,+IF(K$8='5.Variables'!$B$84,+'5.Variables'!$I89,+IF(K$8='5.Variables'!$B$98,+'5.Variables'!$I103,0))))))</f>
        <v>0</v>
      </c>
      <c r="L52" s="445">
        <f>IF(L$8='5.Variables'!$B$10,+'5.Variables'!$I24,+IF(L$8='5.Variables'!$B$33,+'5.Variables'!$I47,+IF(L$8='5.Variables'!$B$56,+'5.Variables'!$I61,+IF(L$8='5.Variables'!$B$70,+'5.Variables'!$I75,+IF(L$8='5.Variables'!$B$84,+'5.Variables'!$I89,+IF(L$8='5.Variables'!$B$98,+'5.Variables'!$I103,0))))))</f>
        <v>0</v>
      </c>
      <c r="M52" s="240"/>
      <c r="N52" s="268">
        <f t="shared" si="2"/>
        <v>395825.86906176951</v>
      </c>
      <c r="O52" s="272"/>
      <c r="P52" s="240"/>
      <c r="Q52" s="246">
        <f t="shared" si="6"/>
        <v>2009</v>
      </c>
      <c r="R52" s="677">
        <f t="shared" si="7"/>
        <v>4140210.33</v>
      </c>
      <c r="S52" s="677">
        <f t="shared" si="8"/>
        <v>4052678.8787053344</v>
      </c>
      <c r="T52" s="275">
        <f t="shared" si="9"/>
        <v>2.1141788536783272E-2</v>
      </c>
      <c r="U52" s="278"/>
      <c r="V52" s="240"/>
      <c r="W52"/>
      <c r="X52"/>
      <c r="Y52"/>
      <c r="Z52" s="240"/>
      <c r="AA52" s="240"/>
      <c r="AB52" s="240"/>
      <c r="AC52" s="240"/>
      <c r="AD52" s="240"/>
      <c r="AE52" s="240"/>
      <c r="AF52" s="240"/>
      <c r="AG52" s="240"/>
      <c r="AH52" s="240"/>
      <c r="AI52" s="240"/>
    </row>
    <row r="53" spans="1:35" x14ac:dyDescent="0.2">
      <c r="A53" s="675">
        <f t="shared" si="1"/>
        <v>44</v>
      </c>
      <c r="B53" s="266" t="str">
        <f>CONCATENATE('3. Consumption by Rate Class'!B59,"-",'3. Consumption by Rate Class'!C59)</f>
        <v>2008-August</v>
      </c>
      <c r="C53" s="270">
        <v>382087.69</v>
      </c>
      <c r="D53" s="731"/>
      <c r="E53" s="731"/>
      <c r="F53" s="268">
        <f t="shared" si="5"/>
        <v>382087.69</v>
      </c>
      <c r="G53" s="445">
        <f>IF(G$8='5.Variables'!$B$10,+'5.Variables'!$J24,+IF(G$8='5.Variables'!$B$33,+'5.Variables'!$J47,+IF(G$8='5.Variables'!$B$56,+'5.Variables'!$J61,+IF(G$8='5.Variables'!$B$70,+'5.Variables'!$J75,+IF(G$8='5.Variables'!$B$84,+'5.Variables'!$J89,+IF(G$8='5.Variables'!$B$98,+'5.Variables'!$J103,0))))))</f>
        <v>19.399999999999999</v>
      </c>
      <c r="H53" s="445">
        <f>IF(H$8='5.Variables'!$B$10,+'5.Variables'!$J24,+IF(H$8='5.Variables'!$B$33,+'5.Variables'!$J47,+IF(H$8='5.Variables'!$B$56,+'5.Variables'!$J61,+IF(H$8='5.Variables'!$B$70,+'5.Variables'!$J75,+IF(H$8='5.Variables'!$B$84,+'5.Variables'!$J89,+IF(H$8='5.Variables'!$B$98,+'5.Variables'!$J103,0))))))</f>
        <v>50.5</v>
      </c>
      <c r="I53" s="445">
        <f>IF(I$8='5.Variables'!$B$10,+'5.Variables'!$J24,+IF(I$8='5.Variables'!$B$33,+'5.Variables'!$J47,+IF(I$8='5.Variables'!$B$56,+'5.Variables'!$J61,+IF(I$8='5.Variables'!$B$70,+'5.Variables'!$J75,+IF(I$8='5.Variables'!$B$84,+'5.Variables'!$J89,+IF(I$8='5.Variables'!$B$98,+'5.Variables'!$J103,0))))))</f>
        <v>31</v>
      </c>
      <c r="J53" s="445">
        <f>IF(J$8='5.Variables'!$B$10,+'5.Variables'!$J24,+IF(J$8='5.Variables'!$B$33,+'5.Variables'!$J47,+IF(J$8='5.Variables'!$B$56,+'5.Variables'!$J61,+IF(J$8='5.Variables'!$B$70,+'5.Variables'!$J75,+IF(J$8='5.Variables'!$B$84,+'5.Variables'!$J89,+IF(J$8='5.Variables'!$B$98,+'5.Variables'!$J103,0))))))</f>
        <v>0</v>
      </c>
      <c r="K53" s="445">
        <f>IF(K$8='5.Variables'!$B$10,+'5.Variables'!$J24,+IF(K$8='5.Variables'!$B$33,+'5.Variables'!$J47,+IF(K$8='5.Variables'!$B$56,+'5.Variables'!$J61,+IF(K$8='5.Variables'!$B$70,+'5.Variables'!$J75,+IF(K$8='5.Variables'!$B$84,+'5.Variables'!$J89,+IF(K$8='5.Variables'!$B$98,+'5.Variables'!$J103,0))))))</f>
        <v>0</v>
      </c>
      <c r="L53" s="445">
        <f>IF(L$8='5.Variables'!$B$10,+'5.Variables'!$J24,+IF(L$8='5.Variables'!$B$33,+'5.Variables'!$J47,+IF(L$8='5.Variables'!$B$56,+'5.Variables'!$J61,+IF(L$8='5.Variables'!$B$70,+'5.Variables'!$J75,+IF(L$8='5.Variables'!$B$84,+'5.Variables'!$J89,+IF(L$8='5.Variables'!$B$98,+'5.Variables'!$J103,0))))))</f>
        <v>0</v>
      </c>
      <c r="M53" s="240"/>
      <c r="N53" s="268">
        <f t="shared" si="2"/>
        <v>381015.01759567246</v>
      </c>
      <c r="O53" s="272"/>
      <c r="P53" s="240"/>
      <c r="Q53" s="246">
        <f t="shared" si="6"/>
        <v>2010</v>
      </c>
      <c r="R53" s="677">
        <f t="shared" si="7"/>
        <v>4263662.8500000006</v>
      </c>
      <c r="S53" s="677">
        <f t="shared" si="8"/>
        <v>4150412.6779563678</v>
      </c>
      <c r="T53" s="275">
        <f t="shared" si="9"/>
        <v>2.65617090346702E-2</v>
      </c>
      <c r="U53" s="278"/>
      <c r="V53" s="240"/>
      <c r="W53"/>
      <c r="X53"/>
      <c r="Y53"/>
      <c r="Z53" s="240"/>
      <c r="AA53" s="240"/>
      <c r="AB53" s="240"/>
      <c r="AC53" s="240"/>
      <c r="AD53" s="240"/>
      <c r="AE53" s="240"/>
      <c r="AF53" s="240"/>
      <c r="AG53" s="240"/>
      <c r="AH53" s="240"/>
      <c r="AI53" s="240"/>
    </row>
    <row r="54" spans="1:35" x14ac:dyDescent="0.2">
      <c r="A54" s="675">
        <f t="shared" si="1"/>
        <v>45</v>
      </c>
      <c r="B54" s="266" t="str">
        <f>CONCATENATE('3. Consumption by Rate Class'!B60,"-",'3. Consumption by Rate Class'!C60)</f>
        <v>2008-September</v>
      </c>
      <c r="C54" s="270">
        <v>360163.38</v>
      </c>
      <c r="D54" s="731"/>
      <c r="E54" s="731"/>
      <c r="F54" s="268">
        <f t="shared" si="5"/>
        <v>360163.38</v>
      </c>
      <c r="G54" s="445">
        <f>IF(G$8='5.Variables'!$B$10,+'5.Variables'!$K24,+IF(G$8='5.Variables'!$B$33,+'5.Variables'!$K47,+IF(G$8='5.Variables'!$B$56,+'5.Variables'!$K61,+IF(G$8='5.Variables'!$B$70,+'5.Variables'!$K75,+IF(G$8='5.Variables'!$B$84,+'5.Variables'!$K89,+IF(G$8='5.Variables'!$B$98,+'5.Variables'!$K103,0))))))</f>
        <v>72.7</v>
      </c>
      <c r="H54" s="445">
        <f>IF(H$8='5.Variables'!$B$10,+'5.Variables'!$K24,+IF(H$8='5.Variables'!$B$33,+'5.Variables'!$K47,+IF(H$8='5.Variables'!$B$56,+'5.Variables'!$K61,+IF(H$8='5.Variables'!$B$70,+'5.Variables'!$K75,+IF(H$8='5.Variables'!$B$84,+'5.Variables'!$K89,+IF(H$8='5.Variables'!$B$98,+'5.Variables'!$K103,0))))))</f>
        <v>21.6</v>
      </c>
      <c r="I54" s="445">
        <f>IF(I$8='5.Variables'!$B$10,+'5.Variables'!$K24,+IF(I$8='5.Variables'!$B$33,+'5.Variables'!$K47,+IF(I$8='5.Variables'!$B$56,+'5.Variables'!$K61,+IF(I$8='5.Variables'!$B$70,+'5.Variables'!$K75,+IF(I$8='5.Variables'!$B$84,+'5.Variables'!$K89,+IF(I$8='5.Variables'!$B$98,+'5.Variables'!$K103,0))))))</f>
        <v>30</v>
      </c>
      <c r="J54" s="445">
        <f>IF(J$8='5.Variables'!$B$10,+'5.Variables'!$K24,+IF(J$8='5.Variables'!$B$33,+'5.Variables'!$K47,+IF(J$8='5.Variables'!$B$56,+'5.Variables'!$K61,+IF(J$8='5.Variables'!$B$70,+'5.Variables'!$K75,+IF(J$8='5.Variables'!$B$84,+'5.Variables'!$K89,+IF(J$8='5.Variables'!$B$98,+'5.Variables'!$K103,0))))))</f>
        <v>1</v>
      </c>
      <c r="K54" s="445">
        <f>IF(K$8='5.Variables'!$B$10,+'5.Variables'!$K24,+IF(K$8='5.Variables'!$B$33,+'5.Variables'!$K47,+IF(K$8='5.Variables'!$B$56,+'5.Variables'!$K61,+IF(K$8='5.Variables'!$B$70,+'5.Variables'!$K75,+IF(K$8='5.Variables'!$B$84,+'5.Variables'!$K89,+IF(K$8='5.Variables'!$B$98,+'5.Variables'!$K103,0))))))</f>
        <v>0</v>
      </c>
      <c r="L54" s="445">
        <f>IF(L$8='5.Variables'!$B$10,+'5.Variables'!$K24,+IF(L$8='5.Variables'!$B$33,+'5.Variables'!$K47,+IF(L$8='5.Variables'!$B$56,+'5.Variables'!$K61,+IF(L$8='5.Variables'!$B$70,+'5.Variables'!$K75,+IF(L$8='5.Variables'!$B$84,+'5.Variables'!$K89,+IF(L$8='5.Variables'!$B$98,+'5.Variables'!$K103,0))))))</f>
        <v>0</v>
      </c>
      <c r="M54" s="240"/>
      <c r="N54" s="268">
        <f t="shared" si="2"/>
        <v>344282.55864142627</v>
      </c>
      <c r="O54" s="272"/>
      <c r="P54" s="240"/>
      <c r="Q54" s="246">
        <f t="shared" si="6"/>
        <v>2011</v>
      </c>
      <c r="R54" s="677">
        <f t="shared" si="7"/>
        <v>4201222.58</v>
      </c>
      <c r="S54" s="677">
        <f t="shared" si="8"/>
        <v>4127060.7424970362</v>
      </c>
      <c r="T54" s="275">
        <f t="shared" si="9"/>
        <v>1.7652441900129899E-2</v>
      </c>
      <c r="U54" s="278"/>
      <c r="V54" s="240"/>
      <c r="W54"/>
      <c r="X54"/>
      <c r="Y54"/>
      <c r="Z54" s="240"/>
      <c r="AA54" s="240"/>
      <c r="AB54" s="240"/>
      <c r="AC54" s="240"/>
      <c r="AD54" s="240"/>
      <c r="AE54" s="240"/>
      <c r="AF54" s="240"/>
      <c r="AG54" s="240"/>
      <c r="AH54" s="240"/>
      <c r="AI54" s="240"/>
    </row>
    <row r="55" spans="1:35" x14ac:dyDescent="0.2">
      <c r="A55" s="675">
        <f t="shared" si="1"/>
        <v>46</v>
      </c>
      <c r="B55" s="266" t="str">
        <f>CONCATENATE('3. Consumption by Rate Class'!B61,"-",'3. Consumption by Rate Class'!C61)</f>
        <v>2008-October</v>
      </c>
      <c r="C55" s="270">
        <v>336042.38</v>
      </c>
      <c r="D55" s="731"/>
      <c r="E55" s="731"/>
      <c r="F55" s="268">
        <f t="shared" si="5"/>
        <v>336042.38</v>
      </c>
      <c r="G55" s="445">
        <f>IF(G$8='5.Variables'!$B$10,+'5.Variables'!$L24,+IF(G$8='5.Variables'!$B$33,+'5.Variables'!$L47,+IF(G$8='5.Variables'!$B$56,+'5.Variables'!$L61,+IF(G$8='5.Variables'!$B$70,+'5.Variables'!$L75,+IF(G$8='5.Variables'!$B$84,+'5.Variables'!$L89,+IF(G$8='5.Variables'!$B$98,+'5.Variables'!$L103,0))))))</f>
        <v>273</v>
      </c>
      <c r="H55" s="445">
        <f>IF(H$8='5.Variables'!$B$10,+'5.Variables'!$L24,+IF(H$8='5.Variables'!$B$33,+'5.Variables'!$L47,+IF(H$8='5.Variables'!$B$56,+'5.Variables'!$L61,+IF(H$8='5.Variables'!$B$70,+'5.Variables'!$L75,+IF(H$8='5.Variables'!$B$84,+'5.Variables'!$L89,+IF(H$8='5.Variables'!$B$98,+'5.Variables'!$L103,0))))))</f>
        <v>3.7</v>
      </c>
      <c r="I55" s="445">
        <f>IF(I$8='5.Variables'!$B$10,+'5.Variables'!$L24,+IF(I$8='5.Variables'!$B$33,+'5.Variables'!$L47,+IF(I$8='5.Variables'!$B$56,+'5.Variables'!$L61,+IF(I$8='5.Variables'!$B$70,+'5.Variables'!$L75,+IF(I$8='5.Variables'!$B$84,+'5.Variables'!$L89,+IF(I$8='5.Variables'!$B$98,+'5.Variables'!$L103,0))))))</f>
        <v>31</v>
      </c>
      <c r="J55" s="445">
        <f>IF(J$8='5.Variables'!$B$10,+'5.Variables'!$L24,+IF(J$8='5.Variables'!$B$33,+'5.Variables'!$L47,+IF(J$8='5.Variables'!$B$56,+'5.Variables'!$L61,+IF(J$8='5.Variables'!$B$70,+'5.Variables'!$L75,+IF(J$8='5.Variables'!$B$84,+'5.Variables'!$L89,+IF(J$8='5.Variables'!$B$98,+'5.Variables'!$L103,0))))))</f>
        <v>1</v>
      </c>
      <c r="K55" s="445">
        <f>IF(K$8='5.Variables'!$B$10,+'5.Variables'!$L24,+IF(K$8='5.Variables'!$B$33,+'5.Variables'!$L47,+IF(K$8='5.Variables'!$B$56,+'5.Variables'!$L61,+IF(K$8='5.Variables'!$B$70,+'5.Variables'!$L75,+IF(K$8='5.Variables'!$B$84,+'5.Variables'!$L89,+IF(K$8='5.Variables'!$B$98,+'5.Variables'!$L103,0))))))</f>
        <v>0</v>
      </c>
      <c r="L55" s="445">
        <f>IF(L$8='5.Variables'!$B$10,+'5.Variables'!$L24,+IF(L$8='5.Variables'!$B$33,+'5.Variables'!$L47,+IF(L$8='5.Variables'!$B$56,+'5.Variables'!$L61,+IF(L$8='5.Variables'!$B$70,+'5.Variables'!$L75,+IF(L$8='5.Variables'!$B$84,+'5.Variables'!$L89,+IF(L$8='5.Variables'!$B$98,+'5.Variables'!$L103,0))))))</f>
        <v>0</v>
      </c>
      <c r="M55" s="240"/>
      <c r="N55" s="268">
        <f t="shared" si="2"/>
        <v>339764.54424651538</v>
      </c>
      <c r="O55" s="272"/>
      <c r="P55" s="240"/>
      <c r="Q55" s="246">
        <f t="shared" si="6"/>
        <v>2012</v>
      </c>
      <c r="R55" s="677">
        <f t="shared" si="7"/>
        <v>4033266.448941953</v>
      </c>
      <c r="S55" s="677">
        <f t="shared" si="8"/>
        <v>4178142.5975111648</v>
      </c>
      <c r="T55" s="275">
        <f t="shared" si="9"/>
        <v>3.5920301919853868E-2</v>
      </c>
      <c r="U55" s="278"/>
      <c r="V55" s="240"/>
      <c r="W55"/>
      <c r="X55"/>
      <c r="Y55"/>
      <c r="Z55" s="240"/>
      <c r="AA55" s="240"/>
      <c r="AB55" s="240"/>
      <c r="AC55" s="240"/>
      <c r="AD55" s="240"/>
      <c r="AE55" s="240"/>
      <c r="AF55" s="240"/>
      <c r="AG55" s="240"/>
      <c r="AH55" s="240"/>
      <c r="AI55" s="240"/>
    </row>
    <row r="56" spans="1:35" x14ac:dyDescent="0.2">
      <c r="A56" s="675">
        <f t="shared" si="1"/>
        <v>47</v>
      </c>
      <c r="B56" s="266" t="str">
        <f>CONCATENATE('3. Consumption by Rate Class'!B62,"-",'3. Consumption by Rate Class'!C62)</f>
        <v>2008-November</v>
      </c>
      <c r="C56" s="270">
        <v>320582.86</v>
      </c>
      <c r="D56" s="731"/>
      <c r="E56" s="731"/>
      <c r="F56" s="268">
        <f t="shared" si="5"/>
        <v>320582.86</v>
      </c>
      <c r="G56" s="445">
        <f>IF(G$8='5.Variables'!$B$10,+'5.Variables'!$M24,+IF(G$8='5.Variables'!$B$33,+'5.Variables'!$M47,+IF(G$8='5.Variables'!$B$56,+'5.Variables'!$M61,+IF(G$8='5.Variables'!$B$70,+'5.Variables'!$M75,+IF(G$8='5.Variables'!$B$84,+'5.Variables'!$M89,+IF(G$8='5.Variables'!$B$98,+'5.Variables'!$M103,0))))))</f>
        <v>444.3</v>
      </c>
      <c r="H56" s="445">
        <f>IF(H$8='5.Variables'!$B$10,+'5.Variables'!$M24,+IF(H$8='5.Variables'!$B$33,+'5.Variables'!$M47,+IF(H$8='5.Variables'!$B$56,+'5.Variables'!$M61,+IF(H$8='5.Variables'!$B$70,+'5.Variables'!$M75,+IF(H$8='5.Variables'!$B$84,+'5.Variables'!$M89,+IF(H$8='5.Variables'!$B$98,+'5.Variables'!$M103,0))))))</f>
        <v>0</v>
      </c>
      <c r="I56" s="445">
        <f>IF(I$8='5.Variables'!$B$10,+'5.Variables'!$M24,+IF(I$8='5.Variables'!$B$33,+'5.Variables'!$M47,+IF(I$8='5.Variables'!$B$56,+'5.Variables'!$M61,+IF(I$8='5.Variables'!$B$70,+'5.Variables'!$M75,+IF(I$8='5.Variables'!$B$84,+'5.Variables'!$M89,+IF(I$8='5.Variables'!$B$98,+'5.Variables'!$M103,0))))))</f>
        <v>30</v>
      </c>
      <c r="J56" s="445">
        <f>IF(J$8='5.Variables'!$B$10,+'5.Variables'!$M24,+IF(J$8='5.Variables'!$B$33,+'5.Variables'!$M47,+IF(J$8='5.Variables'!$B$56,+'5.Variables'!$M61,+IF(J$8='5.Variables'!$B$70,+'5.Variables'!$M75,+IF(J$8='5.Variables'!$B$84,+'5.Variables'!$M89,+IF(J$8='5.Variables'!$B$98,+'5.Variables'!$M103,0))))))</f>
        <v>1</v>
      </c>
      <c r="K56" s="445">
        <f>IF(K$8='5.Variables'!$B$10,+'5.Variables'!$M24,+IF(K$8='5.Variables'!$B$33,+'5.Variables'!$M47,+IF(K$8='5.Variables'!$B$56,+'5.Variables'!$M61,+IF(K$8='5.Variables'!$B$70,+'5.Variables'!$M75,+IF(K$8='5.Variables'!$B$84,+'5.Variables'!$M89,+IF(K$8='5.Variables'!$B$98,+'5.Variables'!$M103,0))))))</f>
        <v>0</v>
      </c>
      <c r="L56" s="445">
        <f>IF(L$8='5.Variables'!$B$10,+'5.Variables'!$M24,+IF(L$8='5.Variables'!$B$33,+'5.Variables'!$M47,+IF(L$8='5.Variables'!$B$56,+'5.Variables'!$M61,+IF(L$8='5.Variables'!$B$70,+'5.Variables'!$M75,+IF(L$8='5.Variables'!$B$84,+'5.Variables'!$M89,+IF(L$8='5.Variables'!$B$98,+'5.Variables'!$M103,0))))))</f>
        <v>0</v>
      </c>
      <c r="M56" s="240"/>
      <c r="N56" s="268">
        <f t="shared" si="2"/>
        <v>318015.0934198859</v>
      </c>
      <c r="O56" s="272"/>
      <c r="P56" s="240"/>
      <c r="Q56" s="246">
        <f t="shared" si="6"/>
        <v>2013</v>
      </c>
      <c r="R56" s="677">
        <f t="shared" si="7"/>
        <v>3997606.645890411</v>
      </c>
      <c r="S56" s="677">
        <f t="shared" si="8"/>
        <v>4100479.5896861143</v>
      </c>
      <c r="T56" s="275">
        <f t="shared" si="9"/>
        <v>2.5733633373222951E-2</v>
      </c>
      <c r="U56" s="278"/>
      <c r="V56" s="240"/>
      <c r="W56"/>
      <c r="X56"/>
      <c r="Y56"/>
      <c r="Z56" s="240"/>
      <c r="AA56" s="240"/>
      <c r="AB56" s="240"/>
      <c r="AC56" s="240"/>
      <c r="AD56" s="240"/>
      <c r="AE56" s="240"/>
      <c r="AF56" s="240"/>
      <c r="AG56" s="240"/>
      <c r="AH56" s="240"/>
      <c r="AI56" s="240"/>
    </row>
    <row r="57" spans="1:35" x14ac:dyDescent="0.2">
      <c r="A57" s="675">
        <f t="shared" si="1"/>
        <v>48</v>
      </c>
      <c r="B57" s="266" t="str">
        <f>CONCATENATE('3. Consumption by Rate Class'!B63,"-",'3. Consumption by Rate Class'!C63)</f>
        <v>2008-December</v>
      </c>
      <c r="C57" s="270">
        <v>332660.37</v>
      </c>
      <c r="D57" s="731"/>
      <c r="E57" s="731"/>
      <c r="F57" s="268">
        <f t="shared" si="5"/>
        <v>332660.37</v>
      </c>
      <c r="G57" s="445">
        <f>IF(G$8='5.Variables'!$B$10,+'5.Variables'!$N24,+IF(G$8='5.Variables'!$B$33,+'5.Variables'!$N47,+IF(G$8='5.Variables'!$B$56,+'5.Variables'!$N61,+IF(G$8='5.Variables'!$B$70,+'5.Variables'!$N75,+IF(G$8='5.Variables'!$B$84,+'5.Variables'!$N89,+IF(G$8='5.Variables'!$B$98,+'5.Variables'!$N103,0))))))</f>
        <v>668.4</v>
      </c>
      <c r="H57" s="445">
        <f>IF(H$8='5.Variables'!$B$10,+'5.Variables'!$N24,+IF(H$8='5.Variables'!$B$33,+'5.Variables'!$N47,+IF(H$8='5.Variables'!$B$56,+'5.Variables'!$N61,+IF(H$8='5.Variables'!$B$70,+'5.Variables'!$N75,+IF(H$8='5.Variables'!$B$84,+'5.Variables'!$N89,+IF(H$8='5.Variables'!$B$98,+'5.Variables'!$N103,0))))))</f>
        <v>0</v>
      </c>
      <c r="I57" s="445">
        <f>IF(I$8='5.Variables'!$B$10,+'5.Variables'!$N24,+IF(I$8='5.Variables'!$B$33,+'5.Variables'!$N47,+IF(I$8='5.Variables'!$B$56,+'5.Variables'!$N61,+IF(I$8='5.Variables'!$B$70,+'5.Variables'!$N75,+IF(I$8='5.Variables'!$B$84,+'5.Variables'!$N89,+IF(I$8='5.Variables'!$B$98,+'5.Variables'!$N103,0))))))</f>
        <v>31</v>
      </c>
      <c r="J57" s="445">
        <f>IF(J$8='5.Variables'!$B$10,+'5.Variables'!$N24,+IF(J$8='5.Variables'!$B$33,+'5.Variables'!$N47,+IF(J$8='5.Variables'!$B$56,+'5.Variables'!$N61,+IF(J$8='5.Variables'!$B$70,+'5.Variables'!$N75,+IF(J$8='5.Variables'!$B$84,+'5.Variables'!$N89,+IF(J$8='5.Variables'!$B$98,+'5.Variables'!$N103,0))))))</f>
        <v>0</v>
      </c>
      <c r="K57" s="445">
        <f>IF(K$8='5.Variables'!$B$10,+'5.Variables'!$N24,+IF(K$8='5.Variables'!$B$33,+'5.Variables'!$N47,+IF(K$8='5.Variables'!$B$56,+'5.Variables'!$N61,+IF(K$8='5.Variables'!$B$70,+'5.Variables'!$N75,+IF(K$8='5.Variables'!$B$84,+'5.Variables'!$N89,+IF(K$8='5.Variables'!$B$98,+'5.Variables'!$N103,0))))))</f>
        <v>0</v>
      </c>
      <c r="L57" s="445">
        <f>IF(L$8='5.Variables'!$B$10,+'5.Variables'!$N24,+IF(L$8='5.Variables'!$B$33,+'5.Variables'!$N47,+IF(L$8='5.Variables'!$B$56,+'5.Variables'!$N61,+IF(L$8='5.Variables'!$B$70,+'5.Variables'!$N75,+IF(L$8='5.Variables'!$B$84,+'5.Variables'!$N89,+IF(L$8='5.Variables'!$B$98,+'5.Variables'!$N103,0))))))</f>
        <v>0</v>
      </c>
      <c r="M57" s="240"/>
      <c r="N57" s="268">
        <f t="shared" si="2"/>
        <v>330243.291978236</v>
      </c>
      <c r="O57" s="272">
        <f>SUM(N46:N57)</f>
        <v>4102071.2514470448</v>
      </c>
      <c r="P57" s="240"/>
      <c r="Q57" s="246">
        <f t="shared" si="6"/>
        <v>2014</v>
      </c>
      <c r="R57" s="677">
        <f t="shared" si="7"/>
        <v>3868161.7455504159</v>
      </c>
      <c r="S57" s="677">
        <f t="shared" si="8"/>
        <v>4055791.4113826836</v>
      </c>
      <c r="T57" s="275">
        <f t="shared" si="9"/>
        <v>4.8506158267063115E-2</v>
      </c>
      <c r="U57" s="278"/>
      <c r="V57" s="240"/>
      <c r="W57"/>
      <c r="X57"/>
      <c r="Y57"/>
      <c r="Z57" s="240"/>
      <c r="AA57" s="240"/>
      <c r="AB57" s="240"/>
      <c r="AC57" s="240"/>
      <c r="AD57" s="240"/>
      <c r="AE57" s="240"/>
      <c r="AF57" s="240"/>
      <c r="AG57" s="240"/>
      <c r="AH57" s="240"/>
      <c r="AI57" s="240"/>
    </row>
    <row r="58" spans="1:35" x14ac:dyDescent="0.2">
      <c r="A58" s="675">
        <f t="shared" si="1"/>
        <v>49</v>
      </c>
      <c r="B58" s="266" t="str">
        <f>CONCATENATE('3. Consumption by Rate Class'!B64,"-",'3. Consumption by Rate Class'!C64)</f>
        <v>2009-January</v>
      </c>
      <c r="C58" s="270">
        <v>325317.21000000002</v>
      </c>
      <c r="D58" s="731"/>
      <c r="E58" s="731"/>
      <c r="F58" s="268">
        <f t="shared" si="5"/>
        <v>325317.21000000002</v>
      </c>
      <c r="G58" s="445">
        <f>IF(G$8='5.Variables'!$B$10,+'5.Variables'!$C25,+IF(G$8='5.Variables'!$B$33,+'5.Variables'!$C48,+IF(G$8='5.Variables'!$B$56,+'5.Variables'!$C62,+IF(G$8='5.Variables'!$B$70,+'5.Variables'!$C76,+IF(G$8='5.Variables'!$B$84,+'5.Variables'!$C90,+IF(G$8='5.Variables'!$B$98,+'5.Variables'!$C104,0))))))</f>
        <v>816.5</v>
      </c>
      <c r="H58" s="445">
        <f>IF(H$8='5.Variables'!$B$10,+'5.Variables'!$C25,+IF(H$8='5.Variables'!$B$33,+'5.Variables'!$C48,+IF(H$8='5.Variables'!$B$56,+'5.Variables'!$C62,+IF(H$8='5.Variables'!$B$70,+'5.Variables'!$C76,+IF(H$8='5.Variables'!$B$84,+'5.Variables'!$C90,+IF(H$8='5.Variables'!$B$98,+'5.Variables'!$C104,0))))))</f>
        <v>0</v>
      </c>
      <c r="I58" s="445">
        <f>IF(I$8='5.Variables'!$B$10,+'5.Variables'!$C25,+IF(I$8='5.Variables'!$B$33,+'5.Variables'!$C48,+IF(I$8='5.Variables'!$B$56,+'5.Variables'!$C62,+IF(I$8='5.Variables'!$B$70,+'5.Variables'!$C76,+IF(I$8='5.Variables'!$B$84,+'5.Variables'!$C90,+IF(I$8='5.Variables'!$B$98,+'5.Variables'!$C104,0))))))</f>
        <v>31</v>
      </c>
      <c r="J58" s="445">
        <f>IF(J$8='5.Variables'!$B$10,+'5.Variables'!$C25,+IF(J$8='5.Variables'!$B$33,+'5.Variables'!$C48,+IF(J$8='5.Variables'!$B$56,+'5.Variables'!$C62,+IF(J$8='5.Variables'!$B$70,+'5.Variables'!$C76,+IF(J$8='5.Variables'!$B$84,+'5.Variables'!$C90,+IF(J$8='5.Variables'!$B$98,+'5.Variables'!$C104,0))))))</f>
        <v>0</v>
      </c>
      <c r="K58" s="445">
        <f>IF(K$8='5.Variables'!$B$10,+'5.Variables'!$C25,+IF(K$8='5.Variables'!$B$33,+'5.Variables'!$C48,+IF(K$8='5.Variables'!$B$56,+'5.Variables'!$C62,+IF(K$8='5.Variables'!$B$70,+'5.Variables'!$C76,+IF(K$8='5.Variables'!$B$84,+'5.Variables'!$C90,+IF(K$8='5.Variables'!$B$98,+'5.Variables'!$C104,0))))))</f>
        <v>0</v>
      </c>
      <c r="L58" s="445">
        <f>IF(L$8='5.Variables'!$B$10,+'5.Variables'!$C25,+IF(L$8='5.Variables'!$B$33,+'5.Variables'!$C48,+IF(L$8='5.Variables'!$B$56,+'5.Variables'!$C62,+IF(L$8='5.Variables'!$B$70,+'5.Variables'!$C76,+IF(L$8='5.Variables'!$B$84,+'5.Variables'!$C90,+IF(L$8='5.Variables'!$B$98,+'5.Variables'!$C104,0))))))</f>
        <v>0</v>
      </c>
      <c r="M58" s="240"/>
      <c r="N58" s="268">
        <f t="shared" si="2"/>
        <v>323073.26914805383</v>
      </c>
      <c r="O58" s="272"/>
      <c r="P58" s="240"/>
      <c r="Q58" s="279" t="s">
        <v>45</v>
      </c>
      <c r="R58" s="279"/>
      <c r="S58" s="279"/>
      <c r="T58" s="280">
        <f>AVERAGE(T48:T57)</f>
        <v>2.1590882761656473E-2</v>
      </c>
      <c r="U58" s="240"/>
      <c r="V58" s="240"/>
      <c r="W58"/>
      <c r="X58"/>
      <c r="Y58"/>
      <c r="Z58" s="240"/>
      <c r="AA58" s="240"/>
      <c r="AB58" s="240"/>
      <c r="AC58" s="240"/>
      <c r="AD58" s="240"/>
      <c r="AE58" s="240"/>
      <c r="AF58" s="240"/>
      <c r="AG58" s="240"/>
      <c r="AH58" s="240"/>
      <c r="AI58" s="240"/>
    </row>
    <row r="59" spans="1:35" x14ac:dyDescent="0.2">
      <c r="A59" s="675">
        <f t="shared" si="1"/>
        <v>50</v>
      </c>
      <c r="B59" s="266" t="str">
        <f>CONCATENATE('3. Consumption by Rate Class'!B65,"-",'3. Consumption by Rate Class'!C65)</f>
        <v>2009-February</v>
      </c>
      <c r="C59" s="270">
        <v>298766.8</v>
      </c>
      <c r="D59" s="731"/>
      <c r="E59" s="731"/>
      <c r="F59" s="268">
        <f t="shared" si="5"/>
        <v>298766.8</v>
      </c>
      <c r="G59" s="445">
        <f>IF(G$8='5.Variables'!$B$10,+'5.Variables'!$D25,+IF(G$8='5.Variables'!$B$33,+'5.Variables'!$D48,+IF(G$8='5.Variables'!$B$56,+'5.Variables'!$D62,+IF(G$8='5.Variables'!$B$70,+'5.Variables'!$D76,+IF(G$8='5.Variables'!$B$84,+'5.Variables'!$D90,+IF(G$8='5.Variables'!$B$98,+'5.Variables'!$D104,0))))))</f>
        <v>620.1</v>
      </c>
      <c r="H59" s="445">
        <f>IF(H$8='5.Variables'!$B$10,+'5.Variables'!$D25,+IF(H$8='5.Variables'!$B$33,+'5.Variables'!$D48,+IF(H$8='5.Variables'!$B$56,+'5.Variables'!$D62,+IF(H$8='5.Variables'!$B$70,+'5.Variables'!$D76,+IF(H$8='5.Variables'!$B$84,+'5.Variables'!$D90,+IF(H$8='5.Variables'!$B$98,+'5.Variables'!$D104,0))))))</f>
        <v>0</v>
      </c>
      <c r="I59" s="445">
        <f>IF(I$8='5.Variables'!$B$10,+'5.Variables'!$D25,+IF(I$8='5.Variables'!$B$33,+'5.Variables'!$D48,+IF(I$8='5.Variables'!$B$56,+'5.Variables'!$D62,+IF(I$8='5.Variables'!$B$70,+'5.Variables'!$D76,+IF(I$8='5.Variables'!$B$84,+'5.Variables'!$D90,+IF(I$8='5.Variables'!$B$98,+'5.Variables'!$D104,0))))))</f>
        <v>28</v>
      </c>
      <c r="J59" s="445">
        <f>IF(J$8='5.Variables'!$B$10,+'5.Variables'!$D25,+IF(J$8='5.Variables'!$B$33,+'5.Variables'!$D48,+IF(J$8='5.Variables'!$B$56,+'5.Variables'!$D62,+IF(J$8='5.Variables'!$B$70,+'5.Variables'!$D76,+IF(J$8='5.Variables'!$B$84,+'5.Variables'!$D90,+IF(J$8='5.Variables'!$B$98,+'5.Variables'!$D104,0))))))</f>
        <v>0</v>
      </c>
      <c r="K59" s="445">
        <f>IF(K$8='5.Variables'!$B$10,+'5.Variables'!$D25,+IF(K$8='5.Variables'!$B$33,+'5.Variables'!$D48,+IF(K$8='5.Variables'!$B$56,+'5.Variables'!$D62,+IF(K$8='5.Variables'!$B$70,+'5.Variables'!$D76,+IF(K$8='5.Variables'!$B$84,+'5.Variables'!$D90,+IF(K$8='5.Variables'!$B$98,+'5.Variables'!$D104,0))))))</f>
        <v>0</v>
      </c>
      <c r="L59" s="445">
        <f>IF(L$8='5.Variables'!$B$10,+'5.Variables'!$D25,+IF(L$8='5.Variables'!$B$33,+'5.Variables'!$D48,+IF(L$8='5.Variables'!$B$56,+'5.Variables'!$D62,+IF(L$8='5.Variables'!$B$70,+'5.Variables'!$D76,+IF(L$8='5.Variables'!$B$84,+'5.Variables'!$D90,+IF(L$8='5.Variables'!$B$98,+'5.Variables'!$D104,0))))))</f>
        <v>0</v>
      </c>
      <c r="M59" s="240"/>
      <c r="N59" s="268">
        <f t="shared" si="2"/>
        <v>296466.43055234442</v>
      </c>
      <c r="O59" s="272"/>
      <c r="P59" s="240"/>
      <c r="Q59" s="279" t="s">
        <v>60</v>
      </c>
      <c r="R59" s="240"/>
      <c r="S59" s="240"/>
      <c r="T59" s="280">
        <f>MEDIAN(T48:T57)</f>
        <v>2.186853659748433E-2</v>
      </c>
      <c r="U59" s="240"/>
      <c r="V59" s="240"/>
      <c r="W59"/>
      <c r="X59"/>
      <c r="Y59"/>
      <c r="Z59" s="240"/>
      <c r="AA59" s="240"/>
      <c r="AB59" s="240"/>
      <c r="AC59" s="240"/>
      <c r="AD59" s="240"/>
      <c r="AE59" s="240"/>
      <c r="AF59" s="240"/>
      <c r="AG59" s="240"/>
      <c r="AH59" s="240"/>
      <c r="AI59" s="240"/>
    </row>
    <row r="60" spans="1:35" x14ac:dyDescent="0.2">
      <c r="A60" s="675">
        <f t="shared" si="1"/>
        <v>51</v>
      </c>
      <c r="B60" s="266" t="str">
        <f>CONCATENATE('3. Consumption by Rate Class'!B66,"-",'3. Consumption by Rate Class'!C66)</f>
        <v>2009-March</v>
      </c>
      <c r="C60" s="270">
        <v>322550.68</v>
      </c>
      <c r="D60" s="731"/>
      <c r="E60" s="731"/>
      <c r="F60" s="268">
        <f t="shared" si="5"/>
        <v>322550.68</v>
      </c>
      <c r="G60" s="445">
        <f>IF(G$8='5.Variables'!$B$10,+'5.Variables'!$E25,+IF(G$8='5.Variables'!$B$33,+'5.Variables'!$E48,+IF(G$8='5.Variables'!$B$56,+'5.Variables'!$E62,+IF(G$8='5.Variables'!$B$70,+'5.Variables'!$E76,+IF(G$8='5.Variables'!$B$84,+'5.Variables'!$E90,+IF(G$8='5.Variables'!$B$98,+'5.Variables'!$E104,0))))))</f>
        <v>556.5</v>
      </c>
      <c r="H60" s="445">
        <f>IF(H$8='5.Variables'!$B$10,+'5.Variables'!$E25,+IF(H$8='5.Variables'!$B$33,+'5.Variables'!$E48,+IF(H$8='5.Variables'!$B$56,+'5.Variables'!$E62,+IF(H$8='5.Variables'!$B$70,+'5.Variables'!$E76,+IF(H$8='5.Variables'!$B$84,+'5.Variables'!$E90,+IF(H$8='5.Variables'!$B$98,+'5.Variables'!$E104,0))))))</f>
        <v>0</v>
      </c>
      <c r="I60" s="445">
        <f>IF(I$8='5.Variables'!$B$10,+'5.Variables'!$E25,+IF(I$8='5.Variables'!$B$33,+'5.Variables'!$E48,+IF(I$8='5.Variables'!$B$56,+'5.Variables'!$E62,+IF(I$8='5.Variables'!$B$70,+'5.Variables'!$E76,+IF(I$8='5.Variables'!$B$84,+'5.Variables'!$E90,+IF(I$8='5.Variables'!$B$98,+'5.Variables'!$E104,0))))))</f>
        <v>31</v>
      </c>
      <c r="J60" s="445">
        <f>IF(J$8='5.Variables'!$B$10,+'5.Variables'!$E25,+IF(J$8='5.Variables'!$B$33,+'5.Variables'!$E48,+IF(J$8='5.Variables'!$B$56,+'5.Variables'!$E62,+IF(J$8='5.Variables'!$B$70,+'5.Variables'!$E76,+IF(J$8='5.Variables'!$B$84,+'5.Variables'!$E90,+IF(J$8='5.Variables'!$B$98,+'5.Variables'!$E104,0))))))</f>
        <v>1</v>
      </c>
      <c r="K60" s="445">
        <f>IF(K$8='5.Variables'!$B$10,+'5.Variables'!$E25,+IF(K$8='5.Variables'!$B$33,+'5.Variables'!$E48,+IF(K$8='5.Variables'!$B$56,+'5.Variables'!$E62,+IF(K$8='5.Variables'!$B$70,+'5.Variables'!$E76,+IF(K$8='5.Variables'!$B$84,+'5.Variables'!$E90,+IF(K$8='5.Variables'!$B$98,+'5.Variables'!$E104,0))))))</f>
        <v>0</v>
      </c>
      <c r="L60" s="445">
        <f>IF(L$8='5.Variables'!$B$10,+'5.Variables'!$E25,+IF(L$8='5.Variables'!$B$33,+'5.Variables'!$E48,+IF(L$8='5.Variables'!$B$56,+'5.Variables'!$E62,+IF(L$8='5.Variables'!$B$70,+'5.Variables'!$E76,+IF(L$8='5.Variables'!$B$84,+'5.Variables'!$E90,+IF(L$8='5.Variables'!$B$98,+'5.Variables'!$E104,0))))))</f>
        <v>0</v>
      </c>
      <c r="M60" s="240"/>
      <c r="N60" s="268">
        <f t="shared" si="2"/>
        <v>324621.52059799305</v>
      </c>
      <c r="O60" s="272"/>
      <c r="P60" s="240"/>
      <c r="Q60" s="240"/>
      <c r="R60" s="240"/>
      <c r="S60" s="240"/>
      <c r="T60" s="240"/>
      <c r="U60" s="240"/>
      <c r="V60" s="240"/>
      <c r="W60"/>
      <c r="X60"/>
      <c r="Y60"/>
      <c r="Z60" s="240"/>
      <c r="AA60" s="240"/>
      <c r="AB60" s="240"/>
      <c r="AC60" s="240"/>
      <c r="AD60" s="240"/>
      <c r="AE60" s="240"/>
      <c r="AF60" s="240"/>
      <c r="AG60" s="240"/>
      <c r="AH60" s="240"/>
      <c r="AI60" s="240"/>
    </row>
    <row r="61" spans="1:35" x14ac:dyDescent="0.2">
      <c r="A61" s="675">
        <f t="shared" si="1"/>
        <v>52</v>
      </c>
      <c r="B61" s="266" t="str">
        <f>CONCATENATE('3. Consumption by Rate Class'!B67,"-",'3. Consumption by Rate Class'!C67)</f>
        <v>2009-April</v>
      </c>
      <c r="C61" s="270">
        <v>311980.92</v>
      </c>
      <c r="D61" s="731"/>
      <c r="E61" s="731"/>
      <c r="F61" s="268">
        <f t="shared" si="5"/>
        <v>311980.92</v>
      </c>
      <c r="G61" s="445">
        <f>IF(G$8='5.Variables'!$B$10,+'5.Variables'!$F25,+IF(G$8='5.Variables'!$B$33,+'5.Variables'!$F48,+IF(G$8='5.Variables'!$B$56,+'5.Variables'!$F62,+IF(G$8='5.Variables'!$B$70,+'5.Variables'!$F76,+IF(G$8='5.Variables'!$B$84,+'5.Variables'!$F90,+IF(G$8='5.Variables'!$B$98,+'5.Variables'!$F104,0))))))</f>
        <v>352</v>
      </c>
      <c r="H61" s="445">
        <f>IF(H$8='5.Variables'!$B$10,+'5.Variables'!$F25,+IF(H$8='5.Variables'!$B$33,+'5.Variables'!$F48,+IF(H$8='5.Variables'!$B$56,+'5.Variables'!$F62,+IF(H$8='5.Variables'!$B$70,+'5.Variables'!$F76,+IF(H$8='5.Variables'!$B$84,+'5.Variables'!$F90,+IF(H$8='5.Variables'!$B$98,+'5.Variables'!$F104,0))))))</f>
        <v>0.5</v>
      </c>
      <c r="I61" s="445">
        <f>IF(I$8='5.Variables'!$B$10,+'5.Variables'!$F25,+IF(I$8='5.Variables'!$B$33,+'5.Variables'!$F48,+IF(I$8='5.Variables'!$B$56,+'5.Variables'!$F62,+IF(I$8='5.Variables'!$B$70,+'5.Variables'!$F76,+IF(I$8='5.Variables'!$B$84,+'5.Variables'!$F90,+IF(I$8='5.Variables'!$B$98,+'5.Variables'!$F104,0))))))</f>
        <v>30</v>
      </c>
      <c r="J61" s="445">
        <f>IF(J$8='5.Variables'!$B$10,+'5.Variables'!$F25,+IF(J$8='5.Variables'!$B$33,+'5.Variables'!$F48,+IF(J$8='5.Variables'!$B$56,+'5.Variables'!$F62,+IF(J$8='5.Variables'!$B$70,+'5.Variables'!$F76,+IF(J$8='5.Variables'!$B$84,+'5.Variables'!$F90,+IF(J$8='5.Variables'!$B$98,+'5.Variables'!$F104,0))))))</f>
        <v>1</v>
      </c>
      <c r="K61" s="445">
        <f>IF(K$8='5.Variables'!$B$10,+'5.Variables'!$F25,+IF(K$8='5.Variables'!$B$33,+'5.Variables'!$F48,+IF(K$8='5.Variables'!$B$56,+'5.Variables'!$F62,+IF(K$8='5.Variables'!$B$70,+'5.Variables'!$F76,+IF(K$8='5.Variables'!$B$84,+'5.Variables'!$F90,+IF(K$8='5.Variables'!$B$98,+'5.Variables'!$F104,0))))))</f>
        <v>0</v>
      </c>
      <c r="L61" s="445">
        <f>IF(L$8='5.Variables'!$B$10,+'5.Variables'!$F25,+IF(L$8='5.Variables'!$B$33,+'5.Variables'!$F48,+IF(L$8='5.Variables'!$B$56,+'5.Variables'!$F62,+IF(L$8='5.Variables'!$B$70,+'5.Variables'!$F76,+IF(L$8='5.Variables'!$B$84,+'5.Variables'!$F90,+IF(L$8='5.Variables'!$B$98,+'5.Variables'!$F104,0))))))</f>
        <v>0</v>
      </c>
      <c r="M61" s="240"/>
      <c r="N61" s="268">
        <f t="shared" si="2"/>
        <v>322675.24755556899</v>
      </c>
      <c r="O61" s="272"/>
      <c r="P61" s="240"/>
      <c r="Q61" s="240" t="s">
        <v>119</v>
      </c>
      <c r="R61" s="240"/>
      <c r="S61" s="240"/>
      <c r="T61" s="240"/>
      <c r="U61" s="240"/>
      <c r="V61" s="240"/>
      <c r="W61"/>
      <c r="X61"/>
      <c r="Y61"/>
      <c r="Z61" s="240"/>
      <c r="AA61" s="240"/>
      <c r="AB61" s="240"/>
      <c r="AC61" s="240"/>
      <c r="AD61" s="240"/>
      <c r="AE61" s="240"/>
      <c r="AF61" s="240"/>
      <c r="AG61" s="240"/>
      <c r="AH61" s="240"/>
      <c r="AI61" s="240"/>
    </row>
    <row r="62" spans="1:35" x14ac:dyDescent="0.2">
      <c r="A62" s="675">
        <f t="shared" si="1"/>
        <v>53</v>
      </c>
      <c r="B62" s="266" t="str">
        <f>CONCATENATE('3. Consumption by Rate Class'!B68,"-",'3. Consumption by Rate Class'!C68)</f>
        <v>2009-May</v>
      </c>
      <c r="C62" s="270">
        <v>333903.69</v>
      </c>
      <c r="D62" s="731"/>
      <c r="E62" s="731"/>
      <c r="F62" s="268">
        <f t="shared" si="5"/>
        <v>333903.69</v>
      </c>
      <c r="G62" s="445">
        <f>IF(G$8='5.Variables'!$B$10,+'5.Variables'!$G25,+IF(G$8='5.Variables'!$B$33,+'5.Variables'!$G48,+IF(G$8='5.Variables'!$B$56,+'5.Variables'!$G62,+IF(G$8='5.Variables'!$B$70,+'5.Variables'!$G76,+IF(G$8='5.Variables'!$B$84,+'5.Variables'!$G90,+IF(G$8='5.Variables'!$B$98,+'5.Variables'!$G104,0))))))</f>
        <v>232.5</v>
      </c>
      <c r="H62" s="445">
        <f>IF(H$8='5.Variables'!$B$10,+'5.Variables'!$G25,+IF(H$8='5.Variables'!$B$33,+'5.Variables'!$G48,+IF(H$8='5.Variables'!$B$56,+'5.Variables'!$G62,+IF(H$8='5.Variables'!$B$70,+'5.Variables'!$G76,+IF(H$8='5.Variables'!$B$84,+'5.Variables'!$G90,+IF(H$8='5.Variables'!$B$98,+'5.Variables'!$G104,0))))))</f>
        <v>2.8</v>
      </c>
      <c r="I62" s="445">
        <f>IF(I$8='5.Variables'!$B$10,+'5.Variables'!$G25,+IF(I$8='5.Variables'!$B$33,+'5.Variables'!$G48,+IF(I$8='5.Variables'!$B$56,+'5.Variables'!$G62,+IF(I$8='5.Variables'!$B$70,+'5.Variables'!$G76,+IF(I$8='5.Variables'!$B$84,+'5.Variables'!$G90,+IF(I$8='5.Variables'!$B$98,+'5.Variables'!$G104,0))))))</f>
        <v>31</v>
      </c>
      <c r="J62" s="445">
        <f>IF(J$8='5.Variables'!$B$10,+'5.Variables'!$G25,+IF(J$8='5.Variables'!$B$33,+'5.Variables'!$G48,+IF(J$8='5.Variables'!$B$56,+'5.Variables'!$G62,+IF(J$8='5.Variables'!$B$70,+'5.Variables'!$G76,+IF(J$8='5.Variables'!$B$84,+'5.Variables'!$G90,+IF(J$8='5.Variables'!$B$98,+'5.Variables'!$G104,0))))))</f>
        <v>1</v>
      </c>
      <c r="K62" s="445">
        <f>IF(K$8='5.Variables'!$B$10,+'5.Variables'!$G25,+IF(K$8='5.Variables'!$B$33,+'5.Variables'!$G48,+IF(K$8='5.Variables'!$B$56,+'5.Variables'!$G62,+IF(K$8='5.Variables'!$B$70,+'5.Variables'!$G76,+IF(K$8='5.Variables'!$B$84,+'5.Variables'!$G90,+IF(K$8='5.Variables'!$B$98,+'5.Variables'!$G104,0))))))</f>
        <v>0</v>
      </c>
      <c r="L62" s="445">
        <f>IF(L$8='5.Variables'!$B$10,+'5.Variables'!$G25,+IF(L$8='5.Variables'!$B$33,+'5.Variables'!$G48,+IF(L$8='5.Variables'!$B$56,+'5.Variables'!$G62,+IF(L$8='5.Variables'!$B$70,+'5.Variables'!$G76,+IF(L$8='5.Variables'!$B$84,+'5.Variables'!$G90,+IF(L$8='5.Variables'!$B$98,+'5.Variables'!$G104,0))))))</f>
        <v>0</v>
      </c>
      <c r="M62" s="240"/>
      <c r="N62" s="268">
        <f t="shared" si="2"/>
        <v>341380.40939262236</v>
      </c>
      <c r="O62" s="272"/>
      <c r="P62" s="240"/>
      <c r="Q62" s="240" t="s">
        <v>166</v>
      </c>
      <c r="R62" s="240"/>
      <c r="S62" s="240"/>
      <c r="T62" s="240"/>
      <c r="U62" s="240"/>
      <c r="V62" s="240"/>
      <c r="W62"/>
      <c r="X62"/>
      <c r="Y62"/>
      <c r="Z62" s="240"/>
      <c r="AA62" s="240"/>
      <c r="AB62" s="240"/>
      <c r="AC62" s="240"/>
      <c r="AD62" s="240"/>
      <c r="AE62" s="240"/>
      <c r="AF62" s="240"/>
      <c r="AG62" s="240"/>
      <c r="AH62" s="240"/>
      <c r="AI62" s="240"/>
    </row>
    <row r="63" spans="1:35" x14ac:dyDescent="0.2">
      <c r="A63" s="675">
        <f t="shared" si="1"/>
        <v>54</v>
      </c>
      <c r="B63" s="266" t="str">
        <f>CONCATENATE('3. Consumption by Rate Class'!B69,"-",'3. Consumption by Rate Class'!C69)</f>
        <v>2009-June</v>
      </c>
      <c r="C63" s="270">
        <v>343356.98</v>
      </c>
      <c r="D63" s="731"/>
      <c r="E63" s="731"/>
      <c r="F63" s="268">
        <f t="shared" si="5"/>
        <v>343356.98</v>
      </c>
      <c r="G63" s="445">
        <f>IF(G$8='5.Variables'!$B$10,+'5.Variables'!$H25,+IF(G$8='5.Variables'!$B$33,+'5.Variables'!$H48,+IF(G$8='5.Variables'!$B$56,+'5.Variables'!$H62,+IF(G$8='5.Variables'!$B$70,+'5.Variables'!$H76,+IF(G$8='5.Variables'!$B$84,+'5.Variables'!$H90,+IF(G$8='5.Variables'!$B$98,+'5.Variables'!$H104,0))))))</f>
        <v>98.2</v>
      </c>
      <c r="H63" s="445">
        <f>IF(H$8='5.Variables'!$B$10,+'5.Variables'!$H25,+IF(H$8='5.Variables'!$B$33,+'5.Variables'!$H48,+IF(H$8='5.Variables'!$B$56,+'5.Variables'!$H62,+IF(H$8='5.Variables'!$B$70,+'5.Variables'!$H76,+IF(H$8='5.Variables'!$B$84,+'5.Variables'!$H90,+IF(H$8='5.Variables'!$B$98,+'5.Variables'!$H104,0))))))</f>
        <v>16.899999999999999</v>
      </c>
      <c r="I63" s="445">
        <f>IF(I$8='5.Variables'!$B$10,+'5.Variables'!$H25,+IF(I$8='5.Variables'!$B$33,+'5.Variables'!$H48,+IF(I$8='5.Variables'!$B$56,+'5.Variables'!$H62,+IF(I$8='5.Variables'!$B$70,+'5.Variables'!$H76,+IF(I$8='5.Variables'!$B$84,+'5.Variables'!$H90,+IF(I$8='5.Variables'!$B$98,+'5.Variables'!$H104,0))))))</f>
        <v>30</v>
      </c>
      <c r="J63" s="445">
        <f>IF(J$8='5.Variables'!$B$10,+'5.Variables'!$H25,+IF(J$8='5.Variables'!$B$33,+'5.Variables'!$H48,+IF(J$8='5.Variables'!$B$56,+'5.Variables'!$H62,+IF(J$8='5.Variables'!$B$70,+'5.Variables'!$H76,+IF(J$8='5.Variables'!$B$84,+'5.Variables'!$H90,+IF(J$8='5.Variables'!$B$98,+'5.Variables'!$H104,0))))))</f>
        <v>0</v>
      </c>
      <c r="K63" s="445">
        <f>IF(K$8='5.Variables'!$B$10,+'5.Variables'!$H25,+IF(K$8='5.Variables'!$B$33,+'5.Variables'!$H48,+IF(K$8='5.Variables'!$B$56,+'5.Variables'!$H62,+IF(K$8='5.Variables'!$B$70,+'5.Variables'!$H76,+IF(K$8='5.Variables'!$B$84,+'5.Variables'!$H90,+IF(K$8='5.Variables'!$B$98,+'5.Variables'!$H104,0))))))</f>
        <v>0</v>
      </c>
      <c r="L63" s="445">
        <f>IF(L$8='5.Variables'!$B$10,+'5.Variables'!$H25,+IF(L$8='5.Variables'!$B$33,+'5.Variables'!$H48,+IF(L$8='5.Variables'!$B$56,+'5.Variables'!$H62,+IF(L$8='5.Variables'!$B$70,+'5.Variables'!$H76,+IF(L$8='5.Variables'!$B$84,+'5.Variables'!$H90,+IF(L$8='5.Variables'!$B$98,+'5.Variables'!$H104,0))))))</f>
        <v>0</v>
      </c>
      <c r="M63" s="240"/>
      <c r="N63" s="268">
        <f t="shared" si="2"/>
        <v>352286.22200006573</v>
      </c>
      <c r="O63" s="272"/>
      <c r="P63" s="240"/>
      <c r="Q63" s="288"/>
      <c r="R63" s="288"/>
      <c r="S63" s="288"/>
      <c r="T63" s="908"/>
      <c r="U63"/>
      <c r="V63"/>
      <c r="W63"/>
      <c r="X63"/>
      <c r="Y63"/>
      <c r="Z63" s="240"/>
      <c r="AA63" s="240"/>
      <c r="AB63" s="240"/>
      <c r="AC63" s="240"/>
      <c r="AD63" s="240"/>
      <c r="AE63" s="240"/>
      <c r="AF63" s="240"/>
      <c r="AG63" s="240"/>
      <c r="AH63" s="240"/>
      <c r="AI63" s="240"/>
    </row>
    <row r="64" spans="1:35" x14ac:dyDescent="0.2">
      <c r="A64" s="675">
        <f t="shared" si="1"/>
        <v>55</v>
      </c>
      <c r="B64" s="266" t="str">
        <f>CONCATENATE('3. Consumption by Rate Class'!B70,"-",'3. Consumption by Rate Class'!C70)</f>
        <v>2009-July</v>
      </c>
      <c r="C64" s="270">
        <v>392607.96</v>
      </c>
      <c r="D64" s="731"/>
      <c r="E64" s="731"/>
      <c r="F64" s="268">
        <f t="shared" si="5"/>
        <v>392607.96</v>
      </c>
      <c r="G64" s="445">
        <f>IF(G$8='5.Variables'!$B$10,+'5.Variables'!$I25,+IF(G$8='5.Variables'!$B$33,+'5.Variables'!$I48,+IF(G$8='5.Variables'!$B$56,+'5.Variables'!$I62,+IF(G$8='5.Variables'!$B$70,+'5.Variables'!$I76,+IF(G$8='5.Variables'!$B$84,+'5.Variables'!$I90,+IF(G$8='5.Variables'!$B$98,+'5.Variables'!$I104,0))))))</f>
        <v>21.5</v>
      </c>
      <c r="H64" s="445">
        <f>IF(H$8='5.Variables'!$B$10,+'5.Variables'!$I25,+IF(H$8='5.Variables'!$B$33,+'5.Variables'!$I48,+IF(H$8='5.Variables'!$B$56,+'5.Variables'!$I62,+IF(H$8='5.Variables'!$B$70,+'5.Variables'!$I76,+IF(H$8='5.Variables'!$B$84,+'5.Variables'!$I90,+IF(H$8='5.Variables'!$B$98,+'5.Variables'!$I104,0))))))</f>
        <v>26.6</v>
      </c>
      <c r="I64" s="445">
        <f>IF(I$8='5.Variables'!$B$10,+'5.Variables'!$I25,+IF(I$8='5.Variables'!$B$33,+'5.Variables'!$I48,+IF(I$8='5.Variables'!$B$56,+'5.Variables'!$I62,+IF(I$8='5.Variables'!$B$70,+'5.Variables'!$I76,+IF(I$8='5.Variables'!$B$84,+'5.Variables'!$I90,+IF(I$8='5.Variables'!$B$98,+'5.Variables'!$I104,0))))))</f>
        <v>31</v>
      </c>
      <c r="J64" s="445">
        <f>IF(J$8='5.Variables'!$B$10,+'5.Variables'!$I25,+IF(J$8='5.Variables'!$B$33,+'5.Variables'!$I48,+IF(J$8='5.Variables'!$B$56,+'5.Variables'!$I62,+IF(J$8='5.Variables'!$B$70,+'5.Variables'!$I76,+IF(J$8='5.Variables'!$B$84,+'5.Variables'!$I90,+IF(J$8='5.Variables'!$B$98,+'5.Variables'!$I104,0))))))</f>
        <v>0</v>
      </c>
      <c r="K64" s="445">
        <f>IF(K$8='5.Variables'!$B$10,+'5.Variables'!$I25,+IF(K$8='5.Variables'!$B$33,+'5.Variables'!$I48,+IF(K$8='5.Variables'!$B$56,+'5.Variables'!$I62,+IF(K$8='5.Variables'!$B$70,+'5.Variables'!$I76,+IF(K$8='5.Variables'!$B$84,+'5.Variables'!$I90,+IF(K$8='5.Variables'!$B$98,+'5.Variables'!$I104,0))))))</f>
        <v>0</v>
      </c>
      <c r="L64" s="445">
        <f>IF(L$8='5.Variables'!$B$10,+'5.Variables'!$I25,+IF(L$8='5.Variables'!$B$33,+'5.Variables'!$I48,+IF(L$8='5.Variables'!$B$56,+'5.Variables'!$I62,+IF(L$8='5.Variables'!$B$70,+'5.Variables'!$I76,+IF(L$8='5.Variables'!$B$84,+'5.Variables'!$I90,+IF(L$8='5.Variables'!$B$98,+'5.Variables'!$I104,0))))))</f>
        <v>0</v>
      </c>
      <c r="M64" s="240"/>
      <c r="N64" s="268">
        <f t="shared" si="2"/>
        <v>371754.94685431838</v>
      </c>
      <c r="O64" s="272"/>
      <c r="P64" s="240"/>
      <c r="Q64" s="288"/>
      <c r="R64" s="288"/>
      <c r="S64" s="288"/>
      <c r="T64" s="908"/>
      <c r="U64"/>
      <c r="V64"/>
      <c r="W64"/>
      <c r="X64"/>
      <c r="Y64"/>
      <c r="Z64" s="240"/>
      <c r="AA64" s="240"/>
      <c r="AB64" s="240"/>
      <c r="AC64" s="240"/>
      <c r="AD64" s="240"/>
      <c r="AE64" s="240"/>
      <c r="AF64" s="240"/>
      <c r="AG64" s="240"/>
      <c r="AH64" s="240"/>
      <c r="AI64" s="240"/>
    </row>
    <row r="65" spans="1:35" x14ac:dyDescent="0.2">
      <c r="A65" s="675">
        <f t="shared" si="1"/>
        <v>56</v>
      </c>
      <c r="B65" s="266" t="str">
        <f>CONCATENATE('3. Consumption by Rate Class'!B71,"-",'3. Consumption by Rate Class'!C71)</f>
        <v>2009-August</v>
      </c>
      <c r="C65" s="270">
        <v>405962.81</v>
      </c>
      <c r="D65" s="731"/>
      <c r="E65" s="731"/>
      <c r="F65" s="268">
        <f t="shared" si="5"/>
        <v>405962.81</v>
      </c>
      <c r="G65" s="445">
        <f>IF(G$8='5.Variables'!$B$10,+'5.Variables'!$J25,+IF(G$8='5.Variables'!$B$33,+'5.Variables'!$J48,+IF(G$8='5.Variables'!$B$56,+'5.Variables'!$J62,+IF(G$8='5.Variables'!$B$70,+'5.Variables'!$J76,+IF(G$8='5.Variables'!$B$84,+'5.Variables'!$J90,+IF(G$8='5.Variables'!$B$98,+'5.Variables'!$J104,0))))))</f>
        <v>20</v>
      </c>
      <c r="H65" s="445">
        <f>IF(H$8='5.Variables'!$B$10,+'5.Variables'!$J25,+IF(H$8='5.Variables'!$B$33,+'5.Variables'!$J48,+IF(H$8='5.Variables'!$B$56,+'5.Variables'!$J62,+IF(H$8='5.Variables'!$B$70,+'5.Variables'!$J76,+IF(H$8='5.Variables'!$B$84,+'5.Variables'!$J90,+IF(H$8='5.Variables'!$B$98,+'5.Variables'!$J104,0))))))</f>
        <v>69.099999999999994</v>
      </c>
      <c r="I65" s="445">
        <f>IF(I$8='5.Variables'!$B$10,+'5.Variables'!$J25,+IF(I$8='5.Variables'!$B$33,+'5.Variables'!$J48,+IF(I$8='5.Variables'!$B$56,+'5.Variables'!$J62,+IF(I$8='5.Variables'!$B$70,+'5.Variables'!$J76,+IF(I$8='5.Variables'!$B$84,+'5.Variables'!$J90,+IF(I$8='5.Variables'!$B$98,+'5.Variables'!$J104,0))))))</f>
        <v>31</v>
      </c>
      <c r="J65" s="445">
        <f>IF(J$8='5.Variables'!$B$10,+'5.Variables'!$J25,+IF(J$8='5.Variables'!$B$33,+'5.Variables'!$J48,+IF(J$8='5.Variables'!$B$56,+'5.Variables'!$J62,+IF(J$8='5.Variables'!$B$70,+'5.Variables'!$J76,+IF(J$8='5.Variables'!$B$84,+'5.Variables'!$J90,+IF(J$8='5.Variables'!$B$98,+'5.Variables'!$J104,0))))))</f>
        <v>0</v>
      </c>
      <c r="K65" s="445">
        <f>IF(K$8='5.Variables'!$B$10,+'5.Variables'!$J25,+IF(K$8='5.Variables'!$B$33,+'5.Variables'!$J48,+IF(K$8='5.Variables'!$B$56,+'5.Variables'!$J62,+IF(K$8='5.Variables'!$B$70,+'5.Variables'!$J76,+IF(K$8='5.Variables'!$B$84,+'5.Variables'!$J90,+IF(K$8='5.Variables'!$B$98,+'5.Variables'!$J104,0))))))</f>
        <v>0</v>
      </c>
      <c r="L65" s="445">
        <f>IF(L$8='5.Variables'!$B$10,+'5.Variables'!$J25,+IF(L$8='5.Variables'!$B$33,+'5.Variables'!$J48,+IF(L$8='5.Variables'!$B$56,+'5.Variables'!$J62,+IF(L$8='5.Variables'!$B$70,+'5.Variables'!$J76,+IF(L$8='5.Variables'!$B$84,+'5.Variables'!$J90,+IF(L$8='5.Variables'!$B$98,+'5.Variables'!$J104,0))))))</f>
        <v>0</v>
      </c>
      <c r="M65" s="240"/>
      <c r="N65" s="268">
        <f t="shared" si="2"/>
        <v>388113.42934653809</v>
      </c>
      <c r="O65" s="272"/>
      <c r="P65" s="240"/>
      <c r="Q65" s="288"/>
      <c r="R65" s="288"/>
      <c r="S65" s="288"/>
      <c r="T65" s="908"/>
      <c r="U65"/>
      <c r="V65"/>
      <c r="W65"/>
      <c r="X65"/>
      <c r="Y65"/>
      <c r="Z65" s="240"/>
      <c r="AA65" s="240"/>
      <c r="AB65" s="240"/>
      <c r="AC65" s="240"/>
      <c r="AD65" s="240"/>
      <c r="AE65" s="240"/>
      <c r="AF65" s="240"/>
      <c r="AG65" s="240"/>
      <c r="AH65" s="240"/>
      <c r="AI65" s="240"/>
    </row>
    <row r="66" spans="1:35" x14ac:dyDescent="0.2">
      <c r="A66" s="675">
        <f t="shared" si="1"/>
        <v>57</v>
      </c>
      <c r="B66" s="266" t="str">
        <f>CONCATENATE('3. Consumption by Rate Class'!B72,"-",'3. Consumption by Rate Class'!C72)</f>
        <v>2009-September</v>
      </c>
      <c r="C66" s="270">
        <v>361913.15</v>
      </c>
      <c r="D66" s="731"/>
      <c r="E66" s="731"/>
      <c r="F66" s="268">
        <f t="shared" si="5"/>
        <v>361913.15</v>
      </c>
      <c r="G66" s="445">
        <f>IF(G$8='5.Variables'!$B$10,+'5.Variables'!$K25,+IF(G$8='5.Variables'!$B$33,+'5.Variables'!$K48,+IF(G$8='5.Variables'!$B$56,+'5.Variables'!$K62,+IF(G$8='5.Variables'!$B$70,+'5.Variables'!$K76,+IF(G$8='5.Variables'!$B$84,+'5.Variables'!$K90,+IF(G$8='5.Variables'!$B$98,+'5.Variables'!$K104,0))))))</f>
        <v>75.8</v>
      </c>
      <c r="H66" s="445">
        <f>IF(H$8='5.Variables'!$B$10,+'5.Variables'!$K25,+IF(H$8='5.Variables'!$B$33,+'5.Variables'!$K48,+IF(H$8='5.Variables'!$B$56,+'5.Variables'!$K62,+IF(H$8='5.Variables'!$B$70,+'5.Variables'!$K76,+IF(H$8='5.Variables'!$B$84,+'5.Variables'!$K90,+IF(H$8='5.Variables'!$B$98,+'5.Variables'!$K104,0))))))</f>
        <v>10.7</v>
      </c>
      <c r="I66" s="445">
        <f>IF(I$8='5.Variables'!$B$10,+'5.Variables'!$K25,+IF(I$8='5.Variables'!$B$33,+'5.Variables'!$K48,+IF(I$8='5.Variables'!$B$56,+'5.Variables'!$K62,+IF(I$8='5.Variables'!$B$70,+'5.Variables'!$K76,+IF(I$8='5.Variables'!$B$84,+'5.Variables'!$K90,+IF(I$8='5.Variables'!$B$98,+'5.Variables'!$K104,0))))))</f>
        <v>30</v>
      </c>
      <c r="J66" s="445">
        <f>IF(J$8='5.Variables'!$B$10,+'5.Variables'!$K25,+IF(J$8='5.Variables'!$B$33,+'5.Variables'!$K48,+IF(J$8='5.Variables'!$B$56,+'5.Variables'!$K62,+IF(J$8='5.Variables'!$B$70,+'5.Variables'!$K76,+IF(J$8='5.Variables'!$B$84,+'5.Variables'!$K90,+IF(J$8='5.Variables'!$B$98,+'5.Variables'!$K104,0))))))</f>
        <v>1</v>
      </c>
      <c r="K66" s="445">
        <f>IF(K$8='5.Variables'!$B$10,+'5.Variables'!$K25,+IF(K$8='5.Variables'!$B$33,+'5.Variables'!$K48,+IF(K$8='5.Variables'!$B$56,+'5.Variables'!$K62,+IF(K$8='5.Variables'!$B$70,+'5.Variables'!$K76,+IF(K$8='5.Variables'!$B$84,+'5.Variables'!$K90,+IF(K$8='5.Variables'!$B$98,+'5.Variables'!$K104,0))))))</f>
        <v>0</v>
      </c>
      <c r="L66" s="445">
        <f>IF(L$8='5.Variables'!$B$10,+'5.Variables'!$K25,+IF(L$8='5.Variables'!$B$33,+'5.Variables'!$K48,+IF(L$8='5.Variables'!$B$56,+'5.Variables'!$K62,+IF(L$8='5.Variables'!$B$70,+'5.Variables'!$K76,+IF(L$8='5.Variables'!$B$84,+'5.Variables'!$K90,+IF(L$8='5.Variables'!$B$98,+'5.Variables'!$K104,0))))))</f>
        <v>0</v>
      </c>
      <c r="M66" s="240"/>
      <c r="N66" s="268">
        <f t="shared" si="2"/>
        <v>339955.63242512272</v>
      </c>
      <c r="O66" s="272"/>
      <c r="P66" s="240"/>
      <c r="Q66" s="288"/>
      <c r="R66" s="288"/>
      <c r="S66" s="288"/>
      <c r="T66" s="908"/>
      <c r="U66"/>
      <c r="V66"/>
      <c r="W66"/>
      <c r="X66"/>
      <c r="Y66"/>
      <c r="Z66" s="240"/>
      <c r="AA66" s="240"/>
      <c r="AB66" s="240"/>
      <c r="AC66" s="240"/>
      <c r="AD66" s="240"/>
      <c r="AE66" s="240"/>
      <c r="AF66" s="240"/>
      <c r="AG66" s="240"/>
      <c r="AH66" s="240"/>
      <c r="AI66" s="240"/>
    </row>
    <row r="67" spans="1:35" x14ac:dyDescent="0.2">
      <c r="A67" s="675">
        <f t="shared" si="1"/>
        <v>58</v>
      </c>
      <c r="B67" s="266" t="str">
        <f>CONCATENATE('3. Consumption by Rate Class'!B73,"-",'3. Consumption by Rate Class'!C73)</f>
        <v>2009-October</v>
      </c>
      <c r="C67" s="270">
        <v>338114.58</v>
      </c>
      <c r="D67" s="731"/>
      <c r="E67" s="731"/>
      <c r="F67" s="268">
        <f t="shared" si="5"/>
        <v>338114.58</v>
      </c>
      <c r="G67" s="445">
        <f>IF(G$8='5.Variables'!$B$10,+'5.Variables'!$L25,+IF(G$8='5.Variables'!$B$33,+'5.Variables'!$L48,+IF(G$8='5.Variables'!$B$56,+'5.Variables'!$L62,+IF(G$8='5.Variables'!$B$70,+'5.Variables'!$L76,+IF(G$8='5.Variables'!$B$84,+'5.Variables'!$L90,+IF(G$8='5.Variables'!$B$98,+'5.Variables'!$L104,0))))))</f>
        <v>296.5</v>
      </c>
      <c r="H67" s="445">
        <f>IF(H$8='5.Variables'!$B$10,+'5.Variables'!$L25,+IF(H$8='5.Variables'!$B$33,+'5.Variables'!$L48,+IF(H$8='5.Variables'!$B$56,+'5.Variables'!$L62,+IF(H$8='5.Variables'!$B$70,+'5.Variables'!$L76,+IF(H$8='5.Variables'!$B$84,+'5.Variables'!$L90,+IF(H$8='5.Variables'!$B$98,+'5.Variables'!$L104,0))))))</f>
        <v>0</v>
      </c>
      <c r="I67" s="445">
        <f>IF(I$8='5.Variables'!$B$10,+'5.Variables'!$L25,+IF(I$8='5.Variables'!$B$33,+'5.Variables'!$L48,+IF(I$8='5.Variables'!$B$56,+'5.Variables'!$L62,+IF(I$8='5.Variables'!$B$70,+'5.Variables'!$L76,+IF(I$8='5.Variables'!$B$84,+'5.Variables'!$L90,+IF(I$8='5.Variables'!$B$98,+'5.Variables'!$L104,0))))))</f>
        <v>31</v>
      </c>
      <c r="J67" s="445">
        <f>IF(J$8='5.Variables'!$B$10,+'5.Variables'!$L25,+IF(J$8='5.Variables'!$B$33,+'5.Variables'!$L48,+IF(J$8='5.Variables'!$B$56,+'5.Variables'!$L62,+IF(J$8='5.Variables'!$B$70,+'5.Variables'!$L76,+IF(J$8='5.Variables'!$B$84,+'5.Variables'!$L90,+IF(J$8='5.Variables'!$B$98,+'5.Variables'!$L104,0))))))</f>
        <v>1</v>
      </c>
      <c r="K67" s="445">
        <f>IF(K$8='5.Variables'!$B$10,+'5.Variables'!$L25,+IF(K$8='5.Variables'!$B$33,+'5.Variables'!$L48,+IF(K$8='5.Variables'!$B$56,+'5.Variables'!$L62,+IF(K$8='5.Variables'!$B$70,+'5.Variables'!$L76,+IF(K$8='5.Variables'!$B$84,+'5.Variables'!$L90,+IF(K$8='5.Variables'!$B$98,+'5.Variables'!$L104,0))))))</f>
        <v>0</v>
      </c>
      <c r="L67" s="445">
        <f>IF(L$8='5.Variables'!$B$10,+'5.Variables'!$L25,+IF(L$8='5.Variables'!$B$33,+'5.Variables'!$L48,+IF(L$8='5.Variables'!$B$56,+'5.Variables'!$L62,+IF(L$8='5.Variables'!$B$70,+'5.Variables'!$L76,+IF(L$8='5.Variables'!$B$84,+'5.Variables'!$L90,+IF(L$8='5.Variables'!$B$98,+'5.Variables'!$L104,0))))))</f>
        <v>0</v>
      </c>
      <c r="M67" s="240"/>
      <c r="N67" s="268">
        <f t="shared" si="2"/>
        <v>337209.00159628724</v>
      </c>
      <c r="O67" s="272"/>
      <c r="P67" s="240"/>
      <c r="Q67" s="288"/>
      <c r="R67" s="288"/>
      <c r="S67" s="288"/>
      <c r="T67" s="908"/>
      <c r="U67"/>
      <c r="V67"/>
      <c r="W67"/>
      <c r="X67"/>
      <c r="Y67"/>
      <c r="Z67" s="240"/>
      <c r="AA67" s="240"/>
      <c r="AB67" s="240"/>
      <c r="AC67" s="240"/>
      <c r="AD67" s="240"/>
      <c r="AE67" s="240"/>
      <c r="AF67" s="240"/>
      <c r="AG67" s="240"/>
      <c r="AH67" s="240"/>
      <c r="AI67" s="240"/>
    </row>
    <row r="68" spans="1:35" x14ac:dyDescent="0.2">
      <c r="A68" s="675">
        <f t="shared" si="1"/>
        <v>59</v>
      </c>
      <c r="B68" s="266" t="str">
        <f>CONCATENATE('3. Consumption by Rate Class'!B74,"-",'3. Consumption by Rate Class'!C74)</f>
        <v>2009-November</v>
      </c>
      <c r="C68" s="270">
        <v>334022.76</v>
      </c>
      <c r="D68" s="731"/>
      <c r="E68" s="731"/>
      <c r="F68" s="268">
        <f t="shared" si="5"/>
        <v>334022.76</v>
      </c>
      <c r="G68" s="445">
        <f>IF(G$8='5.Variables'!$B$10,+'5.Variables'!$M25,+IF(G$8='5.Variables'!$B$33,+'5.Variables'!$M48,+IF(G$8='5.Variables'!$B$56,+'5.Variables'!$M62,+IF(G$8='5.Variables'!$B$70,+'5.Variables'!$M76,+IF(G$8='5.Variables'!$B$84,+'5.Variables'!$M90,+IF(G$8='5.Variables'!$B$98,+'5.Variables'!$M104,0))))))</f>
        <v>351.5</v>
      </c>
      <c r="H68" s="445">
        <f>IF(H$8='5.Variables'!$B$10,+'5.Variables'!$M25,+IF(H$8='5.Variables'!$B$33,+'5.Variables'!$M48,+IF(H$8='5.Variables'!$B$56,+'5.Variables'!$M62,+IF(H$8='5.Variables'!$B$70,+'5.Variables'!$M76,+IF(H$8='5.Variables'!$B$84,+'5.Variables'!$M90,+IF(H$8='5.Variables'!$B$98,+'5.Variables'!$M104,0))))))</f>
        <v>0</v>
      </c>
      <c r="I68" s="445">
        <f>IF(I$8='5.Variables'!$B$10,+'5.Variables'!$M25,+IF(I$8='5.Variables'!$B$33,+'5.Variables'!$M48,+IF(I$8='5.Variables'!$B$56,+'5.Variables'!$M62,+IF(I$8='5.Variables'!$B$70,+'5.Variables'!$M76,+IF(I$8='5.Variables'!$B$84,+'5.Variables'!$M90,+IF(I$8='5.Variables'!$B$98,+'5.Variables'!$M104,0))))))</f>
        <v>30</v>
      </c>
      <c r="J68" s="445">
        <f>IF(J$8='5.Variables'!$B$10,+'5.Variables'!$M25,+IF(J$8='5.Variables'!$B$33,+'5.Variables'!$M48,+IF(J$8='5.Variables'!$B$56,+'5.Variables'!$M62,+IF(J$8='5.Variables'!$B$70,+'5.Variables'!$M76,+IF(J$8='5.Variables'!$B$84,+'5.Variables'!$M90,+IF(J$8='5.Variables'!$B$98,+'5.Variables'!$M104,0))))))</f>
        <v>1</v>
      </c>
      <c r="K68" s="445">
        <f>IF(K$8='5.Variables'!$B$10,+'5.Variables'!$M25,+IF(K$8='5.Variables'!$B$33,+'5.Variables'!$M48,+IF(K$8='5.Variables'!$B$56,+'5.Variables'!$M62,+IF(K$8='5.Variables'!$B$70,+'5.Variables'!$M76,+IF(K$8='5.Variables'!$B$84,+'5.Variables'!$M90,+IF(K$8='5.Variables'!$B$98,+'5.Variables'!$M104,0))))))</f>
        <v>0</v>
      </c>
      <c r="L68" s="445">
        <f>IF(L$8='5.Variables'!$B$10,+'5.Variables'!$M25,+IF(L$8='5.Variables'!$B$33,+'5.Variables'!$M48,+IF(L$8='5.Variables'!$B$56,+'5.Variables'!$M62,+IF(L$8='5.Variables'!$B$70,+'5.Variables'!$M76,+IF(L$8='5.Variables'!$B$84,+'5.Variables'!$M90,+IF(L$8='5.Variables'!$B$98,+'5.Variables'!$M104,0))))))</f>
        <v>0</v>
      </c>
      <c r="M68" s="240"/>
      <c r="N68" s="268">
        <f t="shared" si="2"/>
        <v>322507.85586850782</v>
      </c>
      <c r="O68" s="272"/>
      <c r="P68" s="240"/>
      <c r="Q68" s="288"/>
      <c r="R68" s="288"/>
      <c r="S68" s="288"/>
      <c r="T68" s="908"/>
      <c r="U68"/>
      <c r="V68"/>
      <c r="W68"/>
      <c r="X68"/>
      <c r="Y68"/>
      <c r="Z68" s="240"/>
      <c r="AA68" s="240"/>
      <c r="AB68" s="240"/>
      <c r="AC68" s="240"/>
      <c r="AD68" s="240"/>
      <c r="AE68" s="240"/>
      <c r="AF68" s="240"/>
      <c r="AG68" s="240"/>
      <c r="AH68" s="240"/>
      <c r="AI68" s="240"/>
    </row>
    <row r="69" spans="1:35" x14ac:dyDescent="0.2">
      <c r="A69" s="675">
        <f t="shared" si="1"/>
        <v>60</v>
      </c>
      <c r="B69" s="266" t="str">
        <f>CONCATENATE('3. Consumption by Rate Class'!B75,"-",'3. Consumption by Rate Class'!C75)</f>
        <v>2009-December</v>
      </c>
      <c r="C69" s="270">
        <v>371712.79</v>
      </c>
      <c r="D69" s="731"/>
      <c r="E69" s="731"/>
      <c r="F69" s="268">
        <f t="shared" si="5"/>
        <v>371712.79</v>
      </c>
      <c r="G69" s="445">
        <f>IF(G$8='5.Variables'!$B$10,+'5.Variables'!$N25,+IF(G$8='5.Variables'!$B$33,+'5.Variables'!$N48,+IF(G$8='5.Variables'!$B$56,+'5.Variables'!$N62,+IF(G$8='5.Variables'!$B$70,+'5.Variables'!$N76,+IF(G$8='5.Variables'!$B$84,+'5.Variables'!$N90,+IF(G$8='5.Variables'!$B$98,+'5.Variables'!$N104,0))))))</f>
        <v>619</v>
      </c>
      <c r="H69" s="445">
        <f>IF(H$8='5.Variables'!$B$10,+'5.Variables'!$N25,+IF(H$8='5.Variables'!$B$33,+'5.Variables'!$N48,+IF(H$8='5.Variables'!$B$56,+'5.Variables'!$N62,+IF(H$8='5.Variables'!$B$70,+'5.Variables'!$N76,+IF(H$8='5.Variables'!$B$84,+'5.Variables'!$N90,+IF(H$8='5.Variables'!$B$98,+'5.Variables'!$N104,0))))))</f>
        <v>0</v>
      </c>
      <c r="I69" s="445">
        <f>IF(I$8='5.Variables'!$B$10,+'5.Variables'!$N25,+IF(I$8='5.Variables'!$B$33,+'5.Variables'!$N48,+IF(I$8='5.Variables'!$B$56,+'5.Variables'!$N62,+IF(I$8='5.Variables'!$B$70,+'5.Variables'!$N76,+IF(I$8='5.Variables'!$B$84,+'5.Variables'!$N90,+IF(I$8='5.Variables'!$B$98,+'5.Variables'!$N104,0))))))</f>
        <v>31</v>
      </c>
      <c r="J69" s="445">
        <f>IF(J$8='5.Variables'!$B$10,+'5.Variables'!$N25,+IF(J$8='5.Variables'!$B$33,+'5.Variables'!$N48,+IF(J$8='5.Variables'!$B$56,+'5.Variables'!$N62,+IF(J$8='5.Variables'!$B$70,+'5.Variables'!$N76,+IF(J$8='5.Variables'!$B$84,+'5.Variables'!$N90,+IF(J$8='5.Variables'!$B$98,+'5.Variables'!$N104,0))))))</f>
        <v>0</v>
      </c>
      <c r="K69" s="445">
        <f>IF(K$8='5.Variables'!$B$10,+'5.Variables'!$N25,+IF(K$8='5.Variables'!$B$33,+'5.Variables'!$N48,+IF(K$8='5.Variables'!$B$56,+'5.Variables'!$N62,+IF(K$8='5.Variables'!$B$70,+'5.Variables'!$N76,+IF(K$8='5.Variables'!$B$84,+'5.Variables'!$N90,+IF(K$8='5.Variables'!$B$98,+'5.Variables'!$N104,0))))))</f>
        <v>0</v>
      </c>
      <c r="L69" s="445">
        <f>IF(L$8='5.Variables'!$B$10,+'5.Variables'!$N25,+IF(L$8='5.Variables'!$B$33,+'5.Variables'!$N48,+IF(L$8='5.Variables'!$B$56,+'5.Variables'!$N62,+IF(L$8='5.Variables'!$B$70,+'5.Variables'!$N76,+IF(L$8='5.Variables'!$B$84,+'5.Variables'!$N90,+IF(L$8='5.Variables'!$B$98,+'5.Variables'!$N104,0))))))</f>
        <v>0</v>
      </c>
      <c r="M69" s="240"/>
      <c r="N69" s="268">
        <f t="shared" si="2"/>
        <v>332634.91336791188</v>
      </c>
      <c r="O69" s="272">
        <f>SUM(N58:N69)</f>
        <v>4052678.8787053344</v>
      </c>
      <c r="P69" s="240"/>
      <c r="Q69" s="288"/>
      <c r="R69" s="288"/>
      <c r="S69" s="288"/>
      <c r="T69" s="908"/>
      <c r="U69"/>
      <c r="V69"/>
      <c r="W69"/>
      <c r="X69"/>
      <c r="Y69"/>
      <c r="Z69" s="240"/>
      <c r="AA69" s="240"/>
      <c r="AB69" s="240"/>
      <c r="AC69" s="240"/>
      <c r="AD69" s="240"/>
      <c r="AE69" s="240"/>
      <c r="AF69" s="240"/>
      <c r="AG69" s="240"/>
      <c r="AH69" s="240"/>
      <c r="AI69" s="240"/>
    </row>
    <row r="70" spans="1:35" x14ac:dyDescent="0.2">
      <c r="A70" s="675">
        <f t="shared" si="1"/>
        <v>61</v>
      </c>
      <c r="B70" s="266" t="str">
        <f>CONCATENATE('3. Consumption by Rate Class'!B76,"-",'3. Consumption by Rate Class'!C76)</f>
        <v>2010-January</v>
      </c>
      <c r="C70" s="270">
        <v>338688.3</v>
      </c>
      <c r="D70" s="731"/>
      <c r="E70" s="731"/>
      <c r="F70" s="268">
        <f t="shared" si="5"/>
        <v>338688.3</v>
      </c>
      <c r="G70" s="445">
        <f>IF(G$8='5.Variables'!$B$10,+'5.Variables'!$C26,+IF(G$8='5.Variables'!$B$33,+'5.Variables'!$C49,+IF(G$8='5.Variables'!$B$56,+'5.Variables'!$C63,+IF(G$8='5.Variables'!$B$70,+'5.Variables'!$C77,+IF(G$8='5.Variables'!$B$84,+'5.Variables'!$C91,+IF(G$8='5.Variables'!$B$98,+'5.Variables'!$C105,0))))))</f>
        <v>725.8</v>
      </c>
      <c r="H70" s="445">
        <f>IF(H$8='5.Variables'!$B$10,+'5.Variables'!$C26,+IF(H$8='5.Variables'!$B$33,+'5.Variables'!$C49,+IF(H$8='5.Variables'!$B$56,+'5.Variables'!$C63,+IF(H$8='5.Variables'!$B$70,+'5.Variables'!$C77,+IF(H$8='5.Variables'!$B$84,+'5.Variables'!$C91,+IF(H$8='5.Variables'!$B$98,+'5.Variables'!$C105,0))))))</f>
        <v>0</v>
      </c>
      <c r="I70" s="445">
        <f>IF(I$8='5.Variables'!$B$10,+'5.Variables'!$C26,+IF(I$8='5.Variables'!$B$33,+'5.Variables'!$C49,+IF(I$8='5.Variables'!$B$56,+'5.Variables'!$C63,+IF(I$8='5.Variables'!$B$70,+'5.Variables'!$C77,+IF(I$8='5.Variables'!$B$84,+'5.Variables'!$C91,+IF(I$8='5.Variables'!$B$98,+'5.Variables'!$C105,0))))))</f>
        <v>31</v>
      </c>
      <c r="J70" s="445">
        <f>IF(J$8='5.Variables'!$B$10,+'5.Variables'!$C26,+IF(J$8='5.Variables'!$B$33,+'5.Variables'!$C49,+IF(J$8='5.Variables'!$B$56,+'5.Variables'!$C63,+IF(J$8='5.Variables'!$B$70,+'5.Variables'!$C77,+IF(J$8='5.Variables'!$B$84,+'5.Variables'!$C91,+IF(J$8='5.Variables'!$B$98,+'5.Variables'!$C105,0))))))</f>
        <v>0</v>
      </c>
      <c r="K70" s="445">
        <f>IF(K$8='5.Variables'!$B$10,+'5.Variables'!$C26,+IF(K$8='5.Variables'!$B$33,+'5.Variables'!$C49,+IF(K$8='5.Variables'!$B$56,+'5.Variables'!$C63,+IF(K$8='5.Variables'!$B$70,+'5.Variables'!$C77,+IF(K$8='5.Variables'!$B$84,+'5.Variables'!$C91,+IF(K$8='5.Variables'!$B$98,+'5.Variables'!$C105,0))))))</f>
        <v>0</v>
      </c>
      <c r="L70" s="445">
        <f>IF(L$8='5.Variables'!$B$10,+'5.Variables'!$C26,+IF(L$8='5.Variables'!$B$33,+'5.Variables'!$C49,+IF(L$8='5.Variables'!$B$56,+'5.Variables'!$C63,+IF(L$8='5.Variables'!$B$70,+'5.Variables'!$C77,+IF(L$8='5.Variables'!$B$84,+'5.Variables'!$C91,+IF(L$8='5.Variables'!$B$98,+'5.Variables'!$C105,0))))))</f>
        <v>0</v>
      </c>
      <c r="M70" s="240"/>
      <c r="N70" s="268">
        <f t="shared" si="2"/>
        <v>327464.36348092032</v>
      </c>
      <c r="O70" s="272"/>
      <c r="P70" s="240"/>
      <c r="Q70" s="288"/>
      <c r="R70" s="288"/>
      <c r="S70" s="288"/>
      <c r="T70" s="908"/>
      <c r="U70"/>
      <c r="V70"/>
      <c r="W70"/>
      <c r="X70"/>
      <c r="Y70"/>
      <c r="Z70" s="240"/>
      <c r="AA70" s="240"/>
      <c r="AB70" s="240"/>
      <c r="AC70" s="240"/>
      <c r="AD70" s="240"/>
      <c r="AE70" s="240"/>
      <c r="AF70" s="240"/>
      <c r="AG70" s="240"/>
      <c r="AH70" s="240"/>
      <c r="AI70" s="240"/>
    </row>
    <row r="71" spans="1:35" x14ac:dyDescent="0.2">
      <c r="A71" s="675">
        <f t="shared" si="1"/>
        <v>62</v>
      </c>
      <c r="B71" s="266" t="str">
        <f>CONCATENATE('3. Consumption by Rate Class'!B77,"-",'3. Consumption by Rate Class'!C77)</f>
        <v>2010-February</v>
      </c>
      <c r="C71" s="270">
        <v>296383.77</v>
      </c>
      <c r="D71" s="731"/>
      <c r="E71" s="731"/>
      <c r="F71" s="268">
        <f t="shared" si="5"/>
        <v>296383.77</v>
      </c>
      <c r="G71" s="445">
        <f>IF(G$8='5.Variables'!$B$10,+'5.Variables'!$D26,+IF(G$8='5.Variables'!$B$33,+'5.Variables'!$D49,+IF(G$8='5.Variables'!$B$56,+'5.Variables'!$D63,+IF(G$8='5.Variables'!$B$70,+'5.Variables'!$D77,+IF(G$8='5.Variables'!$B$84,+'5.Variables'!$D91,+IF(G$8='5.Variables'!$B$98,+'5.Variables'!$D105,0))))))</f>
        <v>625.29999999999995</v>
      </c>
      <c r="H71" s="445">
        <f>IF(H$8='5.Variables'!$B$10,+'5.Variables'!$D26,+IF(H$8='5.Variables'!$B$33,+'5.Variables'!$D49,+IF(H$8='5.Variables'!$B$56,+'5.Variables'!$D63,+IF(H$8='5.Variables'!$B$70,+'5.Variables'!$D77,+IF(H$8='5.Variables'!$B$84,+'5.Variables'!$D91,+IF(H$8='5.Variables'!$B$98,+'5.Variables'!$D105,0))))))</f>
        <v>0</v>
      </c>
      <c r="I71" s="445">
        <f>IF(I$8='5.Variables'!$B$10,+'5.Variables'!$D26,+IF(I$8='5.Variables'!$B$33,+'5.Variables'!$D49,+IF(I$8='5.Variables'!$B$56,+'5.Variables'!$D63,+IF(I$8='5.Variables'!$B$70,+'5.Variables'!$D77,+IF(I$8='5.Variables'!$B$84,+'5.Variables'!$D91,+IF(I$8='5.Variables'!$B$98,+'5.Variables'!$D105,0))))))</f>
        <v>28</v>
      </c>
      <c r="J71" s="445">
        <f>IF(J$8='5.Variables'!$B$10,+'5.Variables'!$D26,+IF(J$8='5.Variables'!$B$33,+'5.Variables'!$D49,+IF(J$8='5.Variables'!$B$56,+'5.Variables'!$D63,+IF(J$8='5.Variables'!$B$70,+'5.Variables'!$D77,+IF(J$8='5.Variables'!$B$84,+'5.Variables'!$D91,+IF(J$8='5.Variables'!$B$98,+'5.Variables'!$D105,0))))))</f>
        <v>0</v>
      </c>
      <c r="K71" s="445">
        <f>IF(K$8='5.Variables'!$B$10,+'5.Variables'!$D26,+IF(K$8='5.Variables'!$B$33,+'5.Variables'!$D49,+IF(K$8='5.Variables'!$B$56,+'5.Variables'!$D63,+IF(K$8='5.Variables'!$B$70,+'5.Variables'!$D77,+IF(K$8='5.Variables'!$B$84,+'5.Variables'!$D91,+IF(K$8='5.Variables'!$B$98,+'5.Variables'!$D105,0))))))</f>
        <v>0</v>
      </c>
      <c r="L71" s="445">
        <f>IF(L$8='5.Variables'!$B$10,+'5.Variables'!$D26,+IF(L$8='5.Variables'!$B$33,+'5.Variables'!$D49,+IF(L$8='5.Variables'!$B$56,+'5.Variables'!$D63,+IF(L$8='5.Variables'!$B$70,+'5.Variables'!$D77,+IF(L$8='5.Variables'!$B$84,+'5.Variables'!$D91,+IF(L$8='5.Variables'!$B$98,+'5.Variables'!$D105,0))))))</f>
        <v>0</v>
      </c>
      <c r="M71" s="240"/>
      <c r="N71" s="268">
        <f t="shared" si="2"/>
        <v>296214.68093237857</v>
      </c>
      <c r="O71" s="272"/>
      <c r="P71" s="240"/>
      <c r="Q71" s="288"/>
      <c r="R71" s="288"/>
      <c r="S71" s="288"/>
      <c r="T71" s="908"/>
      <c r="U71"/>
      <c r="V71"/>
      <c r="W71"/>
      <c r="X71"/>
      <c r="Y71"/>
      <c r="Z71" s="240"/>
      <c r="AA71" s="240"/>
      <c r="AB71" s="240"/>
      <c r="AC71" s="240"/>
      <c r="AD71" s="240"/>
      <c r="AE71" s="240"/>
      <c r="AF71" s="240"/>
      <c r="AG71" s="240"/>
      <c r="AH71" s="240"/>
      <c r="AI71" s="240"/>
    </row>
    <row r="72" spans="1:35" x14ac:dyDescent="0.2">
      <c r="A72" s="675">
        <f t="shared" si="1"/>
        <v>63</v>
      </c>
      <c r="B72" s="266" t="str">
        <f>CONCATENATE('3. Consumption by Rate Class'!B78,"-",'3. Consumption by Rate Class'!C78)</f>
        <v>2010-March</v>
      </c>
      <c r="C72" s="270">
        <v>334687.71999999991</v>
      </c>
      <c r="D72" s="731"/>
      <c r="E72" s="731"/>
      <c r="F72" s="268">
        <f t="shared" si="5"/>
        <v>334687.71999999991</v>
      </c>
      <c r="G72" s="445">
        <f>IF(G$8='5.Variables'!$B$10,+'5.Variables'!$E26,+IF(G$8='5.Variables'!$B$33,+'5.Variables'!$E49,+IF(G$8='5.Variables'!$B$56,+'5.Variables'!$E63,+IF(G$8='5.Variables'!$B$70,+'5.Variables'!$E77,+IF(G$8='5.Variables'!$B$84,+'5.Variables'!$E91,+IF(G$8='5.Variables'!$B$98,+'5.Variables'!$E105,0))))))</f>
        <v>485</v>
      </c>
      <c r="H72" s="445">
        <f>IF(H$8='5.Variables'!$B$10,+'5.Variables'!$E26,+IF(H$8='5.Variables'!$B$33,+'5.Variables'!$E49,+IF(H$8='5.Variables'!$B$56,+'5.Variables'!$E63,+IF(H$8='5.Variables'!$B$70,+'5.Variables'!$E77,+IF(H$8='5.Variables'!$B$84,+'5.Variables'!$E91,+IF(H$8='5.Variables'!$B$98,+'5.Variables'!$E105,0))))))</f>
        <v>0</v>
      </c>
      <c r="I72" s="445">
        <f>IF(I$8='5.Variables'!$B$10,+'5.Variables'!$E26,+IF(I$8='5.Variables'!$B$33,+'5.Variables'!$E49,+IF(I$8='5.Variables'!$B$56,+'5.Variables'!$E63,+IF(I$8='5.Variables'!$B$70,+'5.Variables'!$E77,+IF(I$8='5.Variables'!$B$84,+'5.Variables'!$E91,+IF(I$8='5.Variables'!$B$98,+'5.Variables'!$E105,0))))))</f>
        <v>31</v>
      </c>
      <c r="J72" s="445">
        <f>IF(J$8='5.Variables'!$B$10,+'5.Variables'!$E26,+IF(J$8='5.Variables'!$B$33,+'5.Variables'!$E49,+IF(J$8='5.Variables'!$B$56,+'5.Variables'!$E63,+IF(J$8='5.Variables'!$B$70,+'5.Variables'!$E77,+IF(J$8='5.Variables'!$B$84,+'5.Variables'!$E91,+IF(J$8='5.Variables'!$B$98,+'5.Variables'!$E105,0))))))</f>
        <v>1</v>
      </c>
      <c r="K72" s="445">
        <f>IF(K$8='5.Variables'!$B$10,+'5.Variables'!$E26,+IF(K$8='5.Variables'!$B$33,+'5.Variables'!$E49,+IF(K$8='5.Variables'!$B$56,+'5.Variables'!$E63,+IF(K$8='5.Variables'!$B$70,+'5.Variables'!$E77,+IF(K$8='5.Variables'!$B$84,+'5.Variables'!$E91,+IF(K$8='5.Variables'!$B$98,+'5.Variables'!$E105,0))))))</f>
        <v>0</v>
      </c>
      <c r="L72" s="445">
        <f>IF(L$8='5.Variables'!$B$10,+'5.Variables'!$E26,+IF(L$8='5.Variables'!$B$33,+'5.Variables'!$E49,+IF(L$8='5.Variables'!$B$56,+'5.Variables'!$E63,+IF(L$8='5.Variables'!$B$70,+'5.Variables'!$E77,+IF(L$8='5.Variables'!$B$84,+'5.Variables'!$E91,+IF(L$8='5.Variables'!$B$98,+'5.Variables'!$E105,0))))))</f>
        <v>0</v>
      </c>
      <c r="M72" s="240"/>
      <c r="N72" s="268">
        <f t="shared" si="2"/>
        <v>328083.07787252398</v>
      </c>
      <c r="O72" s="272"/>
      <c r="P72" s="240"/>
      <c r="Q72" s="288"/>
      <c r="R72" s="288"/>
      <c r="S72" s="288"/>
      <c r="T72" s="908"/>
      <c r="U72"/>
      <c r="V72"/>
      <c r="W72"/>
      <c r="X72"/>
      <c r="Y72"/>
      <c r="Z72" s="240"/>
      <c r="AA72" s="240"/>
      <c r="AB72" s="240"/>
      <c r="AC72" s="240"/>
      <c r="AD72" s="240"/>
      <c r="AE72" s="240"/>
      <c r="AF72" s="240"/>
      <c r="AG72" s="240"/>
      <c r="AH72" s="240"/>
      <c r="AI72" s="240"/>
    </row>
    <row r="73" spans="1:35" x14ac:dyDescent="0.2">
      <c r="A73" s="675">
        <f t="shared" si="1"/>
        <v>64</v>
      </c>
      <c r="B73" s="266" t="str">
        <f>CONCATENATE('3. Consumption by Rate Class'!B79,"-",'3. Consumption by Rate Class'!C79)</f>
        <v>2010-April</v>
      </c>
      <c r="C73" s="270">
        <v>334650.61</v>
      </c>
      <c r="D73" s="731"/>
      <c r="E73" s="731"/>
      <c r="F73" s="268">
        <f t="shared" si="5"/>
        <v>334650.61</v>
      </c>
      <c r="G73" s="445">
        <f>IF(G$8='5.Variables'!$B$10,+'5.Variables'!$F26,+IF(G$8='5.Variables'!$B$33,+'5.Variables'!$F49,+IF(G$8='5.Variables'!$B$56,+'5.Variables'!$F63,+IF(G$8='5.Variables'!$B$70,+'5.Variables'!$F77,+IF(G$8='5.Variables'!$B$84,+'5.Variables'!$F91,+IF(G$8='5.Variables'!$B$98,+'5.Variables'!$F105,0))))))</f>
        <v>265</v>
      </c>
      <c r="H73" s="445">
        <f>IF(H$8='5.Variables'!$B$10,+'5.Variables'!$F26,+IF(H$8='5.Variables'!$B$33,+'5.Variables'!$F49,+IF(H$8='5.Variables'!$B$56,+'5.Variables'!$F63,+IF(H$8='5.Variables'!$B$70,+'5.Variables'!$F77,+IF(H$8='5.Variables'!$B$84,+'5.Variables'!$F91,+IF(H$8='5.Variables'!$B$98,+'5.Variables'!$F105,0))))))</f>
        <v>3</v>
      </c>
      <c r="I73" s="445">
        <f>IF(I$8='5.Variables'!$B$10,+'5.Variables'!$F26,+IF(I$8='5.Variables'!$B$33,+'5.Variables'!$F49,+IF(I$8='5.Variables'!$B$56,+'5.Variables'!$F63,+IF(I$8='5.Variables'!$B$70,+'5.Variables'!$F77,+IF(I$8='5.Variables'!$B$84,+'5.Variables'!$F91,+IF(I$8='5.Variables'!$B$98,+'5.Variables'!$F105,0))))))</f>
        <v>30</v>
      </c>
      <c r="J73" s="445">
        <f>IF(J$8='5.Variables'!$B$10,+'5.Variables'!$F26,+IF(J$8='5.Variables'!$B$33,+'5.Variables'!$F49,+IF(J$8='5.Variables'!$B$56,+'5.Variables'!$F63,+IF(J$8='5.Variables'!$B$70,+'5.Variables'!$F77,+IF(J$8='5.Variables'!$B$84,+'5.Variables'!$F91,+IF(J$8='5.Variables'!$B$98,+'5.Variables'!$F105,0))))))</f>
        <v>1</v>
      </c>
      <c r="K73" s="445">
        <f>IF(K$8='5.Variables'!$B$10,+'5.Variables'!$F26,+IF(K$8='5.Variables'!$B$33,+'5.Variables'!$F49,+IF(K$8='5.Variables'!$B$56,+'5.Variables'!$F63,+IF(K$8='5.Variables'!$B$70,+'5.Variables'!$F77,+IF(K$8='5.Variables'!$B$84,+'5.Variables'!$F91,+IF(K$8='5.Variables'!$B$98,+'5.Variables'!$F105,0))))))</f>
        <v>0</v>
      </c>
      <c r="L73" s="445">
        <f>IF(L$8='5.Variables'!$B$10,+'5.Variables'!$F26,+IF(L$8='5.Variables'!$B$33,+'5.Variables'!$F49,+IF(L$8='5.Variables'!$B$56,+'5.Variables'!$F63,+IF(L$8='5.Variables'!$B$70,+'5.Variables'!$F77,+IF(L$8='5.Variables'!$B$84,+'5.Variables'!$F91,+IF(L$8='5.Variables'!$B$98,+'5.Variables'!$F105,0))))))</f>
        <v>0</v>
      </c>
      <c r="M73" s="240"/>
      <c r="N73" s="268">
        <f t="shared" si="2"/>
        <v>327845.20425759541</v>
      </c>
      <c r="O73" s="272"/>
      <c r="P73" s="240"/>
      <c r="Q73" s="288"/>
      <c r="R73" s="288"/>
      <c r="S73" s="288"/>
      <c r="T73" s="908"/>
      <c r="U73"/>
      <c r="V73"/>
      <c r="W73"/>
      <c r="X73"/>
      <c r="Y73"/>
      <c r="Z73" s="240"/>
      <c r="AA73" s="240"/>
      <c r="AB73" s="240"/>
      <c r="AC73" s="240"/>
      <c r="AD73" s="240"/>
      <c r="AE73" s="240"/>
      <c r="AF73" s="240"/>
      <c r="AG73" s="240"/>
      <c r="AH73" s="240"/>
      <c r="AI73" s="240"/>
    </row>
    <row r="74" spans="1:35" x14ac:dyDescent="0.2">
      <c r="A74" s="675">
        <f t="shared" si="1"/>
        <v>65</v>
      </c>
      <c r="B74" s="266" t="str">
        <f>CONCATENATE('3. Consumption by Rate Class'!B80,"-",'3. Consumption by Rate Class'!C80)</f>
        <v>2010-May</v>
      </c>
      <c r="C74" s="270">
        <v>375222.38</v>
      </c>
      <c r="D74" s="731"/>
      <c r="E74" s="731"/>
      <c r="F74" s="268">
        <f t="shared" ref="F74:F105" si="10">SUM(C74:E74)</f>
        <v>375222.38</v>
      </c>
      <c r="G74" s="445">
        <f>IF(G$8='5.Variables'!$B$10,+'5.Variables'!$G26,+IF(G$8='5.Variables'!$B$33,+'5.Variables'!$G49,+IF(G$8='5.Variables'!$B$56,+'5.Variables'!$G63,+IF(G$8='5.Variables'!$B$70,+'5.Variables'!$G77,+IF(G$8='5.Variables'!$B$84,+'5.Variables'!$G91,+IF(G$8='5.Variables'!$B$98,+'5.Variables'!$G105,0))))))</f>
        <v>139</v>
      </c>
      <c r="H74" s="445">
        <f>IF(H$8='5.Variables'!$B$10,+'5.Variables'!$G26,+IF(H$8='5.Variables'!$B$33,+'5.Variables'!$G49,+IF(H$8='5.Variables'!$B$56,+'5.Variables'!$G63,+IF(H$8='5.Variables'!$B$70,+'5.Variables'!$G77,+IF(H$8='5.Variables'!$B$84,+'5.Variables'!$G91,+IF(H$8='5.Variables'!$B$98,+'5.Variables'!$G105,0))))))</f>
        <v>20.7</v>
      </c>
      <c r="I74" s="445">
        <f>IF(I$8='5.Variables'!$B$10,+'5.Variables'!$G26,+IF(I$8='5.Variables'!$B$33,+'5.Variables'!$G49,+IF(I$8='5.Variables'!$B$56,+'5.Variables'!$G63,+IF(I$8='5.Variables'!$B$70,+'5.Variables'!$G77,+IF(I$8='5.Variables'!$B$84,+'5.Variables'!$G91,+IF(I$8='5.Variables'!$B$98,+'5.Variables'!$G105,0))))))</f>
        <v>31</v>
      </c>
      <c r="J74" s="445">
        <f>IF(J$8='5.Variables'!$B$10,+'5.Variables'!$G26,+IF(J$8='5.Variables'!$B$33,+'5.Variables'!$G49,+IF(J$8='5.Variables'!$B$56,+'5.Variables'!$G63,+IF(J$8='5.Variables'!$B$70,+'5.Variables'!$G77,+IF(J$8='5.Variables'!$B$84,+'5.Variables'!$G91,+IF(J$8='5.Variables'!$B$98,+'5.Variables'!$G105,0))))))</f>
        <v>1</v>
      </c>
      <c r="K74" s="445">
        <f>IF(K$8='5.Variables'!$B$10,+'5.Variables'!$G26,+IF(K$8='5.Variables'!$B$33,+'5.Variables'!$G49,+IF(K$8='5.Variables'!$B$56,+'5.Variables'!$G63,+IF(K$8='5.Variables'!$B$70,+'5.Variables'!$G77,+IF(K$8='5.Variables'!$B$84,+'5.Variables'!$G91,+IF(K$8='5.Variables'!$B$98,+'5.Variables'!$G105,0))))))</f>
        <v>0</v>
      </c>
      <c r="L74" s="445">
        <f>IF(L$8='5.Variables'!$B$10,+'5.Variables'!$G26,+IF(L$8='5.Variables'!$B$33,+'5.Variables'!$G49,+IF(L$8='5.Variables'!$B$56,+'5.Variables'!$G63,+IF(L$8='5.Variables'!$B$70,+'5.Variables'!$G77,+IF(L$8='5.Variables'!$B$84,+'5.Variables'!$G91,+IF(L$8='5.Variables'!$B$98,+'5.Variables'!$G105,0))))))</f>
        <v>0</v>
      </c>
      <c r="M74" s="240"/>
      <c r="N74" s="268">
        <f t="shared" si="2"/>
        <v>352766.28326329729</v>
      </c>
      <c r="O74" s="272"/>
      <c r="P74" s="240"/>
      <c r="Q74" s="288"/>
      <c r="R74" s="288"/>
      <c r="S74" s="288"/>
      <c r="T74" s="908"/>
      <c r="U74"/>
      <c r="V74"/>
      <c r="W74"/>
      <c r="X74"/>
      <c r="Y74"/>
      <c r="Z74" s="240"/>
      <c r="AA74" s="240"/>
      <c r="AB74" s="240"/>
      <c r="AC74" s="240"/>
      <c r="AD74" s="240"/>
      <c r="AE74" s="240"/>
      <c r="AF74" s="240"/>
      <c r="AG74" s="240"/>
      <c r="AH74" s="240"/>
      <c r="AI74" s="240"/>
    </row>
    <row r="75" spans="1:35" x14ac:dyDescent="0.2">
      <c r="A75" s="675">
        <f t="shared" si="1"/>
        <v>66</v>
      </c>
      <c r="B75" s="266" t="str">
        <f>CONCATENATE('3. Consumption by Rate Class'!B81,"-",'3. Consumption by Rate Class'!C81)</f>
        <v>2010-June</v>
      </c>
      <c r="C75" s="270">
        <v>372202.23</v>
      </c>
      <c r="D75" s="731"/>
      <c r="E75" s="731"/>
      <c r="F75" s="268">
        <f t="shared" si="10"/>
        <v>372202.23</v>
      </c>
      <c r="G75" s="445">
        <f>IF(G$8='5.Variables'!$B$10,+'5.Variables'!$H26,+IF(G$8='5.Variables'!$B$33,+'5.Variables'!$H49,+IF(G$8='5.Variables'!$B$56,+'5.Variables'!$H63,+IF(G$8='5.Variables'!$B$70,+'5.Variables'!$H77,+IF(G$8='5.Variables'!$B$84,+'5.Variables'!$H91,+IF(G$8='5.Variables'!$B$98,+'5.Variables'!$H105,0))))))</f>
        <v>51.7</v>
      </c>
      <c r="H75" s="445">
        <f>IF(H$8='5.Variables'!$B$10,+'5.Variables'!$H26,+IF(H$8='5.Variables'!$B$33,+'5.Variables'!$H49,+IF(H$8='5.Variables'!$B$56,+'5.Variables'!$H63,+IF(H$8='5.Variables'!$B$70,+'5.Variables'!$H77,+IF(H$8='5.Variables'!$B$84,+'5.Variables'!$H91,+IF(H$8='5.Variables'!$B$98,+'5.Variables'!$H105,0))))))</f>
        <v>21.9</v>
      </c>
      <c r="I75" s="445">
        <f>IF(I$8='5.Variables'!$B$10,+'5.Variables'!$H26,+IF(I$8='5.Variables'!$B$33,+'5.Variables'!$H49,+IF(I$8='5.Variables'!$B$56,+'5.Variables'!$H63,+IF(I$8='5.Variables'!$B$70,+'5.Variables'!$H77,+IF(I$8='5.Variables'!$B$84,+'5.Variables'!$H91,+IF(I$8='5.Variables'!$B$98,+'5.Variables'!$H105,0))))))</f>
        <v>30</v>
      </c>
      <c r="J75" s="445">
        <f>IF(J$8='5.Variables'!$B$10,+'5.Variables'!$H26,+IF(J$8='5.Variables'!$B$33,+'5.Variables'!$H49,+IF(J$8='5.Variables'!$B$56,+'5.Variables'!$H63,+IF(J$8='5.Variables'!$B$70,+'5.Variables'!$H77,+IF(J$8='5.Variables'!$B$84,+'5.Variables'!$H91,+IF(J$8='5.Variables'!$B$98,+'5.Variables'!$H105,0))))))</f>
        <v>0</v>
      </c>
      <c r="K75" s="445">
        <f>IF(K$8='5.Variables'!$B$10,+'5.Variables'!$H26,+IF(K$8='5.Variables'!$B$33,+'5.Variables'!$H49,+IF(K$8='5.Variables'!$B$56,+'5.Variables'!$H63,+IF(K$8='5.Variables'!$B$70,+'5.Variables'!$H77,+IF(K$8='5.Variables'!$B$84,+'5.Variables'!$H91,+IF(K$8='5.Variables'!$B$98,+'5.Variables'!$H105,0))))))</f>
        <v>0</v>
      </c>
      <c r="L75" s="445">
        <f>IF(L$8='5.Variables'!$B$10,+'5.Variables'!$H26,+IF(L$8='5.Variables'!$B$33,+'5.Variables'!$H49,+IF(L$8='5.Variables'!$B$56,+'5.Variables'!$H63,+IF(L$8='5.Variables'!$B$70,+'5.Variables'!$H77,+IF(L$8='5.Variables'!$B$84,+'5.Variables'!$H91,+IF(L$8='5.Variables'!$B$98,+'5.Variables'!$H105,0))))))</f>
        <v>0</v>
      </c>
      <c r="M75" s="240"/>
      <c r="N75" s="268">
        <f t="shared" ref="N75:N138" si="11">$R$24+(G75*$R$25)+(H75*$R$26)+(I75*$R$27)+(J75*$R$28)+(K75*$R$29)+(L75*$R$30)</f>
        <v>356453.42837610887</v>
      </c>
      <c r="O75" s="272"/>
      <c r="P75" s="240"/>
      <c r="Q75" s="288"/>
      <c r="R75" s="288"/>
      <c r="S75" s="288"/>
      <c r="T75" s="908"/>
      <c r="U75"/>
      <c r="V75"/>
      <c r="W75"/>
      <c r="X75"/>
      <c r="Y75"/>
      <c r="Z75" s="240"/>
      <c r="AA75" s="240"/>
      <c r="AB75" s="240"/>
      <c r="AC75" s="240"/>
      <c r="AD75" s="240"/>
      <c r="AE75" s="240"/>
      <c r="AF75" s="240"/>
      <c r="AG75" s="240"/>
      <c r="AH75" s="240"/>
      <c r="AI75" s="240"/>
    </row>
    <row r="76" spans="1:35" x14ac:dyDescent="0.2">
      <c r="A76" s="675">
        <f t="shared" ref="A76:A139" si="12">+A75+1</f>
        <v>67</v>
      </c>
      <c r="B76" s="266" t="str">
        <f>CONCATENATE('3. Consumption by Rate Class'!B82,"-",'3. Consumption by Rate Class'!C82)</f>
        <v>2010-July</v>
      </c>
      <c r="C76" s="270">
        <v>415419.04</v>
      </c>
      <c r="D76" s="731"/>
      <c r="E76" s="731"/>
      <c r="F76" s="268">
        <f t="shared" si="10"/>
        <v>415419.04</v>
      </c>
      <c r="G76" s="445">
        <f>IF(G$8='5.Variables'!$B$10,+'5.Variables'!$I26,+IF(G$8='5.Variables'!$B$33,+'5.Variables'!$I49,+IF(G$8='5.Variables'!$B$56,+'5.Variables'!$I63,+IF(G$8='5.Variables'!$B$70,+'5.Variables'!$I77,+IF(G$8='5.Variables'!$B$84,+'5.Variables'!$I91,+IF(G$8='5.Variables'!$B$98,+'5.Variables'!$I105,0))))))</f>
        <v>7.7</v>
      </c>
      <c r="H76" s="445">
        <f>IF(H$8='5.Variables'!$B$10,+'5.Variables'!$I26,+IF(H$8='5.Variables'!$B$33,+'5.Variables'!$I49,+IF(H$8='5.Variables'!$B$56,+'5.Variables'!$I63,+IF(H$8='5.Variables'!$B$70,+'5.Variables'!$I77,+IF(H$8='5.Variables'!$B$84,+'5.Variables'!$I91,+IF(H$8='5.Variables'!$B$98,+'5.Variables'!$I105,0))))))</f>
        <v>136</v>
      </c>
      <c r="I76" s="445">
        <f>IF(I$8='5.Variables'!$B$10,+'5.Variables'!$I26,+IF(I$8='5.Variables'!$B$33,+'5.Variables'!$I49,+IF(I$8='5.Variables'!$B$56,+'5.Variables'!$I63,+IF(I$8='5.Variables'!$B$70,+'5.Variables'!$I77,+IF(I$8='5.Variables'!$B$84,+'5.Variables'!$I91,+IF(I$8='5.Variables'!$B$98,+'5.Variables'!$I105,0))))))</f>
        <v>31</v>
      </c>
      <c r="J76" s="445">
        <f>IF(J$8='5.Variables'!$B$10,+'5.Variables'!$I26,+IF(J$8='5.Variables'!$B$33,+'5.Variables'!$I49,+IF(J$8='5.Variables'!$B$56,+'5.Variables'!$I63,+IF(J$8='5.Variables'!$B$70,+'5.Variables'!$I77,+IF(J$8='5.Variables'!$B$84,+'5.Variables'!$I91,+IF(J$8='5.Variables'!$B$98,+'5.Variables'!$I105,0))))))</f>
        <v>0</v>
      </c>
      <c r="K76" s="445">
        <f>IF(K$8='5.Variables'!$B$10,+'5.Variables'!$I26,+IF(K$8='5.Variables'!$B$33,+'5.Variables'!$I49,+IF(K$8='5.Variables'!$B$56,+'5.Variables'!$I63,+IF(K$8='5.Variables'!$B$70,+'5.Variables'!$I77,+IF(K$8='5.Variables'!$B$84,+'5.Variables'!$I91,+IF(K$8='5.Variables'!$B$98,+'5.Variables'!$I105,0))))))</f>
        <v>0</v>
      </c>
      <c r="L76" s="445">
        <f>IF(L$8='5.Variables'!$B$10,+'5.Variables'!$I26,+IF(L$8='5.Variables'!$B$33,+'5.Variables'!$I49,+IF(L$8='5.Variables'!$B$56,+'5.Variables'!$I63,+IF(L$8='5.Variables'!$B$70,+'5.Variables'!$I77,+IF(L$8='5.Variables'!$B$84,+'5.Variables'!$I91,+IF(L$8='5.Variables'!$B$98,+'5.Variables'!$I105,0))))))</f>
        <v>0</v>
      </c>
      <c r="M76" s="240"/>
      <c r="N76" s="268">
        <f t="shared" si="11"/>
        <v>414344.77744095883</v>
      </c>
      <c r="O76" s="272"/>
      <c r="P76" s="240"/>
      <c r="Q76" s="288"/>
      <c r="R76" s="288"/>
      <c r="S76" s="288"/>
      <c r="T76" s="908"/>
      <c r="U76"/>
      <c r="V76"/>
      <c r="W76"/>
      <c r="X76"/>
      <c r="Y76"/>
      <c r="Z76" s="240"/>
      <c r="AA76" s="240"/>
      <c r="AB76" s="240"/>
      <c r="AC76" s="240"/>
      <c r="AD76" s="240"/>
      <c r="AE76" s="240"/>
      <c r="AF76" s="240"/>
      <c r="AG76" s="240"/>
      <c r="AH76" s="240"/>
      <c r="AI76" s="240"/>
    </row>
    <row r="77" spans="1:35" x14ac:dyDescent="0.2">
      <c r="A77" s="675">
        <f t="shared" si="12"/>
        <v>68</v>
      </c>
      <c r="B77" s="266" t="str">
        <f>CONCATENATE('3. Consumption by Rate Class'!B83,"-",'3. Consumption by Rate Class'!C83)</f>
        <v>2010-August</v>
      </c>
      <c r="C77" s="270">
        <v>417015.03999999992</v>
      </c>
      <c r="D77" s="731"/>
      <c r="E77" s="731"/>
      <c r="F77" s="268">
        <f t="shared" si="10"/>
        <v>417015.03999999992</v>
      </c>
      <c r="G77" s="445">
        <f>IF(G$8='5.Variables'!$B$10,+'5.Variables'!$J26,+IF(G$8='5.Variables'!$B$33,+'5.Variables'!$J49,+IF(G$8='5.Variables'!$B$56,+'5.Variables'!$J63,+IF(G$8='5.Variables'!$B$70,+'5.Variables'!$J77,+IF(G$8='5.Variables'!$B$84,+'5.Variables'!$J91,+IF(G$8='5.Variables'!$B$98,+'5.Variables'!$J105,0))))))</f>
        <v>6</v>
      </c>
      <c r="H77" s="445">
        <f>IF(H$8='5.Variables'!$B$10,+'5.Variables'!$J26,+IF(H$8='5.Variables'!$B$33,+'5.Variables'!$J49,+IF(H$8='5.Variables'!$B$56,+'5.Variables'!$J63,+IF(H$8='5.Variables'!$B$70,+'5.Variables'!$J77,+IF(H$8='5.Variables'!$B$84,+'5.Variables'!$J91,+IF(H$8='5.Variables'!$B$98,+'5.Variables'!$J105,0))))))</f>
        <v>129.80000000000001</v>
      </c>
      <c r="I77" s="445">
        <f>IF(I$8='5.Variables'!$B$10,+'5.Variables'!$J26,+IF(I$8='5.Variables'!$B$33,+'5.Variables'!$J49,+IF(I$8='5.Variables'!$B$56,+'5.Variables'!$J63,+IF(I$8='5.Variables'!$B$70,+'5.Variables'!$J77,+IF(I$8='5.Variables'!$B$84,+'5.Variables'!$J91,+IF(I$8='5.Variables'!$B$98,+'5.Variables'!$J105,0))))))</f>
        <v>31</v>
      </c>
      <c r="J77" s="445">
        <f>IF(J$8='5.Variables'!$B$10,+'5.Variables'!$J26,+IF(J$8='5.Variables'!$B$33,+'5.Variables'!$J49,+IF(J$8='5.Variables'!$B$56,+'5.Variables'!$J63,+IF(J$8='5.Variables'!$B$70,+'5.Variables'!$J77,+IF(J$8='5.Variables'!$B$84,+'5.Variables'!$J91,+IF(J$8='5.Variables'!$B$98,+'5.Variables'!$J105,0))))))</f>
        <v>0</v>
      </c>
      <c r="K77" s="445">
        <f>IF(K$8='5.Variables'!$B$10,+'5.Variables'!$J26,+IF(K$8='5.Variables'!$B$33,+'5.Variables'!$J49,+IF(K$8='5.Variables'!$B$56,+'5.Variables'!$J63,+IF(K$8='5.Variables'!$B$70,+'5.Variables'!$J77,+IF(K$8='5.Variables'!$B$84,+'5.Variables'!$J91,+IF(K$8='5.Variables'!$B$98,+'5.Variables'!$J105,0))))))</f>
        <v>0</v>
      </c>
      <c r="L77" s="445">
        <f>IF(L$8='5.Variables'!$B$10,+'5.Variables'!$J26,+IF(L$8='5.Variables'!$B$33,+'5.Variables'!$J49,+IF(L$8='5.Variables'!$B$56,+'5.Variables'!$J63,+IF(L$8='5.Variables'!$B$70,+'5.Variables'!$J77,+IF(L$8='5.Variables'!$B$84,+'5.Variables'!$J91,+IF(L$8='5.Variables'!$B$98,+'5.Variables'!$J105,0))))))</f>
        <v>0</v>
      </c>
      <c r="M77" s="240"/>
      <c r="N77" s="268">
        <f t="shared" si="11"/>
        <v>412051.26027335273</v>
      </c>
      <c r="O77" s="272"/>
      <c r="P77" s="240"/>
      <c r="Q77" s="288"/>
      <c r="R77" s="288"/>
      <c r="S77" s="288"/>
      <c r="T77" s="908"/>
      <c r="U77"/>
      <c r="V77"/>
      <c r="W77"/>
      <c r="X77"/>
      <c r="Y77"/>
      <c r="Z77" s="240"/>
      <c r="AA77" s="240"/>
      <c r="AB77" s="240"/>
      <c r="AC77" s="240"/>
      <c r="AD77" s="240"/>
      <c r="AE77" s="240"/>
      <c r="AF77" s="240"/>
      <c r="AG77" s="240"/>
      <c r="AH77" s="240"/>
      <c r="AI77" s="240"/>
    </row>
    <row r="78" spans="1:35" x14ac:dyDescent="0.2">
      <c r="A78" s="675">
        <f t="shared" si="12"/>
        <v>69</v>
      </c>
      <c r="B78" s="266" t="str">
        <f>CONCATENATE('3. Consumption by Rate Class'!B84,"-",'3. Consumption by Rate Class'!C84)</f>
        <v>2010-September</v>
      </c>
      <c r="C78" s="270">
        <v>363280.95</v>
      </c>
      <c r="D78" s="731"/>
      <c r="E78" s="731"/>
      <c r="F78" s="268">
        <f t="shared" si="10"/>
        <v>363280.95</v>
      </c>
      <c r="G78" s="445">
        <f>IF(G$8='5.Variables'!$B$10,+'5.Variables'!$K26,+IF(G$8='5.Variables'!$B$33,+'5.Variables'!$K49,+IF(G$8='5.Variables'!$B$56,+'5.Variables'!$K63,+IF(G$8='5.Variables'!$B$70,+'5.Variables'!$K77,+IF(G$8='5.Variables'!$B$84,+'5.Variables'!$K91,+IF(G$8='5.Variables'!$B$98,+'5.Variables'!$K105,0))))))</f>
        <v>93.2</v>
      </c>
      <c r="H78" s="445">
        <f>IF(H$8='5.Variables'!$B$10,+'5.Variables'!$K26,+IF(H$8='5.Variables'!$B$33,+'5.Variables'!$K49,+IF(H$8='5.Variables'!$B$56,+'5.Variables'!$K63,+IF(H$8='5.Variables'!$B$70,+'5.Variables'!$K77,+IF(H$8='5.Variables'!$B$84,+'5.Variables'!$K91,+IF(H$8='5.Variables'!$B$98,+'5.Variables'!$K105,0))))))</f>
        <v>26.8</v>
      </c>
      <c r="I78" s="445">
        <f>IF(I$8='5.Variables'!$B$10,+'5.Variables'!$K26,+IF(I$8='5.Variables'!$B$33,+'5.Variables'!$K49,+IF(I$8='5.Variables'!$B$56,+'5.Variables'!$K63,+IF(I$8='5.Variables'!$B$70,+'5.Variables'!$K77,+IF(I$8='5.Variables'!$B$84,+'5.Variables'!$K91,+IF(I$8='5.Variables'!$B$98,+'5.Variables'!$K105,0))))))</f>
        <v>30</v>
      </c>
      <c r="J78" s="445">
        <f>IF(J$8='5.Variables'!$B$10,+'5.Variables'!$K26,+IF(J$8='5.Variables'!$B$33,+'5.Variables'!$K49,+IF(J$8='5.Variables'!$B$56,+'5.Variables'!$K63,+IF(J$8='5.Variables'!$B$70,+'5.Variables'!$K77,+IF(J$8='5.Variables'!$B$84,+'5.Variables'!$K91,+IF(J$8='5.Variables'!$B$98,+'5.Variables'!$K105,0))))))</f>
        <v>1</v>
      </c>
      <c r="K78" s="445">
        <f>IF(K$8='5.Variables'!$B$10,+'5.Variables'!$K26,+IF(K$8='5.Variables'!$B$33,+'5.Variables'!$K49,+IF(K$8='5.Variables'!$B$56,+'5.Variables'!$K63,+IF(K$8='5.Variables'!$B$70,+'5.Variables'!$K77,+IF(K$8='5.Variables'!$B$84,+'5.Variables'!$K91,+IF(K$8='5.Variables'!$B$98,+'5.Variables'!$K105,0))))))</f>
        <v>0</v>
      </c>
      <c r="L78" s="445">
        <f>IF(L$8='5.Variables'!$B$10,+'5.Variables'!$K26,+IF(L$8='5.Variables'!$B$33,+'5.Variables'!$K49,+IF(L$8='5.Variables'!$B$56,+'5.Variables'!$K63,+IF(L$8='5.Variables'!$B$70,+'5.Variables'!$K77,+IF(L$8='5.Variables'!$B$84,+'5.Variables'!$K91,+IF(L$8='5.Variables'!$B$98,+'5.Variables'!$K105,0))))))</f>
        <v>0</v>
      </c>
      <c r="M78" s="240"/>
      <c r="N78" s="268">
        <f t="shared" si="11"/>
        <v>345282.70734350139</v>
      </c>
      <c r="O78" s="272"/>
      <c r="P78" s="240"/>
      <c r="Q78" s="288"/>
      <c r="R78" s="288"/>
      <c r="S78" s="288"/>
      <c r="T78" s="908"/>
      <c r="U78"/>
      <c r="V78"/>
      <c r="W78"/>
      <c r="X78"/>
      <c r="Y78"/>
      <c r="Z78" s="240"/>
      <c r="AA78" s="240"/>
      <c r="AB78" s="240"/>
      <c r="AC78" s="240"/>
      <c r="AD78" s="240"/>
      <c r="AE78" s="240"/>
      <c r="AF78" s="240"/>
      <c r="AG78" s="240"/>
      <c r="AH78" s="240"/>
      <c r="AI78" s="240"/>
    </row>
    <row r="79" spans="1:35" x14ac:dyDescent="0.2">
      <c r="A79" s="675">
        <f t="shared" si="12"/>
        <v>70</v>
      </c>
      <c r="B79" s="266" t="str">
        <f>CONCATENATE('3. Consumption by Rate Class'!B85,"-",'3. Consumption by Rate Class'!C85)</f>
        <v>2010-October</v>
      </c>
      <c r="C79" s="270">
        <v>350795.93</v>
      </c>
      <c r="D79" s="731"/>
      <c r="E79" s="731"/>
      <c r="F79" s="268">
        <f t="shared" si="10"/>
        <v>350795.93</v>
      </c>
      <c r="G79" s="445">
        <f>IF(G$8='5.Variables'!$B$10,+'5.Variables'!$L26,+IF(G$8='5.Variables'!$B$33,+'5.Variables'!$L49,+IF(G$8='5.Variables'!$B$56,+'5.Variables'!$L63,+IF(G$8='5.Variables'!$B$70,+'5.Variables'!$L77,+IF(G$8='5.Variables'!$B$84,+'5.Variables'!$L91,+IF(G$8='5.Variables'!$B$98,+'5.Variables'!$L105,0))))))</f>
        <v>238.8</v>
      </c>
      <c r="H79" s="445">
        <f>IF(H$8='5.Variables'!$B$10,+'5.Variables'!$L26,+IF(H$8='5.Variables'!$B$33,+'5.Variables'!$L49,+IF(H$8='5.Variables'!$B$56,+'5.Variables'!$L63,+IF(H$8='5.Variables'!$B$70,+'5.Variables'!$L77,+IF(H$8='5.Variables'!$B$84,+'5.Variables'!$L91,+IF(H$8='5.Variables'!$B$98,+'5.Variables'!$L105,0))))))</f>
        <v>0</v>
      </c>
      <c r="I79" s="445">
        <f>IF(I$8='5.Variables'!$B$10,+'5.Variables'!$L26,+IF(I$8='5.Variables'!$B$33,+'5.Variables'!$L49,+IF(I$8='5.Variables'!$B$56,+'5.Variables'!$L63,+IF(I$8='5.Variables'!$B$70,+'5.Variables'!$L77,+IF(I$8='5.Variables'!$B$84,+'5.Variables'!$L91,+IF(I$8='5.Variables'!$B$98,+'5.Variables'!$L105,0))))))</f>
        <v>31</v>
      </c>
      <c r="J79" s="445">
        <f>IF(J$8='5.Variables'!$B$10,+'5.Variables'!$L26,+IF(J$8='5.Variables'!$B$33,+'5.Variables'!$L49,+IF(J$8='5.Variables'!$B$56,+'5.Variables'!$L63,+IF(J$8='5.Variables'!$B$70,+'5.Variables'!$L77,+IF(J$8='5.Variables'!$B$84,+'5.Variables'!$L91,+IF(J$8='5.Variables'!$B$98,+'5.Variables'!$L105,0))))))</f>
        <v>1</v>
      </c>
      <c r="K79" s="445">
        <f>IF(K$8='5.Variables'!$B$10,+'5.Variables'!$L26,+IF(K$8='5.Variables'!$B$33,+'5.Variables'!$L49,+IF(K$8='5.Variables'!$B$56,+'5.Variables'!$L63,+IF(K$8='5.Variables'!$B$70,+'5.Variables'!$L77,+IF(K$8='5.Variables'!$B$84,+'5.Variables'!$L91,+IF(K$8='5.Variables'!$B$98,+'5.Variables'!$L105,0))))))</f>
        <v>0</v>
      </c>
      <c r="L79" s="445">
        <f>IF(L$8='5.Variables'!$B$10,+'5.Variables'!$L26,+IF(L$8='5.Variables'!$B$33,+'5.Variables'!$L49,+IF(L$8='5.Variables'!$B$56,+'5.Variables'!$L63,+IF(L$8='5.Variables'!$B$70,+'5.Variables'!$L77,+IF(L$8='5.Variables'!$B$84,+'5.Variables'!$L91,+IF(L$8='5.Variables'!$B$98,+'5.Variables'!$L105,0))))))</f>
        <v>0</v>
      </c>
      <c r="M79" s="240"/>
      <c r="N79" s="268">
        <f t="shared" si="11"/>
        <v>340002.45411013946</v>
      </c>
      <c r="O79" s="272"/>
      <c r="P79" s="240"/>
      <c r="Q79" s="288"/>
      <c r="R79" s="288"/>
      <c r="S79" s="288"/>
      <c r="T79" s="908"/>
      <c r="U79"/>
      <c r="V79"/>
      <c r="W79"/>
      <c r="X79"/>
      <c r="Y79"/>
      <c r="Z79" s="240"/>
      <c r="AA79" s="240"/>
      <c r="AB79" s="240"/>
      <c r="AC79" s="240"/>
      <c r="AD79" s="240"/>
      <c r="AE79" s="240"/>
      <c r="AF79" s="240"/>
      <c r="AG79" s="240"/>
      <c r="AH79" s="240"/>
      <c r="AI79" s="240"/>
    </row>
    <row r="80" spans="1:35" x14ac:dyDescent="0.2">
      <c r="A80" s="675">
        <f t="shared" si="12"/>
        <v>71</v>
      </c>
      <c r="B80" s="266" t="str">
        <f>CONCATENATE('3. Consumption by Rate Class'!B86,"-",'3. Consumption by Rate Class'!C86)</f>
        <v>2010-November</v>
      </c>
      <c r="C80" s="270">
        <v>331007.25</v>
      </c>
      <c r="D80" s="731"/>
      <c r="E80" s="731"/>
      <c r="F80" s="268">
        <f t="shared" si="10"/>
        <v>331007.25</v>
      </c>
      <c r="G80" s="445">
        <f>IF(G$8='5.Variables'!$B$10,+'5.Variables'!$M26,+IF(G$8='5.Variables'!$B$33,+'5.Variables'!$M49,+IF(G$8='5.Variables'!$B$56,+'5.Variables'!$M63,+IF(G$8='5.Variables'!$B$70,+'5.Variables'!$M77,+IF(G$8='5.Variables'!$B$84,+'5.Variables'!$M91,+IF(G$8='5.Variables'!$B$98,+'5.Variables'!$M105,0))))))</f>
        <v>410</v>
      </c>
      <c r="H80" s="445">
        <f>IF(H$8='5.Variables'!$B$10,+'5.Variables'!$M26,+IF(H$8='5.Variables'!$B$33,+'5.Variables'!$M49,+IF(H$8='5.Variables'!$B$56,+'5.Variables'!$M63,+IF(H$8='5.Variables'!$B$70,+'5.Variables'!$M77,+IF(H$8='5.Variables'!$B$84,+'5.Variables'!$M91,+IF(H$8='5.Variables'!$B$98,+'5.Variables'!$M105,0))))))</f>
        <v>0</v>
      </c>
      <c r="I80" s="445">
        <f>IF(I$8='5.Variables'!$B$10,+'5.Variables'!$M26,+IF(I$8='5.Variables'!$B$33,+'5.Variables'!$M49,+IF(I$8='5.Variables'!$B$56,+'5.Variables'!$M63,+IF(I$8='5.Variables'!$B$70,+'5.Variables'!$M77,+IF(I$8='5.Variables'!$B$84,+'5.Variables'!$M91,+IF(I$8='5.Variables'!$B$98,+'5.Variables'!$M105,0))))))</f>
        <v>30</v>
      </c>
      <c r="J80" s="445">
        <f>IF(J$8='5.Variables'!$B$10,+'5.Variables'!$M26,+IF(J$8='5.Variables'!$B$33,+'5.Variables'!$M49,+IF(J$8='5.Variables'!$B$56,+'5.Variables'!$M63,+IF(J$8='5.Variables'!$B$70,+'5.Variables'!$M77,+IF(J$8='5.Variables'!$B$84,+'5.Variables'!$M91,+IF(J$8='5.Variables'!$B$98,+'5.Variables'!$M105,0))))))</f>
        <v>1</v>
      </c>
      <c r="K80" s="445">
        <f>IF(K$8='5.Variables'!$B$10,+'5.Variables'!$M26,+IF(K$8='5.Variables'!$B$33,+'5.Variables'!$M49,+IF(K$8='5.Variables'!$B$56,+'5.Variables'!$M63,+IF(K$8='5.Variables'!$B$70,+'5.Variables'!$M77,+IF(K$8='5.Variables'!$B$84,+'5.Variables'!$M91,+IF(K$8='5.Variables'!$B$98,+'5.Variables'!$M105,0))))))</f>
        <v>0</v>
      </c>
      <c r="L80" s="445">
        <f>IF(L$8='5.Variables'!$B$10,+'5.Variables'!$M26,+IF(L$8='5.Variables'!$B$33,+'5.Variables'!$M49,+IF(L$8='5.Variables'!$B$56,+'5.Variables'!$M63,+IF(L$8='5.Variables'!$B$70,+'5.Variables'!$M77,+IF(L$8='5.Variables'!$B$84,+'5.Variables'!$M91,+IF(L$8='5.Variables'!$B$98,+'5.Variables'!$M105,0))))))</f>
        <v>0</v>
      </c>
      <c r="M80" s="240"/>
      <c r="N80" s="268">
        <f t="shared" si="11"/>
        <v>319675.67264389159</v>
      </c>
      <c r="O80" s="272"/>
      <c r="P80" s="240"/>
      <c r="Q80" s="288"/>
      <c r="R80" s="288"/>
      <c r="S80" s="288"/>
      <c r="T80" s="908"/>
      <c r="U80"/>
      <c r="V80"/>
      <c r="W80"/>
      <c r="X80"/>
      <c r="Y80"/>
      <c r="Z80" s="240"/>
      <c r="AA80" s="240"/>
      <c r="AB80" s="240"/>
      <c r="AC80" s="240"/>
      <c r="AD80" s="240"/>
      <c r="AE80" s="240"/>
      <c r="AF80" s="240"/>
      <c r="AG80" s="240"/>
      <c r="AH80" s="240"/>
      <c r="AI80" s="240"/>
    </row>
    <row r="81" spans="1:35" x14ac:dyDescent="0.2">
      <c r="A81" s="675">
        <f t="shared" si="12"/>
        <v>72</v>
      </c>
      <c r="B81" s="266" t="str">
        <f>CONCATENATE('3. Consumption by Rate Class'!B87,"-",'3. Consumption by Rate Class'!C87)</f>
        <v>2010-December</v>
      </c>
      <c r="C81" s="270">
        <v>334309.63</v>
      </c>
      <c r="D81" s="731"/>
      <c r="E81" s="731"/>
      <c r="F81" s="268">
        <f t="shared" si="10"/>
        <v>334309.63</v>
      </c>
      <c r="G81" s="445">
        <f>IF(G$8='5.Variables'!$B$10,+'5.Variables'!$N26,+IF(G$8='5.Variables'!$B$33,+'5.Variables'!$N49,+IF(G$8='5.Variables'!$B$56,+'5.Variables'!$N63,+IF(G$8='5.Variables'!$B$70,+'5.Variables'!$N77,+IF(G$8='5.Variables'!$B$84,+'5.Variables'!$N91,+IF(G$8='5.Variables'!$B$98,+'5.Variables'!$N105,0))))))</f>
        <v>668.7</v>
      </c>
      <c r="H81" s="445">
        <f>IF(H$8='5.Variables'!$B$10,+'5.Variables'!$N26,+IF(H$8='5.Variables'!$B$33,+'5.Variables'!$N49,+IF(H$8='5.Variables'!$B$56,+'5.Variables'!$N63,+IF(H$8='5.Variables'!$B$70,+'5.Variables'!$N77,+IF(H$8='5.Variables'!$B$84,+'5.Variables'!$N91,+IF(H$8='5.Variables'!$B$98,+'5.Variables'!$N105,0))))))</f>
        <v>0</v>
      </c>
      <c r="I81" s="445">
        <f>IF(I$8='5.Variables'!$B$10,+'5.Variables'!$N26,+IF(I$8='5.Variables'!$B$33,+'5.Variables'!$N49,+IF(I$8='5.Variables'!$B$56,+'5.Variables'!$N63,+IF(I$8='5.Variables'!$B$70,+'5.Variables'!$N77,+IF(I$8='5.Variables'!$B$84,+'5.Variables'!$N91,+IF(I$8='5.Variables'!$B$98,+'5.Variables'!$N105,0))))))</f>
        <v>31</v>
      </c>
      <c r="J81" s="445">
        <f>IF(J$8='5.Variables'!$B$10,+'5.Variables'!$N26,+IF(J$8='5.Variables'!$B$33,+'5.Variables'!$N49,+IF(J$8='5.Variables'!$B$56,+'5.Variables'!$N63,+IF(J$8='5.Variables'!$B$70,+'5.Variables'!$N77,+IF(J$8='5.Variables'!$B$84,+'5.Variables'!$N91,+IF(J$8='5.Variables'!$B$98,+'5.Variables'!$N105,0))))))</f>
        <v>0</v>
      </c>
      <c r="K81" s="445">
        <f>IF(K$8='5.Variables'!$B$10,+'5.Variables'!$N26,+IF(K$8='5.Variables'!$B$33,+'5.Variables'!$N49,+IF(K$8='5.Variables'!$B$56,+'5.Variables'!$N63,+IF(K$8='5.Variables'!$B$70,+'5.Variables'!$N77,+IF(K$8='5.Variables'!$B$84,+'5.Variables'!$N91,+IF(K$8='5.Variables'!$B$98,+'5.Variables'!$N105,0))))))</f>
        <v>0</v>
      </c>
      <c r="L81" s="445">
        <f>IF(L$8='5.Variables'!$B$10,+'5.Variables'!$N26,+IF(L$8='5.Variables'!$B$33,+'5.Variables'!$N49,+IF(L$8='5.Variables'!$B$56,+'5.Variables'!$N63,+IF(L$8='5.Variables'!$B$70,+'5.Variables'!$N77,+IF(L$8='5.Variables'!$B$84,+'5.Variables'!$N91,+IF(L$8='5.Variables'!$B$98,+'5.Variables'!$N105,0))))))</f>
        <v>0</v>
      </c>
      <c r="M81" s="240"/>
      <c r="N81" s="268">
        <f t="shared" si="11"/>
        <v>330228.76796169952</v>
      </c>
      <c r="O81" s="272">
        <f>SUM(N70:N81)</f>
        <v>4150412.6779563678</v>
      </c>
      <c r="P81" s="240"/>
      <c r="Q81" s="288"/>
      <c r="R81" s="288"/>
      <c r="S81" s="288"/>
      <c r="T81" s="908"/>
      <c r="U81"/>
      <c r="V81"/>
      <c r="W81"/>
      <c r="X81"/>
      <c r="Y81"/>
      <c r="Z81" s="240"/>
      <c r="AA81" s="240"/>
      <c r="AB81" s="240"/>
      <c r="AC81" s="240"/>
      <c r="AD81" s="240"/>
      <c r="AE81" s="240"/>
      <c r="AF81" s="240"/>
      <c r="AG81" s="240"/>
      <c r="AH81" s="240"/>
      <c r="AI81" s="240"/>
    </row>
    <row r="82" spans="1:35" x14ac:dyDescent="0.2">
      <c r="A82" s="675">
        <f t="shared" si="12"/>
        <v>73</v>
      </c>
      <c r="B82" s="266" t="str">
        <f>CONCATENATE('3. Consumption by Rate Class'!B88,"-",'3. Consumption by Rate Class'!C88)</f>
        <v>2011-January</v>
      </c>
      <c r="C82" s="270">
        <v>327179.09999999998</v>
      </c>
      <c r="D82" s="731"/>
      <c r="E82" s="731"/>
      <c r="F82" s="268">
        <f t="shared" si="10"/>
        <v>327179.09999999998</v>
      </c>
      <c r="G82" s="445">
        <f>IF(G$8='5.Variables'!$B$10,+'5.Variables'!$C27,+IF(G$8='5.Variables'!$B$33,+'5.Variables'!$C50,+IF(G$8='5.Variables'!$B$56,+'5.Variables'!$C64,+IF(G$8='5.Variables'!$B$70,+'5.Variables'!$C78,+IF(G$8='5.Variables'!$B$84,+'5.Variables'!$C92,+IF(G$8='5.Variables'!$B$98,+'5.Variables'!$C106,0))))))</f>
        <v>777.5</v>
      </c>
      <c r="H82" s="445">
        <f>IF(H$8='5.Variables'!$B$10,+'5.Variables'!$C27,+IF(H$8='5.Variables'!$B$33,+'5.Variables'!$C50,+IF(H$8='5.Variables'!$B$56,+'5.Variables'!$C64,+IF(H$8='5.Variables'!$B$70,+'5.Variables'!$C78,+IF(H$8='5.Variables'!$B$84,+'5.Variables'!$C92,+IF(H$8='5.Variables'!$B$98,+'5.Variables'!$C106,0))))))</f>
        <v>0</v>
      </c>
      <c r="I82" s="445">
        <f>IF(I$8='5.Variables'!$B$10,+'5.Variables'!$C27,+IF(I$8='5.Variables'!$B$33,+'5.Variables'!$C50,+IF(I$8='5.Variables'!$B$56,+'5.Variables'!$C64,+IF(I$8='5.Variables'!$B$70,+'5.Variables'!$C78,+IF(I$8='5.Variables'!$B$84,+'5.Variables'!$C92,+IF(I$8='5.Variables'!$B$98,+'5.Variables'!$C106,0))))))</f>
        <v>31</v>
      </c>
      <c r="J82" s="445">
        <f>IF(J$8='5.Variables'!$B$10,+'5.Variables'!$C27,+IF(J$8='5.Variables'!$B$33,+'5.Variables'!$C50,+IF(J$8='5.Variables'!$B$56,+'5.Variables'!$C64,+IF(J$8='5.Variables'!$B$70,+'5.Variables'!$C78,+IF(J$8='5.Variables'!$B$84,+'5.Variables'!$C92,+IF(J$8='5.Variables'!$B$98,+'5.Variables'!$C106,0))))))</f>
        <v>0</v>
      </c>
      <c r="K82" s="445">
        <f>IF(K$8='5.Variables'!$B$10,+'5.Variables'!$C27,+IF(K$8='5.Variables'!$B$33,+'5.Variables'!$C50,+IF(K$8='5.Variables'!$B$56,+'5.Variables'!$C64,+IF(K$8='5.Variables'!$B$70,+'5.Variables'!$C78,+IF(K$8='5.Variables'!$B$84,+'5.Variables'!$C92,+IF(K$8='5.Variables'!$B$98,+'5.Variables'!$C106,0))))))</f>
        <v>0</v>
      </c>
      <c r="L82" s="445">
        <f>IF(L$8='5.Variables'!$B$10,+'5.Variables'!$C27,+IF(L$8='5.Variables'!$B$33,+'5.Variables'!$C50,+IF(L$8='5.Variables'!$B$56,+'5.Variables'!$C64,+IF(L$8='5.Variables'!$B$70,+'5.Variables'!$C78,+IF(L$8='5.Variables'!$B$84,+'5.Variables'!$C92,+IF(L$8='5.Variables'!$B$98,+'5.Variables'!$C106,0))))))</f>
        <v>0</v>
      </c>
      <c r="M82" s="240"/>
      <c r="N82" s="268">
        <f t="shared" si="11"/>
        <v>324961.39129779796</v>
      </c>
      <c r="O82" s="272"/>
      <c r="P82" s="240"/>
      <c r="Q82" s="288"/>
      <c r="R82" s="288"/>
      <c r="S82" s="288"/>
      <c r="T82" s="908"/>
      <c r="U82"/>
      <c r="V82"/>
      <c r="W82"/>
      <c r="X82"/>
      <c r="Y82"/>
      <c r="Z82" s="240"/>
      <c r="AA82" s="240"/>
      <c r="AB82" s="240"/>
      <c r="AC82" s="240"/>
      <c r="AD82" s="240"/>
      <c r="AE82" s="240"/>
      <c r="AF82" s="240"/>
      <c r="AG82" s="240"/>
      <c r="AH82" s="240"/>
      <c r="AI82" s="240"/>
    </row>
    <row r="83" spans="1:35" x14ac:dyDescent="0.2">
      <c r="A83" s="675">
        <f t="shared" si="12"/>
        <v>74</v>
      </c>
      <c r="B83" s="266" t="str">
        <f>CONCATENATE('3. Consumption by Rate Class'!B89,"-",'3. Consumption by Rate Class'!C89)</f>
        <v>2011-February</v>
      </c>
      <c r="C83" s="270">
        <v>294143.01</v>
      </c>
      <c r="D83" s="731"/>
      <c r="E83" s="731"/>
      <c r="F83" s="268">
        <f t="shared" si="10"/>
        <v>294143.01</v>
      </c>
      <c r="G83" s="445">
        <f>IF(G$8='5.Variables'!$B$10,+'5.Variables'!$D27,+IF(G$8='5.Variables'!$B$33,+'5.Variables'!$D50,+IF(G$8='5.Variables'!$B$56,+'5.Variables'!$D64,+IF(G$8='5.Variables'!$B$70,+'5.Variables'!$D78,+IF(G$8='5.Variables'!$B$84,+'5.Variables'!$D92,+IF(G$8='5.Variables'!$B$98,+'5.Variables'!$D106,0))))))</f>
        <v>645.29999999999995</v>
      </c>
      <c r="H83" s="445">
        <f>IF(H$8='5.Variables'!$B$10,+'5.Variables'!$D27,+IF(H$8='5.Variables'!$B$33,+'5.Variables'!$D50,+IF(H$8='5.Variables'!$B$56,+'5.Variables'!$D64,+IF(H$8='5.Variables'!$B$70,+'5.Variables'!$D78,+IF(H$8='5.Variables'!$B$84,+'5.Variables'!$D92,+IF(H$8='5.Variables'!$B$98,+'5.Variables'!$D106,0))))))</f>
        <v>0</v>
      </c>
      <c r="I83" s="445">
        <f>IF(I$8='5.Variables'!$B$10,+'5.Variables'!$D27,+IF(I$8='5.Variables'!$B$33,+'5.Variables'!$D50,+IF(I$8='5.Variables'!$B$56,+'5.Variables'!$D64,+IF(I$8='5.Variables'!$B$70,+'5.Variables'!$D78,+IF(I$8='5.Variables'!$B$84,+'5.Variables'!$D92,+IF(I$8='5.Variables'!$B$98,+'5.Variables'!$D106,0))))))</f>
        <v>28</v>
      </c>
      <c r="J83" s="445">
        <f>IF(J$8='5.Variables'!$B$10,+'5.Variables'!$D27,+IF(J$8='5.Variables'!$B$33,+'5.Variables'!$D50,+IF(J$8='5.Variables'!$B$56,+'5.Variables'!$D64,+IF(J$8='5.Variables'!$B$70,+'5.Variables'!$D78,+IF(J$8='5.Variables'!$B$84,+'5.Variables'!$D92,+IF(J$8='5.Variables'!$B$98,+'5.Variables'!$D106,0))))))</f>
        <v>0</v>
      </c>
      <c r="K83" s="445">
        <f>IF(K$8='5.Variables'!$B$10,+'5.Variables'!$D27,+IF(K$8='5.Variables'!$B$33,+'5.Variables'!$D50,+IF(K$8='5.Variables'!$B$56,+'5.Variables'!$D64,+IF(K$8='5.Variables'!$B$70,+'5.Variables'!$D78,+IF(K$8='5.Variables'!$B$84,+'5.Variables'!$D92,+IF(K$8='5.Variables'!$B$98,+'5.Variables'!$D106,0))))))</f>
        <v>0</v>
      </c>
      <c r="L83" s="445">
        <f>IF(L$8='5.Variables'!$B$10,+'5.Variables'!$D27,+IF(L$8='5.Variables'!$B$33,+'5.Variables'!$D50,+IF(L$8='5.Variables'!$B$56,+'5.Variables'!$D64,+IF(L$8='5.Variables'!$B$70,+'5.Variables'!$D78,+IF(L$8='5.Variables'!$B$84,+'5.Variables'!$D92,+IF(L$8='5.Variables'!$B$98,+'5.Variables'!$D106,0))))))</f>
        <v>0</v>
      </c>
      <c r="M83" s="240"/>
      <c r="N83" s="268">
        <f t="shared" si="11"/>
        <v>295246.41316327901</v>
      </c>
      <c r="O83" s="272"/>
      <c r="P83" s="240"/>
      <c r="Q83" s="288"/>
      <c r="R83" s="288"/>
      <c r="S83" s="288"/>
      <c r="T83" s="908"/>
      <c r="U83"/>
      <c r="V83"/>
      <c r="W83"/>
      <c r="X83"/>
      <c r="Y83"/>
      <c r="Z83" s="240"/>
      <c r="AA83" s="240"/>
      <c r="AB83" s="240"/>
      <c r="AC83" s="240"/>
      <c r="AD83" s="240"/>
      <c r="AE83" s="240"/>
      <c r="AF83" s="240"/>
      <c r="AG83" s="240"/>
      <c r="AH83" s="240"/>
      <c r="AI83" s="240"/>
    </row>
    <row r="84" spans="1:35" x14ac:dyDescent="0.2">
      <c r="A84" s="675">
        <f t="shared" si="12"/>
        <v>75</v>
      </c>
      <c r="B84" s="266" t="str">
        <f>CONCATENATE('3. Consumption by Rate Class'!B90,"-",'3. Consumption by Rate Class'!C90)</f>
        <v>2011-March</v>
      </c>
      <c r="C84" s="270">
        <v>327251.01</v>
      </c>
      <c r="D84" s="731"/>
      <c r="E84" s="731"/>
      <c r="F84" s="268">
        <f t="shared" si="10"/>
        <v>327251.01</v>
      </c>
      <c r="G84" s="445">
        <f>IF(G$8='5.Variables'!$B$10,+'5.Variables'!$E27,+IF(G$8='5.Variables'!$B$33,+'5.Variables'!$E50,+IF(G$8='5.Variables'!$B$56,+'5.Variables'!$E64,+IF(G$8='5.Variables'!$B$70,+'5.Variables'!$E78,+IF(G$8='5.Variables'!$B$84,+'5.Variables'!$E92,+IF(G$8='5.Variables'!$B$98,+'5.Variables'!$E106,0))))))</f>
        <v>610.79999999999995</v>
      </c>
      <c r="H84" s="445">
        <f>IF(H$8='5.Variables'!$B$10,+'5.Variables'!$E27,+IF(H$8='5.Variables'!$B$33,+'5.Variables'!$E50,+IF(H$8='5.Variables'!$B$56,+'5.Variables'!$E64,+IF(H$8='5.Variables'!$B$70,+'5.Variables'!$E78,+IF(H$8='5.Variables'!$B$84,+'5.Variables'!$E92,+IF(H$8='5.Variables'!$B$98,+'5.Variables'!$E106,0))))))</f>
        <v>0</v>
      </c>
      <c r="I84" s="445">
        <f>IF(I$8='5.Variables'!$B$10,+'5.Variables'!$E27,+IF(I$8='5.Variables'!$B$33,+'5.Variables'!$E50,+IF(I$8='5.Variables'!$B$56,+'5.Variables'!$E64,+IF(I$8='5.Variables'!$B$70,+'5.Variables'!$E78,+IF(I$8='5.Variables'!$B$84,+'5.Variables'!$E92,+IF(I$8='5.Variables'!$B$98,+'5.Variables'!$E106,0))))))</f>
        <v>31</v>
      </c>
      <c r="J84" s="445">
        <f>IF(J$8='5.Variables'!$B$10,+'5.Variables'!$E27,+IF(J$8='5.Variables'!$B$33,+'5.Variables'!$E50,+IF(J$8='5.Variables'!$B$56,+'5.Variables'!$E64,+IF(J$8='5.Variables'!$B$70,+'5.Variables'!$E78,+IF(J$8='5.Variables'!$B$84,+'5.Variables'!$E92,+IF(J$8='5.Variables'!$B$98,+'5.Variables'!$E106,0))))))</f>
        <v>1</v>
      </c>
      <c r="K84" s="445">
        <f>IF(K$8='5.Variables'!$B$10,+'5.Variables'!$E27,+IF(K$8='5.Variables'!$B$33,+'5.Variables'!$E50,+IF(K$8='5.Variables'!$B$56,+'5.Variables'!$E64,+IF(K$8='5.Variables'!$B$70,+'5.Variables'!$E78,+IF(K$8='5.Variables'!$B$84,+'5.Variables'!$E92,+IF(K$8='5.Variables'!$B$98,+'5.Variables'!$E106,0))))))</f>
        <v>0</v>
      </c>
      <c r="L84" s="445">
        <f>IF(L$8='5.Variables'!$B$10,+'5.Variables'!$E27,+IF(L$8='5.Variables'!$B$33,+'5.Variables'!$E50,+IF(L$8='5.Variables'!$B$56,+'5.Variables'!$E64,+IF(L$8='5.Variables'!$B$70,+'5.Variables'!$E78,+IF(L$8='5.Variables'!$B$84,+'5.Variables'!$E92,+IF(L$8='5.Variables'!$B$98,+'5.Variables'!$E106,0))))))</f>
        <v>0</v>
      </c>
      <c r="M84" s="240"/>
      <c r="N84" s="268">
        <f t="shared" si="11"/>
        <v>321992.67360488779</v>
      </c>
      <c r="O84" s="272"/>
      <c r="P84" s="240"/>
      <c r="Q84" s="288"/>
      <c r="R84" s="288"/>
      <c r="S84" s="288"/>
      <c r="T84" s="908"/>
      <c r="U84"/>
      <c r="V84"/>
      <c r="W84"/>
      <c r="X84"/>
      <c r="Y84"/>
      <c r="Z84" s="240"/>
      <c r="AA84" s="240"/>
      <c r="AB84" s="240"/>
      <c r="AC84" s="240"/>
      <c r="AD84" s="240"/>
      <c r="AE84" s="240"/>
      <c r="AF84" s="240"/>
      <c r="AG84" s="240"/>
      <c r="AH84" s="240"/>
      <c r="AI84" s="240"/>
    </row>
    <row r="85" spans="1:35" x14ac:dyDescent="0.2">
      <c r="A85" s="675">
        <f t="shared" si="12"/>
        <v>76</v>
      </c>
      <c r="B85" s="266" t="str">
        <f>CONCATENATE('3. Consumption by Rate Class'!B91,"-",'3. Consumption by Rate Class'!C91)</f>
        <v>2011-April</v>
      </c>
      <c r="C85" s="270">
        <v>319944.19</v>
      </c>
      <c r="D85" s="731"/>
      <c r="E85" s="731"/>
      <c r="F85" s="268">
        <f t="shared" si="10"/>
        <v>319944.19</v>
      </c>
      <c r="G85" s="445">
        <f>IF(G$8='5.Variables'!$B$10,+'5.Variables'!$F27,+IF(G$8='5.Variables'!$B$33,+'5.Variables'!$F50,+IF(G$8='5.Variables'!$B$56,+'5.Variables'!$F64,+IF(G$8='5.Variables'!$B$70,+'5.Variables'!$F78,+IF(G$8='5.Variables'!$B$84,+'5.Variables'!$F92,+IF(G$8='5.Variables'!$B$98,+'5.Variables'!$F106,0))))))</f>
        <v>334.7</v>
      </c>
      <c r="H85" s="445">
        <f>IF(H$8='5.Variables'!$B$10,+'5.Variables'!$F27,+IF(H$8='5.Variables'!$B$33,+'5.Variables'!$F50,+IF(H$8='5.Variables'!$B$56,+'5.Variables'!$F64,+IF(H$8='5.Variables'!$B$70,+'5.Variables'!$F78,+IF(H$8='5.Variables'!$B$84,+'5.Variables'!$F92,+IF(H$8='5.Variables'!$B$98,+'5.Variables'!$F106,0))))))</f>
        <v>0</v>
      </c>
      <c r="I85" s="445">
        <f>IF(I$8='5.Variables'!$B$10,+'5.Variables'!$F27,+IF(I$8='5.Variables'!$B$33,+'5.Variables'!$F50,+IF(I$8='5.Variables'!$B$56,+'5.Variables'!$F64,+IF(I$8='5.Variables'!$B$70,+'5.Variables'!$F78,+IF(I$8='5.Variables'!$B$84,+'5.Variables'!$F92,+IF(I$8='5.Variables'!$B$98,+'5.Variables'!$F106,0))))))</f>
        <v>30</v>
      </c>
      <c r="J85" s="445">
        <f>IF(J$8='5.Variables'!$B$10,+'5.Variables'!$F27,+IF(J$8='5.Variables'!$B$33,+'5.Variables'!$F50,+IF(J$8='5.Variables'!$B$56,+'5.Variables'!$F64,+IF(J$8='5.Variables'!$B$70,+'5.Variables'!$F78,+IF(J$8='5.Variables'!$B$84,+'5.Variables'!$F92,+IF(J$8='5.Variables'!$B$98,+'5.Variables'!$F106,0))))))</f>
        <v>1</v>
      </c>
      <c r="K85" s="445">
        <f>IF(K$8='5.Variables'!$B$10,+'5.Variables'!$F27,+IF(K$8='5.Variables'!$B$33,+'5.Variables'!$F50,+IF(K$8='5.Variables'!$B$56,+'5.Variables'!$F64,+IF(K$8='5.Variables'!$B$70,+'5.Variables'!$F78,+IF(K$8='5.Variables'!$B$84,+'5.Variables'!$F92,+IF(K$8='5.Variables'!$B$98,+'5.Variables'!$F106,0))))))</f>
        <v>0</v>
      </c>
      <c r="L85" s="445">
        <f>IF(L$8='5.Variables'!$B$10,+'5.Variables'!$F27,+IF(L$8='5.Variables'!$B$33,+'5.Variables'!$F50,+IF(L$8='5.Variables'!$B$56,+'5.Variables'!$F64,+IF(L$8='5.Variables'!$B$70,+'5.Variables'!$F78,+IF(L$8='5.Variables'!$B$84,+'5.Variables'!$F92,+IF(L$8='5.Variables'!$B$98,+'5.Variables'!$F106,0))))))</f>
        <v>0</v>
      </c>
      <c r="M85" s="240"/>
      <c r="N85" s="268">
        <f t="shared" si="11"/>
        <v>323321.20079455141</v>
      </c>
      <c r="O85" s="272"/>
      <c r="P85" s="240"/>
      <c r="Q85" s="288"/>
      <c r="R85" s="288"/>
      <c r="S85" s="288"/>
      <c r="T85" s="908"/>
      <c r="U85"/>
      <c r="V85"/>
      <c r="W85"/>
      <c r="X85"/>
      <c r="Y85"/>
      <c r="Z85" s="240"/>
      <c r="AA85" s="240"/>
      <c r="AB85" s="240"/>
      <c r="AC85" s="240"/>
      <c r="AD85" s="240"/>
      <c r="AE85" s="240"/>
      <c r="AF85" s="240"/>
      <c r="AG85" s="240"/>
      <c r="AH85" s="240"/>
      <c r="AI85" s="240"/>
    </row>
    <row r="86" spans="1:35" x14ac:dyDescent="0.2">
      <c r="A86" s="675">
        <f t="shared" si="12"/>
        <v>77</v>
      </c>
      <c r="B86" s="266" t="str">
        <f>CONCATENATE('3. Consumption by Rate Class'!B92,"-",'3. Consumption by Rate Class'!C92)</f>
        <v>2011-May</v>
      </c>
      <c r="C86" s="270">
        <v>353954.52</v>
      </c>
      <c r="D86" s="731"/>
      <c r="E86" s="731"/>
      <c r="F86" s="268">
        <f t="shared" si="10"/>
        <v>353954.52</v>
      </c>
      <c r="G86" s="445">
        <f>IF(G$8='5.Variables'!$B$10,+'5.Variables'!$G27,+IF(G$8='5.Variables'!$B$33,+'5.Variables'!$G50,+IF(G$8='5.Variables'!$B$56,+'5.Variables'!$G64,+IF(G$8='5.Variables'!$B$70,+'5.Variables'!$G78,+IF(G$8='5.Variables'!$B$84,+'5.Variables'!$G92,+IF(G$8='5.Variables'!$B$98,+'5.Variables'!$G106,0))))))</f>
        <v>175.6</v>
      </c>
      <c r="H86" s="445">
        <f>IF(H$8='5.Variables'!$B$10,+'5.Variables'!$G27,+IF(H$8='5.Variables'!$B$33,+'5.Variables'!$G50,+IF(H$8='5.Variables'!$B$56,+'5.Variables'!$G64,+IF(H$8='5.Variables'!$B$70,+'5.Variables'!$G78,+IF(H$8='5.Variables'!$B$84,+'5.Variables'!$G92,+IF(H$8='5.Variables'!$B$98,+'5.Variables'!$G106,0))))))</f>
        <v>14.1</v>
      </c>
      <c r="I86" s="445">
        <f>IF(I$8='5.Variables'!$B$10,+'5.Variables'!$G27,+IF(I$8='5.Variables'!$B$33,+'5.Variables'!$G50,+IF(I$8='5.Variables'!$B$56,+'5.Variables'!$G64,+IF(I$8='5.Variables'!$B$70,+'5.Variables'!$G78,+IF(I$8='5.Variables'!$B$84,+'5.Variables'!$G92,+IF(I$8='5.Variables'!$B$98,+'5.Variables'!$G106,0))))))</f>
        <v>31</v>
      </c>
      <c r="J86" s="445">
        <f>IF(J$8='5.Variables'!$B$10,+'5.Variables'!$G27,+IF(J$8='5.Variables'!$B$33,+'5.Variables'!$G50,+IF(J$8='5.Variables'!$B$56,+'5.Variables'!$G64,+IF(J$8='5.Variables'!$B$70,+'5.Variables'!$G78,+IF(J$8='5.Variables'!$B$84,+'5.Variables'!$G92,+IF(J$8='5.Variables'!$B$98,+'5.Variables'!$G106,0))))))</f>
        <v>1</v>
      </c>
      <c r="K86" s="445">
        <f>IF(K$8='5.Variables'!$B$10,+'5.Variables'!$G27,+IF(K$8='5.Variables'!$B$33,+'5.Variables'!$G50,+IF(K$8='5.Variables'!$B$56,+'5.Variables'!$G64,+IF(K$8='5.Variables'!$B$70,+'5.Variables'!$G78,+IF(K$8='5.Variables'!$B$84,+'5.Variables'!$G92,+IF(K$8='5.Variables'!$B$98,+'5.Variables'!$G106,0))))))</f>
        <v>0</v>
      </c>
      <c r="L86" s="445">
        <f>IF(L$8='5.Variables'!$B$10,+'5.Variables'!$G27,+IF(L$8='5.Variables'!$B$33,+'5.Variables'!$G50,+IF(L$8='5.Variables'!$B$56,+'5.Variables'!$G64,+IF(L$8='5.Variables'!$B$70,+'5.Variables'!$G78,+IF(L$8='5.Variables'!$B$84,+'5.Variables'!$G92,+IF(L$8='5.Variables'!$B$98,+'5.Variables'!$G106,0))))))</f>
        <v>0</v>
      </c>
      <c r="M86" s="240"/>
      <c r="N86" s="268">
        <f t="shared" si="11"/>
        <v>348465.2546128346</v>
      </c>
      <c r="O86" s="272"/>
      <c r="P86" s="240"/>
      <c r="Q86" s="288"/>
      <c r="R86" s="288"/>
      <c r="S86" s="288"/>
      <c r="T86" s="908"/>
      <c r="U86"/>
      <c r="V86"/>
      <c r="W86"/>
      <c r="X86"/>
      <c r="Y86"/>
      <c r="Z86" s="240"/>
      <c r="AA86" s="240"/>
      <c r="AB86" s="240"/>
      <c r="AC86" s="240"/>
      <c r="AD86" s="240"/>
      <c r="AE86" s="240"/>
      <c r="AF86" s="240"/>
      <c r="AG86" s="240"/>
      <c r="AH86" s="240"/>
      <c r="AI86" s="240"/>
    </row>
    <row r="87" spans="1:35" x14ac:dyDescent="0.2">
      <c r="A87" s="675">
        <f t="shared" si="12"/>
        <v>78</v>
      </c>
      <c r="B87" s="266" t="str">
        <f>CONCATENATE('3. Consumption by Rate Class'!B93,"-",'3. Consumption by Rate Class'!C93)</f>
        <v>2011-June</v>
      </c>
      <c r="C87" s="270">
        <v>353949.88</v>
      </c>
      <c r="D87" s="731"/>
      <c r="E87" s="731"/>
      <c r="F87" s="268">
        <f t="shared" si="10"/>
        <v>353949.88</v>
      </c>
      <c r="G87" s="445">
        <f>IF(G$8='5.Variables'!$B$10,+'5.Variables'!$H27,+IF(G$8='5.Variables'!$B$33,+'5.Variables'!$H50,+IF(G$8='5.Variables'!$B$56,+'5.Variables'!$H64,+IF(G$8='5.Variables'!$B$70,+'5.Variables'!$H78,+IF(G$8='5.Variables'!$B$84,+'5.Variables'!$H92,+IF(G$8='5.Variables'!$B$98,+'5.Variables'!$H106,0))))))</f>
        <v>58.4</v>
      </c>
      <c r="H87" s="445">
        <f>IF(H$8='5.Variables'!$B$10,+'5.Variables'!$H27,+IF(H$8='5.Variables'!$B$33,+'5.Variables'!$H50,+IF(H$8='5.Variables'!$B$56,+'5.Variables'!$H64,+IF(H$8='5.Variables'!$B$70,+'5.Variables'!$H78,+IF(H$8='5.Variables'!$B$84,+'5.Variables'!$H92,+IF(H$8='5.Variables'!$B$98,+'5.Variables'!$H106,0))))))</f>
        <v>20.7</v>
      </c>
      <c r="I87" s="445">
        <f>IF(I$8='5.Variables'!$B$10,+'5.Variables'!$H27,+IF(I$8='5.Variables'!$B$33,+'5.Variables'!$H50,+IF(I$8='5.Variables'!$B$56,+'5.Variables'!$H64,+IF(I$8='5.Variables'!$B$70,+'5.Variables'!$H78,+IF(I$8='5.Variables'!$B$84,+'5.Variables'!$H92,+IF(I$8='5.Variables'!$B$98,+'5.Variables'!$H106,0))))))</f>
        <v>30</v>
      </c>
      <c r="J87" s="445">
        <f>IF(J$8='5.Variables'!$B$10,+'5.Variables'!$H27,+IF(J$8='5.Variables'!$B$33,+'5.Variables'!$H50,+IF(J$8='5.Variables'!$B$56,+'5.Variables'!$H64,+IF(J$8='5.Variables'!$B$70,+'5.Variables'!$H78,+IF(J$8='5.Variables'!$B$84,+'5.Variables'!$H92,+IF(J$8='5.Variables'!$B$98,+'5.Variables'!$H106,0))))))</f>
        <v>0</v>
      </c>
      <c r="K87" s="445">
        <f>IF(K$8='5.Variables'!$B$10,+'5.Variables'!$H27,+IF(K$8='5.Variables'!$B$33,+'5.Variables'!$H50,+IF(K$8='5.Variables'!$B$56,+'5.Variables'!$H64,+IF(K$8='5.Variables'!$B$70,+'5.Variables'!$H78,+IF(K$8='5.Variables'!$B$84,+'5.Variables'!$H92,+IF(K$8='5.Variables'!$B$98,+'5.Variables'!$H106,0))))))</f>
        <v>0</v>
      </c>
      <c r="L87" s="445">
        <f>IF(L$8='5.Variables'!$B$10,+'5.Variables'!$H27,+IF(L$8='5.Variables'!$B$33,+'5.Variables'!$H50,+IF(L$8='5.Variables'!$B$56,+'5.Variables'!$H64,+IF(L$8='5.Variables'!$B$70,+'5.Variables'!$H78,+IF(L$8='5.Variables'!$B$84,+'5.Variables'!$H92,+IF(L$8='5.Variables'!$B$98,+'5.Variables'!$H106,0))))))</f>
        <v>0</v>
      </c>
      <c r="M87" s="240"/>
      <c r="N87" s="268">
        <f t="shared" si="11"/>
        <v>355669.22255836771</v>
      </c>
      <c r="O87" s="272"/>
      <c r="P87" s="240"/>
      <c r="Q87" s="288"/>
      <c r="R87" s="288"/>
      <c r="S87" s="288"/>
      <c r="T87" s="908"/>
      <c r="U87"/>
      <c r="V87"/>
      <c r="W87"/>
      <c r="X87"/>
      <c r="Y87"/>
      <c r="Z87" s="240"/>
      <c r="AA87" s="240"/>
      <c r="AB87" s="240"/>
      <c r="AC87" s="240"/>
      <c r="AD87" s="240"/>
      <c r="AE87" s="240"/>
      <c r="AF87" s="240"/>
      <c r="AG87" s="240"/>
      <c r="AH87" s="240"/>
      <c r="AI87" s="240"/>
    </row>
    <row r="88" spans="1:35" x14ac:dyDescent="0.2">
      <c r="A88" s="675">
        <f t="shared" si="12"/>
        <v>79</v>
      </c>
      <c r="B88" s="266" t="str">
        <f>CONCATENATE('3. Consumption by Rate Class'!B94,"-",'3. Consumption by Rate Class'!C94)</f>
        <v>2011-July</v>
      </c>
      <c r="C88" s="270">
        <v>417351.39</v>
      </c>
      <c r="D88" s="731"/>
      <c r="E88" s="731"/>
      <c r="F88" s="268">
        <f t="shared" si="10"/>
        <v>417351.39</v>
      </c>
      <c r="G88" s="445">
        <f>IF(G$8='5.Variables'!$B$10,+'5.Variables'!$I27,+IF(G$8='5.Variables'!$B$33,+'5.Variables'!$I50,+IF(G$8='5.Variables'!$B$56,+'5.Variables'!$I64,+IF(G$8='5.Variables'!$B$70,+'5.Variables'!$I78,+IF(G$8='5.Variables'!$B$84,+'5.Variables'!$I92,+IF(G$8='5.Variables'!$B$98,+'5.Variables'!$I106,0))))))</f>
        <v>0.7</v>
      </c>
      <c r="H88" s="445">
        <f>IF(H$8='5.Variables'!$B$10,+'5.Variables'!$I27,+IF(H$8='5.Variables'!$B$33,+'5.Variables'!$I50,+IF(H$8='5.Variables'!$B$56,+'5.Variables'!$I64,+IF(H$8='5.Variables'!$B$70,+'5.Variables'!$I78,+IF(H$8='5.Variables'!$B$84,+'5.Variables'!$I92,+IF(H$8='5.Variables'!$B$98,+'5.Variables'!$I106,0))))))</f>
        <v>139.9</v>
      </c>
      <c r="I88" s="445">
        <f>IF(I$8='5.Variables'!$B$10,+'5.Variables'!$I27,+IF(I$8='5.Variables'!$B$33,+'5.Variables'!$I50,+IF(I$8='5.Variables'!$B$56,+'5.Variables'!$I64,+IF(I$8='5.Variables'!$B$70,+'5.Variables'!$I78,+IF(I$8='5.Variables'!$B$84,+'5.Variables'!$I92,+IF(I$8='5.Variables'!$B$98,+'5.Variables'!$I106,0))))))</f>
        <v>31</v>
      </c>
      <c r="J88" s="445">
        <f>IF(J$8='5.Variables'!$B$10,+'5.Variables'!$I27,+IF(J$8='5.Variables'!$B$33,+'5.Variables'!$I50,+IF(J$8='5.Variables'!$B$56,+'5.Variables'!$I64,+IF(J$8='5.Variables'!$B$70,+'5.Variables'!$I78,+IF(J$8='5.Variables'!$B$84,+'5.Variables'!$I92,+IF(J$8='5.Variables'!$B$98,+'5.Variables'!$I106,0))))))</f>
        <v>0</v>
      </c>
      <c r="K88" s="445">
        <f>IF(K$8='5.Variables'!$B$10,+'5.Variables'!$I27,+IF(K$8='5.Variables'!$B$33,+'5.Variables'!$I50,+IF(K$8='5.Variables'!$B$56,+'5.Variables'!$I64,+IF(K$8='5.Variables'!$B$70,+'5.Variables'!$I78,+IF(K$8='5.Variables'!$B$84,+'5.Variables'!$I92,+IF(K$8='5.Variables'!$B$98,+'5.Variables'!$I106,0))))))</f>
        <v>0</v>
      </c>
      <c r="L88" s="445">
        <f>IF(L$8='5.Variables'!$B$10,+'5.Variables'!$I27,+IF(L$8='5.Variables'!$B$33,+'5.Variables'!$I50,+IF(L$8='5.Variables'!$B$56,+'5.Variables'!$I64,+IF(L$8='5.Variables'!$B$70,+'5.Variables'!$I78,+IF(L$8='5.Variables'!$B$84,+'5.Variables'!$I92,+IF(L$8='5.Variables'!$B$98,+'5.Variables'!$I106,0))))))</f>
        <v>0</v>
      </c>
      <c r="M88" s="240"/>
      <c r="N88" s="268">
        <f t="shared" si="11"/>
        <v>416178.13853419531</v>
      </c>
      <c r="O88" s="272"/>
      <c r="P88" s="240"/>
      <c r="Q88" s="288"/>
      <c r="R88" s="288"/>
      <c r="S88" s="288"/>
      <c r="T88" s="908"/>
      <c r="U88"/>
      <c r="V88"/>
      <c r="W88"/>
      <c r="X88"/>
      <c r="Y88"/>
      <c r="Z88" s="240"/>
      <c r="AA88" s="240"/>
      <c r="AB88" s="240"/>
      <c r="AC88" s="240"/>
      <c r="AD88" s="240"/>
      <c r="AE88" s="240"/>
      <c r="AF88" s="240"/>
      <c r="AG88" s="240"/>
      <c r="AH88" s="240"/>
      <c r="AI88" s="240"/>
    </row>
    <row r="89" spans="1:35" x14ac:dyDescent="0.2">
      <c r="A89" s="675">
        <f t="shared" si="12"/>
        <v>80</v>
      </c>
      <c r="B89" s="266" t="str">
        <f>CONCATENATE('3. Consumption by Rate Class'!B95,"-",'3. Consumption by Rate Class'!C95)</f>
        <v>2011-August</v>
      </c>
      <c r="C89" s="270">
        <v>406961.79</v>
      </c>
      <c r="D89" s="731"/>
      <c r="E89" s="731"/>
      <c r="F89" s="268">
        <f t="shared" si="10"/>
        <v>406961.79</v>
      </c>
      <c r="G89" s="445">
        <f>IF(G$8='5.Variables'!$B$10,+'5.Variables'!$J27,+IF(G$8='5.Variables'!$B$33,+'5.Variables'!$J50,+IF(G$8='5.Variables'!$B$56,+'5.Variables'!$J64,+IF(G$8='5.Variables'!$B$70,+'5.Variables'!$J78,+IF(G$8='5.Variables'!$B$84,+'5.Variables'!$J92,+IF(G$8='5.Variables'!$B$98,+'5.Variables'!$J106,0))))))</f>
        <v>2.7</v>
      </c>
      <c r="H89" s="445">
        <f>IF(H$8='5.Variables'!$B$10,+'5.Variables'!$J27,+IF(H$8='5.Variables'!$B$33,+'5.Variables'!$J50,+IF(H$8='5.Variables'!$B$56,+'5.Variables'!$J64,+IF(H$8='5.Variables'!$B$70,+'5.Variables'!$J78,+IF(H$8='5.Variables'!$B$84,+'5.Variables'!$J92,+IF(H$8='5.Variables'!$B$98,+'5.Variables'!$J106,0))))))</f>
        <v>88.2</v>
      </c>
      <c r="I89" s="445">
        <f>IF(I$8='5.Variables'!$B$10,+'5.Variables'!$J27,+IF(I$8='5.Variables'!$B$33,+'5.Variables'!$J50,+IF(I$8='5.Variables'!$B$56,+'5.Variables'!$J64,+IF(I$8='5.Variables'!$B$70,+'5.Variables'!$J78,+IF(I$8='5.Variables'!$B$84,+'5.Variables'!$J92,+IF(I$8='5.Variables'!$B$98,+'5.Variables'!$J106,0))))))</f>
        <v>31</v>
      </c>
      <c r="J89" s="445">
        <f>IF(J$8='5.Variables'!$B$10,+'5.Variables'!$J27,+IF(J$8='5.Variables'!$B$33,+'5.Variables'!$J50,+IF(J$8='5.Variables'!$B$56,+'5.Variables'!$J64,+IF(J$8='5.Variables'!$B$70,+'5.Variables'!$J78,+IF(J$8='5.Variables'!$B$84,+'5.Variables'!$J92,+IF(J$8='5.Variables'!$B$98,+'5.Variables'!$J106,0))))))</f>
        <v>0</v>
      </c>
      <c r="K89" s="445">
        <f>IF(K$8='5.Variables'!$B$10,+'5.Variables'!$J27,+IF(K$8='5.Variables'!$B$33,+'5.Variables'!$J50,+IF(K$8='5.Variables'!$B$56,+'5.Variables'!$J64,+IF(K$8='5.Variables'!$B$70,+'5.Variables'!$J78,+IF(K$8='5.Variables'!$B$84,+'5.Variables'!$J92,+IF(K$8='5.Variables'!$B$98,+'5.Variables'!$J106,0))))))</f>
        <v>0</v>
      </c>
      <c r="L89" s="445">
        <f>IF(L$8='5.Variables'!$B$10,+'5.Variables'!$J27,+IF(L$8='5.Variables'!$B$33,+'5.Variables'!$J50,+IF(L$8='5.Variables'!$B$56,+'5.Variables'!$J64,+IF(L$8='5.Variables'!$B$70,+'5.Variables'!$J78,+IF(L$8='5.Variables'!$B$84,+'5.Variables'!$J92,+IF(L$8='5.Variables'!$B$98,+'5.Variables'!$J106,0))))))</f>
        <v>0</v>
      </c>
      <c r="M89" s="240"/>
      <c r="N89" s="268">
        <f t="shared" si="11"/>
        <v>396270.03913203656</v>
      </c>
      <c r="O89" s="272"/>
      <c r="P89" s="240"/>
      <c r="Q89" s="288"/>
      <c r="R89" s="288"/>
      <c r="S89" s="288"/>
      <c r="T89" s="908"/>
      <c r="U89"/>
      <c r="V89"/>
      <c r="W89"/>
      <c r="X89"/>
      <c r="Y89"/>
      <c r="Z89" s="240"/>
      <c r="AA89" s="240"/>
      <c r="AB89" s="240"/>
      <c r="AC89" s="240"/>
      <c r="AD89" s="240"/>
      <c r="AE89" s="240"/>
      <c r="AF89" s="240"/>
      <c r="AG89" s="240"/>
      <c r="AH89" s="240"/>
      <c r="AI89" s="240"/>
    </row>
    <row r="90" spans="1:35" x14ac:dyDescent="0.2">
      <c r="A90" s="675">
        <f t="shared" si="12"/>
        <v>81</v>
      </c>
      <c r="B90" s="266" t="str">
        <f>CONCATENATE('3. Consumption by Rate Class'!B96,"-",'3. Consumption by Rate Class'!C96)</f>
        <v>2011-September</v>
      </c>
      <c r="C90" s="270">
        <v>368617.64000000007</v>
      </c>
      <c r="D90" s="731"/>
      <c r="E90" s="731"/>
      <c r="F90" s="268">
        <f t="shared" si="10"/>
        <v>368617.64000000007</v>
      </c>
      <c r="G90" s="445">
        <f>IF(G$8='5.Variables'!$B$10,+'5.Variables'!$K27,+IF(G$8='5.Variables'!$B$33,+'5.Variables'!$K50,+IF(G$8='5.Variables'!$B$56,+'5.Variables'!$K64,+IF(G$8='5.Variables'!$B$70,+'5.Variables'!$K78,+IF(G$8='5.Variables'!$B$84,+'5.Variables'!$K92,+IF(G$8='5.Variables'!$B$98,+'5.Variables'!$K106,0))))))</f>
        <v>72.3</v>
      </c>
      <c r="H90" s="445">
        <f>IF(H$8='5.Variables'!$B$10,+'5.Variables'!$K27,+IF(H$8='5.Variables'!$B$33,+'5.Variables'!$K50,+IF(H$8='5.Variables'!$B$56,+'5.Variables'!$K64,+IF(H$8='5.Variables'!$B$70,+'5.Variables'!$K78,+IF(H$8='5.Variables'!$B$84,+'5.Variables'!$K92,+IF(H$8='5.Variables'!$B$98,+'5.Variables'!$K106,0))))))</f>
        <v>21.2</v>
      </c>
      <c r="I90" s="445">
        <f>IF(I$8='5.Variables'!$B$10,+'5.Variables'!$K27,+IF(I$8='5.Variables'!$B$33,+'5.Variables'!$K50,+IF(I$8='5.Variables'!$B$56,+'5.Variables'!$K64,+IF(I$8='5.Variables'!$B$70,+'5.Variables'!$K78,+IF(I$8='5.Variables'!$B$84,+'5.Variables'!$K92,+IF(I$8='5.Variables'!$B$98,+'5.Variables'!$K106,0))))))</f>
        <v>30</v>
      </c>
      <c r="J90" s="445">
        <f>IF(J$8='5.Variables'!$B$10,+'5.Variables'!$K27,+IF(J$8='5.Variables'!$B$33,+'5.Variables'!$K50,+IF(J$8='5.Variables'!$B$56,+'5.Variables'!$K64,+IF(J$8='5.Variables'!$B$70,+'5.Variables'!$K78,+IF(J$8='5.Variables'!$B$84,+'5.Variables'!$K92,+IF(J$8='5.Variables'!$B$98,+'5.Variables'!$K106,0))))))</f>
        <v>1</v>
      </c>
      <c r="K90" s="445">
        <f>IF(K$8='5.Variables'!$B$10,+'5.Variables'!$K27,+IF(K$8='5.Variables'!$B$33,+'5.Variables'!$K50,+IF(K$8='5.Variables'!$B$56,+'5.Variables'!$K64,+IF(K$8='5.Variables'!$B$70,+'5.Variables'!$K78,+IF(K$8='5.Variables'!$B$84,+'5.Variables'!$K92,+IF(K$8='5.Variables'!$B$98,+'5.Variables'!$K106,0))))))</f>
        <v>0</v>
      </c>
      <c r="L90" s="445">
        <f>IF(L$8='5.Variables'!$B$10,+'5.Variables'!$K27,+IF(L$8='5.Variables'!$B$33,+'5.Variables'!$K50,+IF(L$8='5.Variables'!$B$56,+'5.Variables'!$K64,+IF(L$8='5.Variables'!$B$70,+'5.Variables'!$K78,+IF(L$8='5.Variables'!$B$84,+'5.Variables'!$K92,+IF(L$8='5.Variables'!$B$98,+'5.Variables'!$K106,0))))))</f>
        <v>0</v>
      </c>
      <c r="M90" s="240"/>
      <c r="N90" s="268">
        <f t="shared" si="11"/>
        <v>344148.64529177727</v>
      </c>
      <c r="O90" s="272"/>
      <c r="P90" s="240"/>
      <c r="Q90" s="288"/>
      <c r="R90" s="288"/>
      <c r="S90" s="288"/>
      <c r="T90" s="908"/>
      <c r="U90"/>
      <c r="V90"/>
      <c r="W90"/>
      <c r="X90"/>
      <c r="Y90"/>
      <c r="Z90" s="240"/>
      <c r="AA90" s="240"/>
      <c r="AB90" s="240"/>
      <c r="AC90" s="240"/>
      <c r="AD90" s="240"/>
      <c r="AE90" s="240"/>
      <c r="AF90" s="240"/>
      <c r="AG90" s="240"/>
      <c r="AH90" s="240"/>
      <c r="AI90" s="240"/>
    </row>
    <row r="91" spans="1:35" x14ac:dyDescent="0.2">
      <c r="A91" s="675">
        <f t="shared" si="12"/>
        <v>82</v>
      </c>
      <c r="B91" s="266" t="str">
        <f>CONCATENATE('3. Consumption by Rate Class'!B97,"-",'3. Consumption by Rate Class'!C97)</f>
        <v>2011-October</v>
      </c>
      <c r="C91" s="270">
        <v>345765.47</v>
      </c>
      <c r="D91" s="731"/>
      <c r="E91" s="731"/>
      <c r="F91" s="268">
        <f t="shared" si="10"/>
        <v>345765.47</v>
      </c>
      <c r="G91" s="445">
        <f>IF(G$8='5.Variables'!$B$10,+'5.Variables'!$L27,+IF(G$8='5.Variables'!$B$33,+'5.Variables'!$L50,+IF(G$8='5.Variables'!$B$56,+'5.Variables'!$L64,+IF(G$8='5.Variables'!$B$70,+'5.Variables'!$L78,+IF(G$8='5.Variables'!$B$84,+'5.Variables'!$L92,+IF(G$8='5.Variables'!$B$98,+'5.Variables'!$L106,0))))))</f>
        <v>223</v>
      </c>
      <c r="H91" s="445">
        <f>IF(H$8='5.Variables'!$B$10,+'5.Variables'!$L27,+IF(H$8='5.Variables'!$B$33,+'5.Variables'!$L50,+IF(H$8='5.Variables'!$B$56,+'5.Variables'!$L64,+IF(H$8='5.Variables'!$B$70,+'5.Variables'!$L78,+IF(H$8='5.Variables'!$B$84,+'5.Variables'!$L92,+IF(H$8='5.Variables'!$B$98,+'5.Variables'!$L106,0))))))</f>
        <v>2.8</v>
      </c>
      <c r="I91" s="445">
        <f>IF(I$8='5.Variables'!$B$10,+'5.Variables'!$L27,+IF(I$8='5.Variables'!$B$33,+'5.Variables'!$L50,+IF(I$8='5.Variables'!$B$56,+'5.Variables'!$L64,+IF(I$8='5.Variables'!$B$70,+'5.Variables'!$L78,+IF(I$8='5.Variables'!$B$84,+'5.Variables'!$L92,+IF(I$8='5.Variables'!$B$98,+'5.Variables'!$L106,0))))))</f>
        <v>31</v>
      </c>
      <c r="J91" s="445">
        <f>IF(J$8='5.Variables'!$B$10,+'5.Variables'!$L27,+IF(J$8='5.Variables'!$B$33,+'5.Variables'!$L50,+IF(J$8='5.Variables'!$B$56,+'5.Variables'!$L64,+IF(J$8='5.Variables'!$B$70,+'5.Variables'!$L78,+IF(J$8='5.Variables'!$B$84,+'5.Variables'!$L92,+IF(J$8='5.Variables'!$B$98,+'5.Variables'!$L106,0))))))</f>
        <v>1</v>
      </c>
      <c r="K91" s="445">
        <f>IF(K$8='5.Variables'!$B$10,+'5.Variables'!$L27,+IF(K$8='5.Variables'!$B$33,+'5.Variables'!$L50,+IF(K$8='5.Variables'!$B$56,+'5.Variables'!$L64,+IF(K$8='5.Variables'!$B$70,+'5.Variables'!$L78,+IF(K$8='5.Variables'!$B$84,+'5.Variables'!$L92,+IF(K$8='5.Variables'!$B$98,+'5.Variables'!$L106,0))))))</f>
        <v>0</v>
      </c>
      <c r="L91" s="445">
        <f>IF(L$8='5.Variables'!$B$10,+'5.Variables'!$L27,+IF(L$8='5.Variables'!$B$33,+'5.Variables'!$L50,+IF(L$8='5.Variables'!$B$56,+'5.Variables'!$L64,+IF(L$8='5.Variables'!$B$70,+'5.Variables'!$L78,+IF(L$8='5.Variables'!$B$84,+'5.Variables'!$L92,+IF(L$8='5.Variables'!$B$98,+'5.Variables'!$L106,0))))))</f>
        <v>0</v>
      </c>
      <c r="M91" s="240"/>
      <c r="N91" s="268">
        <f t="shared" si="11"/>
        <v>341840.33658294467</v>
      </c>
      <c r="O91" s="272"/>
      <c r="P91" s="240"/>
      <c r="Q91" s="288"/>
      <c r="R91" s="288"/>
      <c r="S91" s="288"/>
      <c r="T91" s="908"/>
      <c r="U91"/>
      <c r="V91"/>
      <c r="W91"/>
      <c r="X91"/>
      <c r="Y91"/>
      <c r="Z91" s="240"/>
      <c r="AA91" s="240"/>
      <c r="AB91" s="240"/>
      <c r="AC91" s="240"/>
      <c r="AD91" s="240"/>
      <c r="AE91" s="240"/>
      <c r="AF91" s="240"/>
      <c r="AG91" s="240"/>
      <c r="AH91" s="240"/>
      <c r="AI91" s="240"/>
    </row>
    <row r="92" spans="1:35" x14ac:dyDescent="0.2">
      <c r="A92" s="675">
        <f t="shared" si="12"/>
        <v>83</v>
      </c>
      <c r="B92" s="266" t="str">
        <f>CONCATENATE('3. Consumption by Rate Class'!B98,"-",'3. Consumption by Rate Class'!C98)</f>
        <v>2011-November</v>
      </c>
      <c r="C92" s="270">
        <v>325881.65999999997</v>
      </c>
      <c r="D92" s="731"/>
      <c r="E92" s="731"/>
      <c r="F92" s="268">
        <f t="shared" si="10"/>
        <v>325881.65999999997</v>
      </c>
      <c r="G92" s="445">
        <f>IF(G$8='5.Variables'!$B$10,+'5.Variables'!$M27,+IF(G$8='5.Variables'!$B$33,+'5.Variables'!$M50,+IF(G$8='5.Variables'!$B$56,+'5.Variables'!$M64,+IF(G$8='5.Variables'!$B$70,+'5.Variables'!$M78,+IF(G$8='5.Variables'!$B$84,+'5.Variables'!$M92,+IF(G$8='5.Variables'!$B$98,+'5.Variables'!$M106,0))))))</f>
        <v>336.2</v>
      </c>
      <c r="H92" s="445">
        <f>IF(H$8='5.Variables'!$B$10,+'5.Variables'!$M27,+IF(H$8='5.Variables'!$B$33,+'5.Variables'!$M50,+IF(H$8='5.Variables'!$B$56,+'5.Variables'!$M64,+IF(H$8='5.Variables'!$B$70,+'5.Variables'!$M78,+IF(H$8='5.Variables'!$B$84,+'5.Variables'!$M92,+IF(H$8='5.Variables'!$B$98,+'5.Variables'!$M106,0))))))</f>
        <v>0</v>
      </c>
      <c r="I92" s="445">
        <f>IF(I$8='5.Variables'!$B$10,+'5.Variables'!$M27,+IF(I$8='5.Variables'!$B$33,+'5.Variables'!$M50,+IF(I$8='5.Variables'!$B$56,+'5.Variables'!$M64,+IF(I$8='5.Variables'!$B$70,+'5.Variables'!$M78,+IF(I$8='5.Variables'!$B$84,+'5.Variables'!$M92,+IF(I$8='5.Variables'!$B$98,+'5.Variables'!$M106,0))))))</f>
        <v>30</v>
      </c>
      <c r="J92" s="445">
        <f>IF(J$8='5.Variables'!$B$10,+'5.Variables'!$M27,+IF(J$8='5.Variables'!$B$33,+'5.Variables'!$M50,+IF(J$8='5.Variables'!$B$56,+'5.Variables'!$M64,+IF(J$8='5.Variables'!$B$70,+'5.Variables'!$M78,+IF(J$8='5.Variables'!$B$84,+'5.Variables'!$M92,+IF(J$8='5.Variables'!$B$98,+'5.Variables'!$M106,0))))))</f>
        <v>1</v>
      </c>
      <c r="K92" s="445">
        <f>IF(K$8='5.Variables'!$B$10,+'5.Variables'!$M27,+IF(K$8='5.Variables'!$B$33,+'5.Variables'!$M50,+IF(K$8='5.Variables'!$B$56,+'5.Variables'!$M64,+IF(K$8='5.Variables'!$B$70,+'5.Variables'!$M78,+IF(K$8='5.Variables'!$B$84,+'5.Variables'!$M92,+IF(K$8='5.Variables'!$B$98,+'5.Variables'!$M106,0))))))</f>
        <v>0</v>
      </c>
      <c r="L92" s="445">
        <f>IF(L$8='5.Variables'!$B$10,+'5.Variables'!$M27,+IF(L$8='5.Variables'!$B$33,+'5.Variables'!$M50,+IF(L$8='5.Variables'!$B$56,+'5.Variables'!$M64,+IF(L$8='5.Variables'!$B$70,+'5.Variables'!$M78,+IF(L$8='5.Variables'!$B$84,+'5.Variables'!$M92,+IF(L$8='5.Variables'!$B$98,+'5.Variables'!$M106,0))))))</f>
        <v>0</v>
      </c>
      <c r="M92" s="240"/>
      <c r="N92" s="268">
        <f t="shared" si="11"/>
        <v>323248.58071186894</v>
      </c>
      <c r="O92" s="272"/>
      <c r="P92" s="240"/>
      <c r="Q92" s="288"/>
      <c r="R92" s="288"/>
      <c r="S92" s="288"/>
      <c r="T92" s="908"/>
      <c r="U92"/>
      <c r="V92"/>
      <c r="W92"/>
      <c r="X92"/>
      <c r="Y92"/>
      <c r="Z92" s="240"/>
      <c r="AA92" s="240"/>
      <c r="AB92" s="240"/>
      <c r="AC92" s="240"/>
      <c r="AD92" s="240"/>
      <c r="AE92" s="240"/>
      <c r="AF92" s="240"/>
      <c r="AG92" s="240"/>
      <c r="AH92" s="240"/>
      <c r="AI92" s="240"/>
    </row>
    <row r="93" spans="1:35" x14ac:dyDescent="0.2">
      <c r="A93" s="675">
        <f t="shared" si="12"/>
        <v>84</v>
      </c>
      <c r="B93" s="266" t="str">
        <f>CONCATENATE('3. Consumption by Rate Class'!B99,"-",'3. Consumption by Rate Class'!C99)</f>
        <v>2011-December</v>
      </c>
      <c r="C93" s="270">
        <v>360222.92</v>
      </c>
      <c r="D93" s="731"/>
      <c r="E93" s="731"/>
      <c r="F93" s="268">
        <f t="shared" si="10"/>
        <v>360222.92</v>
      </c>
      <c r="G93" s="445">
        <f>IF(G$8='5.Variables'!$B$10,+'5.Variables'!$N27,+IF(G$8='5.Variables'!$B$33,+'5.Variables'!$N50,+IF(G$8='5.Variables'!$B$56,+'5.Variables'!$N64,+IF(G$8='5.Variables'!$B$70,+'5.Variables'!$N78,+IF(G$8='5.Variables'!$B$84,+'5.Variables'!$N92,+IF(G$8='5.Variables'!$B$98,+'5.Variables'!$N106,0))))))</f>
        <v>555.29999999999995</v>
      </c>
      <c r="H93" s="445">
        <f>IF(H$8='5.Variables'!$B$10,+'5.Variables'!$N27,+IF(H$8='5.Variables'!$B$33,+'5.Variables'!$N50,+IF(H$8='5.Variables'!$B$56,+'5.Variables'!$N64,+IF(H$8='5.Variables'!$B$70,+'5.Variables'!$N78,+IF(H$8='5.Variables'!$B$84,+'5.Variables'!$N92,+IF(H$8='5.Variables'!$B$98,+'5.Variables'!$N106,0))))))</f>
        <v>0</v>
      </c>
      <c r="I93" s="445">
        <f>IF(I$8='5.Variables'!$B$10,+'5.Variables'!$N27,+IF(I$8='5.Variables'!$B$33,+'5.Variables'!$N50,+IF(I$8='5.Variables'!$B$56,+'5.Variables'!$N64,+IF(I$8='5.Variables'!$B$70,+'5.Variables'!$N78,+IF(I$8='5.Variables'!$B$84,+'5.Variables'!$N92,+IF(I$8='5.Variables'!$B$98,+'5.Variables'!$N106,0))))))</f>
        <v>31</v>
      </c>
      <c r="J93" s="445">
        <f>IF(J$8='5.Variables'!$B$10,+'5.Variables'!$N27,+IF(J$8='5.Variables'!$B$33,+'5.Variables'!$N50,+IF(J$8='5.Variables'!$B$56,+'5.Variables'!$N64,+IF(J$8='5.Variables'!$B$70,+'5.Variables'!$N78,+IF(J$8='5.Variables'!$B$84,+'5.Variables'!$N92,+IF(J$8='5.Variables'!$B$98,+'5.Variables'!$N106,0))))))</f>
        <v>0</v>
      </c>
      <c r="K93" s="445">
        <f>IF(K$8='5.Variables'!$B$10,+'5.Variables'!$N27,+IF(K$8='5.Variables'!$B$33,+'5.Variables'!$N50,+IF(K$8='5.Variables'!$B$56,+'5.Variables'!$N64,+IF(K$8='5.Variables'!$B$70,+'5.Variables'!$N78,+IF(K$8='5.Variables'!$B$84,+'5.Variables'!$N92,+IF(K$8='5.Variables'!$B$98,+'5.Variables'!$N106,0))))))</f>
        <v>0</v>
      </c>
      <c r="L93" s="445">
        <f>IF(L$8='5.Variables'!$B$10,+'5.Variables'!$N27,+IF(L$8='5.Variables'!$B$33,+'5.Variables'!$N50,+IF(L$8='5.Variables'!$B$56,+'5.Variables'!$N64,+IF(L$8='5.Variables'!$B$70,+'5.Variables'!$N78,+IF(L$8='5.Variables'!$B$84,+'5.Variables'!$N92,+IF(L$8='5.Variables'!$B$98,+'5.Variables'!$N106,0))))))</f>
        <v>0</v>
      </c>
      <c r="M93" s="240"/>
      <c r="N93" s="268">
        <f t="shared" si="11"/>
        <v>335718.84621249395</v>
      </c>
      <c r="O93" s="272">
        <f>SUM(N82:N93)</f>
        <v>4127060.7424970362</v>
      </c>
      <c r="P93" s="240"/>
      <c r="Q93" s="288"/>
      <c r="R93" s="288"/>
      <c r="S93" s="288"/>
      <c r="T93" s="908"/>
      <c r="U93"/>
      <c r="V93"/>
      <c r="W93"/>
      <c r="X93"/>
      <c r="Y93"/>
      <c r="Z93" s="240"/>
      <c r="AA93" s="240"/>
      <c r="AB93" s="240"/>
      <c r="AC93" s="240"/>
      <c r="AD93" s="240"/>
      <c r="AE93" s="240"/>
      <c r="AF93" s="240"/>
      <c r="AG93" s="240"/>
      <c r="AH93" s="240"/>
      <c r="AI93" s="240"/>
    </row>
    <row r="94" spans="1:35" x14ac:dyDescent="0.2">
      <c r="A94" s="675">
        <f t="shared" si="12"/>
        <v>85</v>
      </c>
      <c r="B94" s="266" t="str">
        <f>CONCATENATE('3. Consumption by Rate Class'!B100,"-",'3. Consumption by Rate Class'!C100)</f>
        <v>2012-January</v>
      </c>
      <c r="C94" s="730">
        <v>342672.64000000001</v>
      </c>
      <c r="D94" s="731"/>
      <c r="E94" s="731"/>
      <c r="F94" s="268">
        <f t="shared" si="10"/>
        <v>342672.64000000001</v>
      </c>
      <c r="G94" s="445">
        <f>IF(G$8='5.Variables'!$B$10,+'5.Variables'!$C28,+IF(G$8='5.Variables'!$B$33,+'5.Variables'!$C51,+IF(G$8='5.Variables'!$B$56,+'5.Variables'!$C65,+IF(G$8='5.Variables'!$B$70,+'5.Variables'!$C79,+IF(G$8='5.Variables'!$B$84,+'5.Variables'!$C93,+IF(G$8='5.Variables'!$B$98,+'5.Variables'!$C107,0))))))</f>
        <v>633.70000000000005</v>
      </c>
      <c r="H94" s="445">
        <f>IF(H$8='5.Variables'!$B$10,+'5.Variables'!$C28,+IF(H$8='5.Variables'!$B$33,+'5.Variables'!$C51,+IF(H$8='5.Variables'!$B$56,+'5.Variables'!$C65,+IF(H$8='5.Variables'!$B$70,+'5.Variables'!$C79,+IF(H$8='5.Variables'!$B$84,+'5.Variables'!$C93,+IF(H$8='5.Variables'!$B$98,+'5.Variables'!$C107,0))))))</f>
        <v>0</v>
      </c>
      <c r="I94" s="445">
        <f>IF(I$8='5.Variables'!$B$10,+'5.Variables'!$C28,+IF(I$8='5.Variables'!$B$33,+'5.Variables'!$C51,+IF(I$8='5.Variables'!$B$56,+'5.Variables'!$C65,+IF(I$8='5.Variables'!$B$70,+'5.Variables'!$C79,+IF(I$8='5.Variables'!$B$84,+'5.Variables'!$C93,+IF(I$8='5.Variables'!$B$98,+'5.Variables'!$C107,0))))))</f>
        <v>31</v>
      </c>
      <c r="J94" s="445">
        <f>IF(J$8='5.Variables'!$B$10,+'5.Variables'!$C28,+IF(J$8='5.Variables'!$B$33,+'5.Variables'!$C51,+IF(J$8='5.Variables'!$B$56,+'5.Variables'!$C65,+IF(J$8='5.Variables'!$B$70,+'5.Variables'!$C79,+IF(J$8='5.Variables'!$B$84,+'5.Variables'!$C93,+IF(J$8='5.Variables'!$B$98,+'5.Variables'!$C107,0))))))</f>
        <v>0</v>
      </c>
      <c r="K94" s="445">
        <f>IF(K$8='5.Variables'!$B$10,+'5.Variables'!$C28,+IF(K$8='5.Variables'!$B$33,+'5.Variables'!$C51,+IF(K$8='5.Variables'!$B$56,+'5.Variables'!$C65,+IF(K$8='5.Variables'!$B$70,+'5.Variables'!$C79,+IF(K$8='5.Variables'!$B$84,+'5.Variables'!$C93,+IF(K$8='5.Variables'!$B$98,+'5.Variables'!$C107,0))))))</f>
        <v>0</v>
      </c>
      <c r="L94" s="445">
        <f>IF(L$8='5.Variables'!$B$10,+'5.Variables'!$C28,+IF(L$8='5.Variables'!$B$33,+'5.Variables'!$C51,+IF(L$8='5.Variables'!$B$56,+'5.Variables'!$C65,+IF(L$8='5.Variables'!$B$70,+'5.Variables'!$C79,+IF(L$8='5.Variables'!$B$84,+'5.Variables'!$C93,+IF(L$8='5.Variables'!$B$98,+'5.Variables'!$C107,0))))))</f>
        <v>0</v>
      </c>
      <c r="M94" s="240"/>
      <c r="N94" s="268">
        <f t="shared" si="11"/>
        <v>331923.23655762372</v>
      </c>
      <c r="O94" s="272"/>
      <c r="P94" s="240"/>
      <c r="Q94" s="288"/>
      <c r="R94" s="288"/>
      <c r="S94" s="288"/>
      <c r="T94" s="908"/>
      <c r="U94"/>
      <c r="V94"/>
      <c r="W94"/>
      <c r="X94"/>
      <c r="Y94"/>
      <c r="Z94" s="240"/>
      <c r="AA94" s="240"/>
      <c r="AB94" s="240"/>
      <c r="AC94" s="240"/>
      <c r="AD94" s="240"/>
      <c r="AE94" s="240"/>
      <c r="AF94" s="240"/>
      <c r="AG94" s="240"/>
      <c r="AH94" s="240"/>
      <c r="AI94" s="240"/>
    </row>
    <row r="95" spans="1:35" x14ac:dyDescent="0.2">
      <c r="A95" s="675">
        <f t="shared" si="12"/>
        <v>86</v>
      </c>
      <c r="B95" s="266" t="str">
        <f>CONCATENATE('3. Consumption by Rate Class'!B101,"-",'3. Consumption by Rate Class'!C101)</f>
        <v>2012-February</v>
      </c>
      <c r="C95" s="730">
        <v>294351.01</v>
      </c>
      <c r="D95" s="731"/>
      <c r="E95" s="731"/>
      <c r="F95" s="268">
        <f t="shared" si="10"/>
        <v>294351.01</v>
      </c>
      <c r="G95" s="445">
        <f>IF(G$8='5.Variables'!$B$10,+'5.Variables'!$D28,+IF(G$8='5.Variables'!$B$33,+'5.Variables'!$D51,+IF(G$8='5.Variables'!$B$56,+'5.Variables'!$D65,+IF(G$8='5.Variables'!$B$70,+'5.Variables'!$D79,+IF(G$8='5.Variables'!$B$84,+'5.Variables'!$D93,+IF(G$8='5.Variables'!$B$98,+'5.Variables'!$D107,0))))))</f>
        <v>551.6</v>
      </c>
      <c r="H95" s="445">
        <f>IF(H$8='5.Variables'!$B$10,+'5.Variables'!$D28,+IF(H$8='5.Variables'!$B$33,+'5.Variables'!$D51,+IF(H$8='5.Variables'!$B$56,+'5.Variables'!$D65,+IF(H$8='5.Variables'!$B$70,+'5.Variables'!$D79,+IF(H$8='5.Variables'!$B$84,+'5.Variables'!$D93,+IF(H$8='5.Variables'!$B$98,+'5.Variables'!$D107,0))))))</f>
        <v>0</v>
      </c>
      <c r="I95" s="445">
        <f>IF(I$8='5.Variables'!$B$10,+'5.Variables'!$D28,+IF(I$8='5.Variables'!$B$33,+'5.Variables'!$D51,+IF(I$8='5.Variables'!$B$56,+'5.Variables'!$D65,+IF(I$8='5.Variables'!$B$70,+'5.Variables'!$D79,+IF(I$8='5.Variables'!$B$84,+'5.Variables'!$D93,+IF(I$8='5.Variables'!$B$98,+'5.Variables'!$D107,0))))))</f>
        <v>29</v>
      </c>
      <c r="J95" s="445">
        <f>IF(J$8='5.Variables'!$B$10,+'5.Variables'!$D28,+IF(J$8='5.Variables'!$B$33,+'5.Variables'!$D51,+IF(J$8='5.Variables'!$B$56,+'5.Variables'!$D65,+IF(J$8='5.Variables'!$B$70,+'5.Variables'!$D79,+IF(J$8='5.Variables'!$B$84,+'5.Variables'!$D93,+IF(J$8='5.Variables'!$B$98,+'5.Variables'!$D107,0))))))</f>
        <v>0</v>
      </c>
      <c r="K95" s="445">
        <f>IF(K$8='5.Variables'!$B$10,+'5.Variables'!$D28,+IF(K$8='5.Variables'!$B$33,+'5.Variables'!$D51,+IF(K$8='5.Variables'!$B$56,+'5.Variables'!$D65,+IF(K$8='5.Variables'!$B$70,+'5.Variables'!$D79,+IF(K$8='5.Variables'!$B$84,+'5.Variables'!$D93,+IF(K$8='5.Variables'!$B$98,+'5.Variables'!$D107,0))))))</f>
        <v>0</v>
      </c>
      <c r="L95" s="445">
        <f>IF(L$8='5.Variables'!$B$10,+'5.Variables'!$D28,+IF(L$8='5.Variables'!$B$33,+'5.Variables'!$D51,+IF(L$8='5.Variables'!$B$56,+'5.Variables'!$D65,+IF(L$8='5.Variables'!$B$70,+'5.Variables'!$D79,+IF(L$8='5.Variables'!$B$84,+'5.Variables'!$D93,+IF(L$8='5.Variables'!$B$98,+'5.Variables'!$D107,0))))))</f>
        <v>0</v>
      </c>
      <c r="M95" s="240"/>
      <c r="N95" s="268">
        <f t="shared" si="11"/>
        <v>311821.15702426608</v>
      </c>
      <c r="O95" s="272"/>
      <c r="P95" s="240"/>
      <c r="Q95" s="288"/>
      <c r="R95" s="288"/>
      <c r="S95" s="288"/>
      <c r="T95" s="908"/>
      <c r="U95"/>
      <c r="V95"/>
      <c r="W95"/>
      <c r="X95"/>
      <c r="Y95"/>
      <c r="Z95" s="240"/>
      <c r="AA95" s="240"/>
      <c r="AB95" s="240"/>
      <c r="AC95" s="240"/>
      <c r="AD95" s="240"/>
      <c r="AE95" s="240"/>
      <c r="AF95" s="240"/>
      <c r="AG95" s="240"/>
      <c r="AH95" s="240"/>
      <c r="AI95" s="240"/>
    </row>
    <row r="96" spans="1:35" x14ac:dyDescent="0.2">
      <c r="A96" s="675">
        <f t="shared" si="12"/>
        <v>87</v>
      </c>
      <c r="B96" s="266" t="str">
        <f>CONCATENATE('3. Consumption by Rate Class'!B102,"-",'3. Consumption by Rate Class'!C102)</f>
        <v>2012-March</v>
      </c>
      <c r="C96" s="730">
        <v>313705.95</v>
      </c>
      <c r="D96" s="731"/>
      <c r="E96" s="731"/>
      <c r="F96" s="268">
        <f t="shared" si="10"/>
        <v>313705.95</v>
      </c>
      <c r="G96" s="445">
        <f>IF(G$8='5.Variables'!$B$10,+'5.Variables'!$E28,+IF(G$8='5.Variables'!$B$33,+'5.Variables'!$E51,+IF(G$8='5.Variables'!$B$56,+'5.Variables'!$E65,+IF(G$8='5.Variables'!$B$70,+'5.Variables'!$E79,+IF(G$8='5.Variables'!$B$84,+'5.Variables'!$E93,+IF(G$8='5.Variables'!$B$98,+'5.Variables'!$E107,0))))))</f>
        <v>362.4</v>
      </c>
      <c r="H96" s="445">
        <f>IF(H$8='5.Variables'!$B$10,+'5.Variables'!$E28,+IF(H$8='5.Variables'!$B$33,+'5.Variables'!$E51,+IF(H$8='5.Variables'!$B$56,+'5.Variables'!$E65,+IF(H$8='5.Variables'!$B$70,+'5.Variables'!$E79,+IF(H$8='5.Variables'!$B$84,+'5.Variables'!$E93,+IF(H$8='5.Variables'!$B$98,+'5.Variables'!$E107,0))))))</f>
        <v>2.8</v>
      </c>
      <c r="I96" s="445">
        <f>IF(I$8='5.Variables'!$B$10,+'5.Variables'!$E28,+IF(I$8='5.Variables'!$B$33,+'5.Variables'!$E51,+IF(I$8='5.Variables'!$B$56,+'5.Variables'!$E65,+IF(I$8='5.Variables'!$B$70,+'5.Variables'!$E79,+IF(I$8='5.Variables'!$B$84,+'5.Variables'!$E93,+IF(I$8='5.Variables'!$B$98,+'5.Variables'!$E107,0))))))</f>
        <v>31</v>
      </c>
      <c r="J96" s="445">
        <f>IF(J$8='5.Variables'!$B$10,+'5.Variables'!$E28,+IF(J$8='5.Variables'!$B$33,+'5.Variables'!$E51,+IF(J$8='5.Variables'!$B$56,+'5.Variables'!$E65,+IF(J$8='5.Variables'!$B$70,+'5.Variables'!$E79,+IF(J$8='5.Variables'!$B$84,+'5.Variables'!$E93,+IF(J$8='5.Variables'!$B$98,+'5.Variables'!$E107,0))))))</f>
        <v>1</v>
      </c>
      <c r="K96" s="445">
        <f>IF(K$8='5.Variables'!$B$10,+'5.Variables'!$E28,+IF(K$8='5.Variables'!$B$33,+'5.Variables'!$E51,+IF(K$8='5.Variables'!$B$56,+'5.Variables'!$E65,+IF(K$8='5.Variables'!$B$70,+'5.Variables'!$E79,+IF(K$8='5.Variables'!$B$84,+'5.Variables'!$E93,+IF(K$8='5.Variables'!$B$98,+'5.Variables'!$E107,0))))))</f>
        <v>0</v>
      </c>
      <c r="L96" s="445">
        <f>IF(L$8='5.Variables'!$B$10,+'5.Variables'!$E28,+IF(L$8='5.Variables'!$B$33,+'5.Variables'!$E51,+IF(L$8='5.Variables'!$B$56,+'5.Variables'!$E65,+IF(L$8='5.Variables'!$B$70,+'5.Variables'!$E79,+IF(L$8='5.Variables'!$B$84,+'5.Variables'!$E93,+IF(L$8='5.Variables'!$B$98,+'5.Variables'!$E107,0))))))</f>
        <v>0</v>
      </c>
      <c r="M96" s="240"/>
      <c r="N96" s="268">
        <f t="shared" si="11"/>
        <v>335091.51023232075</v>
      </c>
      <c r="O96" s="272"/>
      <c r="P96" s="240"/>
      <c r="Q96" s="288"/>
      <c r="R96" s="288"/>
      <c r="S96" s="288"/>
      <c r="T96" s="908"/>
      <c r="U96"/>
      <c r="V96"/>
      <c r="W96"/>
      <c r="X96"/>
      <c r="Y96"/>
      <c r="Z96" s="240"/>
      <c r="AA96" s="240"/>
      <c r="AB96" s="240"/>
      <c r="AC96" s="240"/>
      <c r="AD96" s="240"/>
      <c r="AE96" s="240"/>
      <c r="AF96" s="240"/>
      <c r="AG96" s="240"/>
      <c r="AH96" s="240"/>
      <c r="AI96" s="240"/>
    </row>
    <row r="97" spans="1:35" x14ac:dyDescent="0.2">
      <c r="A97" s="675">
        <f t="shared" si="12"/>
        <v>88</v>
      </c>
      <c r="B97" s="266" t="str">
        <f>CONCATENATE('3. Consumption by Rate Class'!B103,"-",'3. Consumption by Rate Class'!C103)</f>
        <v>2012-April</v>
      </c>
      <c r="C97" s="730">
        <f>'6. WS Regression Analysis'!E97/1.081</f>
        <v>124503.44457724332</v>
      </c>
      <c r="D97" s="731">
        <v>167350.04999999999</v>
      </c>
      <c r="E97" s="731">
        <f>+'X.1.CDM Calculation'!O7</f>
        <v>32788.713250000001</v>
      </c>
      <c r="F97" s="268">
        <f t="shared" si="10"/>
        <v>324642.20782724337</v>
      </c>
      <c r="G97" s="445">
        <f>IF(G$8='5.Variables'!$B$10,+'5.Variables'!$F28,+IF(G$8='5.Variables'!$B$33,+'5.Variables'!$F51,+IF(G$8='5.Variables'!$B$56,+'5.Variables'!$F65,+IF(G$8='5.Variables'!$B$70,+'5.Variables'!$F79,+IF(G$8='5.Variables'!$B$84,+'5.Variables'!$F93,+IF(G$8='5.Variables'!$B$98,+'5.Variables'!$F107,0))))))</f>
        <v>377.9</v>
      </c>
      <c r="H97" s="445">
        <f>IF(H$8='5.Variables'!$B$10,+'5.Variables'!$F28,+IF(H$8='5.Variables'!$B$33,+'5.Variables'!$F51,+IF(H$8='5.Variables'!$B$56,+'5.Variables'!$F65,+IF(H$8='5.Variables'!$B$70,+'5.Variables'!$F79,+IF(H$8='5.Variables'!$B$84,+'5.Variables'!$F93,+IF(H$8='5.Variables'!$B$98,+'5.Variables'!$F107,0))))))</f>
        <v>0</v>
      </c>
      <c r="I97" s="445">
        <f>IF(I$8='5.Variables'!$B$10,+'5.Variables'!$F28,+IF(I$8='5.Variables'!$B$33,+'5.Variables'!$F51,+IF(I$8='5.Variables'!$B$56,+'5.Variables'!$F65,+IF(I$8='5.Variables'!$B$70,+'5.Variables'!$F79,+IF(I$8='5.Variables'!$B$84,+'5.Variables'!$F93,+IF(I$8='5.Variables'!$B$98,+'5.Variables'!$F107,0))))))</f>
        <v>30</v>
      </c>
      <c r="J97" s="445">
        <f>IF(J$8='5.Variables'!$B$10,+'5.Variables'!$F28,+IF(J$8='5.Variables'!$B$33,+'5.Variables'!$F51,+IF(J$8='5.Variables'!$B$56,+'5.Variables'!$F65,+IF(J$8='5.Variables'!$B$70,+'5.Variables'!$F79,+IF(J$8='5.Variables'!$B$84,+'5.Variables'!$F93,+IF(J$8='5.Variables'!$B$98,+'5.Variables'!$F107,0))))))</f>
        <v>1</v>
      </c>
      <c r="K97" s="445">
        <f>IF(K$8='5.Variables'!$B$10,+'5.Variables'!$F28,+IF(K$8='5.Variables'!$B$33,+'5.Variables'!$F51,+IF(K$8='5.Variables'!$B$56,+'5.Variables'!$F65,+IF(K$8='5.Variables'!$B$70,+'5.Variables'!$F79,+IF(K$8='5.Variables'!$B$84,+'5.Variables'!$F93,+IF(K$8='5.Variables'!$B$98,+'5.Variables'!$F107,0))))))</f>
        <v>0</v>
      </c>
      <c r="L97" s="445">
        <f>IF(L$8='5.Variables'!$B$10,+'5.Variables'!$F28,+IF(L$8='5.Variables'!$B$33,+'5.Variables'!$F51,+IF(L$8='5.Variables'!$B$56,+'5.Variables'!$F65,+IF(L$8='5.Variables'!$B$70,+'5.Variables'!$F79,+IF(L$8='5.Variables'!$B$84,+'5.Variables'!$F93,+IF(L$8='5.Variables'!$B$98,+'5.Variables'!$F107,0))))))</f>
        <v>0</v>
      </c>
      <c r="M97" s="240"/>
      <c r="N97" s="268">
        <f t="shared" si="11"/>
        <v>321229.74241329642</v>
      </c>
      <c r="O97" s="272"/>
      <c r="P97" s="240"/>
      <c r="Q97" s="288"/>
      <c r="R97" s="288"/>
      <c r="S97" s="288"/>
      <c r="T97" s="908"/>
      <c r="U97"/>
      <c r="V97"/>
      <c r="W97"/>
      <c r="X97"/>
      <c r="Y97"/>
      <c r="Z97" s="240"/>
      <c r="AA97" s="240"/>
      <c r="AB97" s="240"/>
      <c r="AC97" s="240"/>
      <c r="AD97" s="240"/>
      <c r="AE97" s="240"/>
      <c r="AF97" s="240"/>
      <c r="AG97" s="240"/>
      <c r="AH97" s="240"/>
      <c r="AI97" s="240"/>
    </row>
    <row r="98" spans="1:35" x14ac:dyDescent="0.2">
      <c r="A98" s="675">
        <f t="shared" si="12"/>
        <v>89</v>
      </c>
      <c r="B98" s="266" t="str">
        <f>CONCATENATE('3. Consumption by Rate Class'!B104,"-",'3. Consumption by Rate Class'!C104)</f>
        <v>2012-May</v>
      </c>
      <c r="C98" s="730">
        <f>'6. WS Regression Analysis'!E98/1.081</f>
        <v>296892.83625346905</v>
      </c>
      <c r="D98" s="731"/>
      <c r="E98" s="731">
        <f>+'X.1.CDM Calculation'!O8</f>
        <v>33881.670358333336</v>
      </c>
      <c r="F98" s="268">
        <f t="shared" si="10"/>
        <v>330774.50661180238</v>
      </c>
      <c r="G98" s="445">
        <f>IF(G$8='5.Variables'!$B$10,+'5.Variables'!$G28,+IF(G$8='5.Variables'!$B$33,+'5.Variables'!$G51,+IF(G$8='5.Variables'!$B$56,+'5.Variables'!$G65,+IF(G$8='5.Variables'!$B$70,+'5.Variables'!$G79,+IF(G$8='5.Variables'!$B$84,+'5.Variables'!$G93,+IF(G$8='5.Variables'!$B$98,+'5.Variables'!$G107,0))))))</f>
        <v>133.5</v>
      </c>
      <c r="H98" s="445">
        <f>IF(H$8='5.Variables'!$B$10,+'5.Variables'!$G28,+IF(H$8='5.Variables'!$B$33,+'5.Variables'!$G51,+IF(H$8='5.Variables'!$B$56,+'5.Variables'!$G65,+IF(H$8='5.Variables'!$B$70,+'5.Variables'!$G79,+IF(H$8='5.Variables'!$B$84,+'5.Variables'!$G93,+IF(H$8='5.Variables'!$B$98,+'5.Variables'!$G107,0))))))</f>
        <v>24.4</v>
      </c>
      <c r="I98" s="445">
        <f>IF(I$8='5.Variables'!$B$10,+'5.Variables'!$G28,+IF(I$8='5.Variables'!$B$33,+'5.Variables'!$G51,+IF(I$8='5.Variables'!$B$56,+'5.Variables'!$G65,+IF(I$8='5.Variables'!$B$70,+'5.Variables'!$G79,+IF(I$8='5.Variables'!$B$84,+'5.Variables'!$G93,+IF(I$8='5.Variables'!$B$98,+'5.Variables'!$G107,0))))))</f>
        <v>31</v>
      </c>
      <c r="J98" s="445">
        <f>IF(J$8='5.Variables'!$B$10,+'5.Variables'!$G28,+IF(J$8='5.Variables'!$B$33,+'5.Variables'!$G51,+IF(J$8='5.Variables'!$B$56,+'5.Variables'!$G65,+IF(J$8='5.Variables'!$B$70,+'5.Variables'!$G79,+IF(J$8='5.Variables'!$B$84,+'5.Variables'!$G93,+IF(J$8='5.Variables'!$B$98,+'5.Variables'!$G107,0))))))</f>
        <v>1</v>
      </c>
      <c r="K98" s="445">
        <f>IF(K$8='5.Variables'!$B$10,+'5.Variables'!$G28,+IF(K$8='5.Variables'!$B$33,+'5.Variables'!$G51,+IF(K$8='5.Variables'!$B$56,+'5.Variables'!$G65,+IF(K$8='5.Variables'!$B$70,+'5.Variables'!$G79,+IF(K$8='5.Variables'!$B$84,+'5.Variables'!$G93,+IF(K$8='5.Variables'!$B$98,+'5.Variables'!$G107,0))))))</f>
        <v>0</v>
      </c>
      <c r="L98" s="445">
        <f>IF(L$8='5.Variables'!$B$10,+'5.Variables'!$G28,+IF(L$8='5.Variables'!$B$33,+'5.Variables'!$G51,+IF(L$8='5.Variables'!$B$56,+'5.Variables'!$G65,+IF(L$8='5.Variables'!$B$70,+'5.Variables'!$G79,+IF(L$8='5.Variables'!$B$84,+'5.Variables'!$G93,+IF(L$8='5.Variables'!$B$98,+'5.Variables'!$G107,0))))))</f>
        <v>0</v>
      </c>
      <c r="M98" s="240"/>
      <c r="N98" s="268">
        <f t="shared" si="11"/>
        <v>354450.38492133585</v>
      </c>
      <c r="O98" s="272"/>
      <c r="P98" s="240"/>
      <c r="Q98" s="288"/>
      <c r="R98" s="288"/>
      <c r="S98" s="288"/>
      <c r="T98" s="908"/>
      <c r="U98"/>
      <c r="V98"/>
      <c r="W98"/>
      <c r="X98"/>
      <c r="Y98"/>
      <c r="Z98" s="240"/>
      <c r="AA98" s="240"/>
      <c r="AB98" s="240"/>
      <c r="AC98" s="240"/>
      <c r="AD98" s="240"/>
      <c r="AE98" s="240"/>
      <c r="AF98" s="240"/>
      <c r="AG98" s="240"/>
      <c r="AH98" s="240"/>
      <c r="AI98" s="240"/>
    </row>
    <row r="99" spans="1:35" x14ac:dyDescent="0.2">
      <c r="A99" s="675">
        <f t="shared" si="12"/>
        <v>90</v>
      </c>
      <c r="B99" s="266" t="str">
        <f>CONCATENATE('3. Consumption by Rate Class'!B105,"-",'3. Consumption by Rate Class'!C105)</f>
        <v>2012-June</v>
      </c>
      <c r="C99" s="730">
        <f>'6. WS Regression Analysis'!E99/1.081</f>
        <v>325877.6385383904</v>
      </c>
      <c r="D99" s="731"/>
      <c r="E99" s="731">
        <f>+'X.1.CDM Calculation'!O9</f>
        <v>28369.111769021743</v>
      </c>
      <c r="F99" s="268">
        <f t="shared" si="10"/>
        <v>354246.75030741212</v>
      </c>
      <c r="G99" s="445">
        <f>IF(G$8='5.Variables'!$B$10,+'5.Variables'!$H28,+IF(G$8='5.Variables'!$B$33,+'5.Variables'!$H51,+IF(G$8='5.Variables'!$B$56,+'5.Variables'!$H65,+IF(G$8='5.Variables'!$B$70,+'5.Variables'!$H79,+IF(G$8='5.Variables'!$B$84,+'5.Variables'!$H93,+IF(G$8='5.Variables'!$B$98,+'5.Variables'!$H107,0))))))</f>
        <v>40.799999999999997</v>
      </c>
      <c r="H99" s="445">
        <f>IF(H$8='5.Variables'!$B$10,+'5.Variables'!$H28,+IF(H$8='5.Variables'!$B$33,+'5.Variables'!$H51,+IF(H$8='5.Variables'!$B$56,+'5.Variables'!$H65,+IF(H$8='5.Variables'!$B$70,+'5.Variables'!$H79,+IF(H$8='5.Variables'!$B$84,+'5.Variables'!$H93,+IF(H$8='5.Variables'!$B$98,+'5.Variables'!$H107,0))))))</f>
        <v>77.8</v>
      </c>
      <c r="I99" s="445">
        <f>IF(I$8='5.Variables'!$B$10,+'5.Variables'!$H28,+IF(I$8='5.Variables'!$B$33,+'5.Variables'!$H51,+IF(I$8='5.Variables'!$B$56,+'5.Variables'!$H65,+IF(I$8='5.Variables'!$B$70,+'5.Variables'!$H79,+IF(I$8='5.Variables'!$B$84,+'5.Variables'!$H93,+IF(I$8='5.Variables'!$B$98,+'5.Variables'!$H107,0))))))</f>
        <v>30</v>
      </c>
      <c r="J99" s="445">
        <f>IF(J$8='5.Variables'!$B$10,+'5.Variables'!$H28,+IF(J$8='5.Variables'!$B$33,+'5.Variables'!$H51,+IF(J$8='5.Variables'!$B$56,+'5.Variables'!$H65,+IF(J$8='5.Variables'!$B$70,+'5.Variables'!$H79,+IF(J$8='5.Variables'!$B$84,+'5.Variables'!$H93,+IF(J$8='5.Variables'!$B$98,+'5.Variables'!$H107,0))))))</f>
        <v>0</v>
      </c>
      <c r="K99" s="445">
        <f>IF(K$8='5.Variables'!$B$10,+'5.Variables'!$H28,+IF(K$8='5.Variables'!$B$33,+'5.Variables'!$H51,+IF(K$8='5.Variables'!$B$56,+'5.Variables'!$H65,+IF(K$8='5.Variables'!$B$70,+'5.Variables'!$H79,+IF(K$8='5.Variables'!$B$84,+'5.Variables'!$H93,+IF(K$8='5.Variables'!$B$98,+'5.Variables'!$H107,0))))))</f>
        <v>0</v>
      </c>
      <c r="L99" s="445">
        <f>IF(L$8='5.Variables'!$B$10,+'5.Variables'!$H28,+IF(L$8='5.Variables'!$B$33,+'5.Variables'!$H51,+IF(L$8='5.Variables'!$B$56,+'5.Variables'!$H65,+IF(L$8='5.Variables'!$B$70,+'5.Variables'!$H79,+IF(L$8='5.Variables'!$B$84,+'5.Variables'!$H93,+IF(L$8='5.Variables'!$B$98,+'5.Variables'!$H107,0))))))</f>
        <v>0</v>
      </c>
      <c r="M99" s="240"/>
      <c r="N99" s="268">
        <f t="shared" si="11"/>
        <v>378401.83333834185</v>
      </c>
      <c r="O99" s="272"/>
      <c r="P99" s="240"/>
      <c r="Q99" s="288"/>
      <c r="R99" s="288"/>
      <c r="S99" s="288"/>
      <c r="T99" s="908"/>
      <c r="U99"/>
      <c r="V99"/>
      <c r="W99"/>
      <c r="X99"/>
      <c r="Y99"/>
      <c r="Z99" s="240"/>
      <c r="AA99" s="240"/>
      <c r="AB99" s="240"/>
      <c r="AC99" s="240"/>
      <c r="AD99" s="240"/>
      <c r="AE99" s="240"/>
      <c r="AF99" s="240"/>
      <c r="AG99" s="240"/>
      <c r="AH99" s="240"/>
      <c r="AI99" s="240"/>
    </row>
    <row r="100" spans="1:35" x14ac:dyDescent="0.2">
      <c r="A100" s="675">
        <f t="shared" si="12"/>
        <v>91</v>
      </c>
      <c r="B100" s="266" t="str">
        <f>CONCATENATE('3. Consumption by Rate Class'!B106,"-",'3. Consumption by Rate Class'!C106)</f>
        <v>2012-July</v>
      </c>
      <c r="C100" s="730">
        <f>'6. WS Regression Analysis'!E100/1.081</f>
        <v>359029.81789639225</v>
      </c>
      <c r="D100" s="731"/>
      <c r="E100" s="731">
        <f>+'X.1.CDM Calculation'!O10</f>
        <v>29314.748827989137</v>
      </c>
      <c r="F100" s="268">
        <f t="shared" si="10"/>
        <v>388344.56672438141</v>
      </c>
      <c r="G100" s="445">
        <f>IF(G$8='5.Variables'!$B$10,+'5.Variables'!$I28,+IF(G$8='5.Variables'!$B$33,+'5.Variables'!$I51,+IF(G$8='5.Variables'!$B$56,+'5.Variables'!$I65,+IF(G$8='5.Variables'!$B$70,+'5.Variables'!$I79,+IF(G$8='5.Variables'!$B$84,+'5.Variables'!$I93,+IF(G$8='5.Variables'!$B$98,+'5.Variables'!$I107,0))))))</f>
        <v>0.2</v>
      </c>
      <c r="H100" s="445">
        <f>IF(H$8='5.Variables'!$B$10,+'5.Variables'!$I28,+IF(H$8='5.Variables'!$B$33,+'5.Variables'!$I51,+IF(H$8='5.Variables'!$B$56,+'5.Variables'!$I65,+IF(H$8='5.Variables'!$B$70,+'5.Variables'!$I79,+IF(H$8='5.Variables'!$B$84,+'5.Variables'!$I93,+IF(H$8='5.Variables'!$B$98,+'5.Variables'!$I107,0))))))</f>
        <v>125.7</v>
      </c>
      <c r="I100" s="445">
        <f>IF(I$8='5.Variables'!$B$10,+'5.Variables'!$I28,+IF(I$8='5.Variables'!$B$33,+'5.Variables'!$I51,+IF(I$8='5.Variables'!$B$56,+'5.Variables'!$I65,+IF(I$8='5.Variables'!$B$70,+'5.Variables'!$I79,+IF(I$8='5.Variables'!$B$84,+'5.Variables'!$I93,+IF(I$8='5.Variables'!$B$98,+'5.Variables'!$I107,0))))))</f>
        <v>31</v>
      </c>
      <c r="J100" s="445">
        <f>IF(J$8='5.Variables'!$B$10,+'5.Variables'!$I28,+IF(J$8='5.Variables'!$B$33,+'5.Variables'!$I51,+IF(J$8='5.Variables'!$B$56,+'5.Variables'!$I65,+IF(J$8='5.Variables'!$B$70,+'5.Variables'!$I79,+IF(J$8='5.Variables'!$B$84,+'5.Variables'!$I93,+IF(J$8='5.Variables'!$B$98,+'5.Variables'!$I107,0))))))</f>
        <v>0</v>
      </c>
      <c r="K100" s="445">
        <f>IF(K$8='5.Variables'!$B$10,+'5.Variables'!$I28,+IF(K$8='5.Variables'!$B$33,+'5.Variables'!$I51,+IF(K$8='5.Variables'!$B$56,+'5.Variables'!$I65,+IF(K$8='5.Variables'!$B$70,+'5.Variables'!$I79,+IF(K$8='5.Variables'!$B$84,+'5.Variables'!$I93,+IF(K$8='5.Variables'!$B$98,+'5.Variables'!$I107,0))))))</f>
        <v>0</v>
      </c>
      <c r="L100" s="445">
        <f>IF(L$8='5.Variables'!$B$10,+'5.Variables'!$I28,+IF(L$8='5.Variables'!$B$33,+'5.Variables'!$I51,+IF(L$8='5.Variables'!$B$56,+'5.Variables'!$I65,+IF(L$8='5.Variables'!$B$70,+'5.Variables'!$I79,+IF(L$8='5.Variables'!$B$84,+'5.Variables'!$I93,+IF(L$8='5.Variables'!$B$98,+'5.Variables'!$I107,0))))))</f>
        <v>0</v>
      </c>
      <c r="M100" s="240"/>
      <c r="N100" s="268">
        <f t="shared" si="11"/>
        <v>410760.95119982451</v>
      </c>
      <c r="O100" s="272"/>
      <c r="P100" s="240"/>
      <c r="Q100" s="288"/>
      <c r="R100" s="288"/>
      <c r="S100" s="288"/>
      <c r="T100" s="908"/>
      <c r="U100"/>
      <c r="V100"/>
      <c r="W100"/>
      <c r="X100"/>
      <c r="Y100"/>
      <c r="Z100" s="240"/>
      <c r="AA100" s="240"/>
      <c r="AB100" s="240"/>
      <c r="AC100" s="240"/>
      <c r="AD100" s="240"/>
      <c r="AE100" s="240"/>
      <c r="AF100" s="240"/>
      <c r="AG100" s="240"/>
      <c r="AH100" s="240"/>
      <c r="AI100" s="240"/>
    </row>
    <row r="101" spans="1:35" x14ac:dyDescent="0.2">
      <c r="A101" s="675">
        <f t="shared" si="12"/>
        <v>92</v>
      </c>
      <c r="B101" s="266" t="str">
        <f>CONCATENATE('3. Consumption by Rate Class'!B107,"-",'3. Consumption by Rate Class'!C107)</f>
        <v>2012-August</v>
      </c>
      <c r="C101" s="730">
        <f>'6. WS Regression Analysis'!E101/1.081</f>
        <v>351410.39732469938</v>
      </c>
      <c r="D101" s="731"/>
      <c r="E101" s="731">
        <f>+'X.1.CDM Calculation'!O11</f>
        <v>29314.748827989137</v>
      </c>
      <c r="F101" s="268">
        <f t="shared" si="10"/>
        <v>380725.14615268854</v>
      </c>
      <c r="G101" s="445">
        <f>IF(G$8='5.Variables'!$B$10,+'5.Variables'!$J28,+IF(G$8='5.Variables'!$B$33,+'5.Variables'!$J51,+IF(G$8='5.Variables'!$B$56,+'5.Variables'!$J65,+IF(G$8='5.Variables'!$B$70,+'5.Variables'!$J79,+IF(G$8='5.Variables'!$B$84,+'5.Variables'!$J93,+IF(G$8='5.Variables'!$B$98,+'5.Variables'!$J107,0))))))</f>
        <v>4.5</v>
      </c>
      <c r="H101" s="445">
        <f>IF(H$8='5.Variables'!$B$10,+'5.Variables'!$J28,+IF(H$8='5.Variables'!$B$33,+'5.Variables'!$J51,+IF(H$8='5.Variables'!$B$56,+'5.Variables'!$J65,+IF(H$8='5.Variables'!$B$70,+'5.Variables'!$J79,+IF(H$8='5.Variables'!$B$84,+'5.Variables'!$J93,+IF(H$8='5.Variables'!$B$98,+'5.Variables'!$J107,0))))))</f>
        <v>84</v>
      </c>
      <c r="I101" s="445">
        <f>IF(I$8='5.Variables'!$B$10,+'5.Variables'!$J28,+IF(I$8='5.Variables'!$B$33,+'5.Variables'!$J51,+IF(I$8='5.Variables'!$B$56,+'5.Variables'!$J65,+IF(I$8='5.Variables'!$B$70,+'5.Variables'!$J79,+IF(I$8='5.Variables'!$B$84,+'5.Variables'!$J93,+IF(I$8='5.Variables'!$B$98,+'5.Variables'!$J107,0))))))</f>
        <v>31</v>
      </c>
      <c r="J101" s="445">
        <f>IF(J$8='5.Variables'!$B$10,+'5.Variables'!$J28,+IF(J$8='5.Variables'!$B$33,+'5.Variables'!$J51,+IF(J$8='5.Variables'!$B$56,+'5.Variables'!$J65,+IF(J$8='5.Variables'!$B$70,+'5.Variables'!$J79,+IF(J$8='5.Variables'!$B$84,+'5.Variables'!$J93,+IF(J$8='5.Variables'!$B$98,+'5.Variables'!$J107,0))))))</f>
        <v>0</v>
      </c>
      <c r="K101" s="445">
        <f>IF(K$8='5.Variables'!$B$10,+'5.Variables'!$J28,+IF(K$8='5.Variables'!$B$33,+'5.Variables'!$J51,+IF(K$8='5.Variables'!$B$56,+'5.Variables'!$J65,+IF(K$8='5.Variables'!$B$70,+'5.Variables'!$J79,+IF(K$8='5.Variables'!$B$84,+'5.Variables'!$J93,+IF(K$8='5.Variables'!$B$98,+'5.Variables'!$J107,0))))))</f>
        <v>0</v>
      </c>
      <c r="L101" s="445">
        <f>IF(L$8='5.Variables'!$B$10,+'5.Variables'!$J28,+IF(L$8='5.Variables'!$B$33,+'5.Variables'!$J51,+IF(L$8='5.Variables'!$B$56,+'5.Variables'!$J65,+IF(L$8='5.Variables'!$B$70,+'5.Variables'!$J79,+IF(L$8='5.Variables'!$B$84,+'5.Variables'!$J93,+IF(L$8='5.Variables'!$B$98,+'5.Variables'!$J107,0))))))</f>
        <v>0</v>
      </c>
      <c r="M101" s="240"/>
      <c r="N101" s="268">
        <f t="shared" si="11"/>
        <v>394573.46862999274</v>
      </c>
      <c r="O101" s="272"/>
      <c r="P101" s="240"/>
      <c r="Q101" s="288"/>
      <c r="R101" s="288"/>
      <c r="S101" s="288"/>
      <c r="T101" s="908"/>
      <c r="U101"/>
      <c r="V101"/>
      <c r="W101"/>
      <c r="X101"/>
      <c r="Y101"/>
      <c r="Z101" s="240"/>
      <c r="AA101" s="240"/>
      <c r="AB101" s="240"/>
      <c r="AC101" s="240"/>
      <c r="AD101" s="240"/>
      <c r="AE101" s="240"/>
      <c r="AF101" s="240"/>
      <c r="AG101" s="240"/>
      <c r="AH101" s="240"/>
      <c r="AI101" s="240"/>
    </row>
    <row r="102" spans="1:35" x14ac:dyDescent="0.2">
      <c r="A102" s="675">
        <f t="shared" si="12"/>
        <v>93</v>
      </c>
      <c r="B102" s="266" t="str">
        <f>CONCATENATE('3. Consumption by Rate Class'!B108,"-",'3. Consumption by Rate Class'!C108)</f>
        <v>2012-September</v>
      </c>
      <c r="C102" s="730">
        <f>'6. WS Regression Analysis'!E102/1.081</f>
        <v>297627.71874930622</v>
      </c>
      <c r="D102" s="731"/>
      <c r="E102" s="731">
        <f>+'X.1.CDM Calculation'!O12</f>
        <v>32788.713250000001</v>
      </c>
      <c r="F102" s="268">
        <f t="shared" si="10"/>
        <v>330416.43199930619</v>
      </c>
      <c r="G102" s="445">
        <f>IF(G$8='5.Variables'!$B$10,+'5.Variables'!$K28,+IF(G$8='5.Variables'!$B$33,+'5.Variables'!$K51,+IF(G$8='5.Variables'!$B$56,+'5.Variables'!$K65,+IF(G$8='5.Variables'!$B$70,+'5.Variables'!$K79,+IF(G$8='5.Variables'!$B$84,+'5.Variables'!$K93,+IF(G$8='5.Variables'!$B$98,+'5.Variables'!$K107,0))))))</f>
        <v>90.2</v>
      </c>
      <c r="H102" s="445">
        <f>IF(H$8='5.Variables'!$B$10,+'5.Variables'!$K28,+IF(H$8='5.Variables'!$B$33,+'5.Variables'!$K51,+IF(H$8='5.Variables'!$B$56,+'5.Variables'!$K65,+IF(H$8='5.Variables'!$B$70,+'5.Variables'!$K79,+IF(H$8='5.Variables'!$B$84,+'5.Variables'!$K93,+IF(H$8='5.Variables'!$B$98,+'5.Variables'!$K107,0))))))</f>
        <v>24.4</v>
      </c>
      <c r="I102" s="445">
        <f>IF(I$8='5.Variables'!$B$10,+'5.Variables'!$K28,+IF(I$8='5.Variables'!$B$33,+'5.Variables'!$K51,+IF(I$8='5.Variables'!$B$56,+'5.Variables'!$K65,+IF(I$8='5.Variables'!$B$70,+'5.Variables'!$K79,+IF(I$8='5.Variables'!$B$84,+'5.Variables'!$K93,+IF(I$8='5.Variables'!$B$98,+'5.Variables'!$K107,0))))))</f>
        <v>30</v>
      </c>
      <c r="J102" s="445">
        <f>IF(J$8='5.Variables'!$B$10,+'5.Variables'!$K28,+IF(J$8='5.Variables'!$B$33,+'5.Variables'!$K51,+IF(J$8='5.Variables'!$B$56,+'5.Variables'!$K65,+IF(J$8='5.Variables'!$B$70,+'5.Variables'!$K79,+IF(J$8='5.Variables'!$B$84,+'5.Variables'!$K93,+IF(J$8='5.Variables'!$B$98,+'5.Variables'!$K107,0))))))</f>
        <v>1</v>
      </c>
      <c r="K102" s="445">
        <f>IF(K$8='5.Variables'!$B$10,+'5.Variables'!$K28,+IF(K$8='5.Variables'!$B$33,+'5.Variables'!$K51,+IF(K$8='5.Variables'!$B$56,+'5.Variables'!$K65,+IF(K$8='5.Variables'!$B$70,+'5.Variables'!$K79,+IF(K$8='5.Variables'!$B$84,+'5.Variables'!$K93,+IF(K$8='5.Variables'!$B$98,+'5.Variables'!$K107,0))))))</f>
        <v>0</v>
      </c>
      <c r="L102" s="445">
        <f>IF(L$8='5.Variables'!$B$10,+'5.Variables'!$K28,+IF(L$8='5.Variables'!$B$33,+'5.Variables'!$K51,+IF(L$8='5.Variables'!$B$56,+'5.Variables'!$K65,+IF(L$8='5.Variables'!$B$70,+'5.Variables'!$K79,+IF(L$8='5.Variables'!$B$84,+'5.Variables'!$K93,+IF(L$8='5.Variables'!$B$98,+'5.Variables'!$K107,0))))))</f>
        <v>0</v>
      </c>
      <c r="M102" s="240"/>
      <c r="N102" s="268">
        <f t="shared" si="11"/>
        <v>344508.27527868073</v>
      </c>
      <c r="O102" s="272"/>
      <c r="P102" s="240"/>
      <c r="Q102" s="288"/>
      <c r="R102" s="288"/>
      <c r="S102" s="288"/>
      <c r="T102" s="908"/>
      <c r="U102"/>
      <c r="V102"/>
      <c r="W102"/>
      <c r="X102"/>
      <c r="Y102"/>
      <c r="Z102" s="240"/>
      <c r="AA102" s="240"/>
      <c r="AB102" s="240"/>
      <c r="AC102" s="240"/>
      <c r="AD102" s="240"/>
      <c r="AE102" s="240"/>
      <c r="AF102" s="240"/>
      <c r="AG102" s="240"/>
      <c r="AH102" s="240"/>
      <c r="AI102" s="240"/>
    </row>
    <row r="103" spans="1:35" x14ac:dyDescent="0.2">
      <c r="A103" s="675">
        <f t="shared" si="12"/>
        <v>94</v>
      </c>
      <c r="B103" s="266" t="str">
        <f>CONCATENATE('3. Consumption by Rate Class'!B109,"-",'3. Consumption by Rate Class'!C109)</f>
        <v>2012-October</v>
      </c>
      <c r="C103" s="730">
        <f>'6. WS Regression Analysis'!E103/1.081</f>
        <v>291689.61468270124</v>
      </c>
      <c r="D103" s="731"/>
      <c r="E103" s="731">
        <f>+'X.1.CDM Calculation'!O13</f>
        <v>33881.670358333336</v>
      </c>
      <c r="F103" s="268">
        <f t="shared" si="10"/>
        <v>325571.28504103457</v>
      </c>
      <c r="G103" s="445">
        <f>IF(G$8='5.Variables'!$B$10,+'5.Variables'!$L28,+IF(G$8='5.Variables'!$B$33,+'5.Variables'!$L51,+IF(G$8='5.Variables'!$B$56,+'5.Variables'!$L65,+IF(G$8='5.Variables'!$B$70,+'5.Variables'!$L79,+IF(G$8='5.Variables'!$B$84,+'5.Variables'!$L93,+IF(G$8='5.Variables'!$B$98,+'5.Variables'!$L107,0))))))</f>
        <v>235.2</v>
      </c>
      <c r="H103" s="445">
        <f>IF(H$8='5.Variables'!$B$10,+'5.Variables'!$L28,+IF(H$8='5.Variables'!$B$33,+'5.Variables'!$L51,+IF(H$8='5.Variables'!$B$56,+'5.Variables'!$L65,+IF(H$8='5.Variables'!$B$70,+'5.Variables'!$L79,+IF(H$8='5.Variables'!$B$84,+'5.Variables'!$L93,+IF(H$8='5.Variables'!$B$98,+'5.Variables'!$L107,0))))))</f>
        <v>0.1</v>
      </c>
      <c r="I103" s="445">
        <f>IF(I$8='5.Variables'!$B$10,+'5.Variables'!$L28,+IF(I$8='5.Variables'!$B$33,+'5.Variables'!$L51,+IF(I$8='5.Variables'!$B$56,+'5.Variables'!$L65,+IF(I$8='5.Variables'!$B$70,+'5.Variables'!$L79,+IF(I$8='5.Variables'!$B$84,+'5.Variables'!$L93,+IF(I$8='5.Variables'!$B$98,+'5.Variables'!$L107,0))))))</f>
        <v>31</v>
      </c>
      <c r="J103" s="445">
        <f>IF(J$8='5.Variables'!$B$10,+'5.Variables'!$L28,+IF(J$8='5.Variables'!$B$33,+'5.Variables'!$L51,+IF(J$8='5.Variables'!$B$56,+'5.Variables'!$L65,+IF(J$8='5.Variables'!$B$70,+'5.Variables'!$L79,+IF(J$8='5.Variables'!$B$84,+'5.Variables'!$L93,+IF(J$8='5.Variables'!$B$98,+'5.Variables'!$L107,0))))))</f>
        <v>1</v>
      </c>
      <c r="K103" s="445">
        <f>IF(K$8='5.Variables'!$B$10,+'5.Variables'!$L28,+IF(K$8='5.Variables'!$B$33,+'5.Variables'!$L51,+IF(K$8='5.Variables'!$B$56,+'5.Variables'!$L65,+IF(K$8='5.Variables'!$B$70,+'5.Variables'!$L79,+IF(K$8='5.Variables'!$B$84,+'5.Variables'!$L93,+IF(K$8='5.Variables'!$B$98,+'5.Variables'!$L107,0))))))</f>
        <v>0</v>
      </c>
      <c r="L103" s="445">
        <f>IF(L$8='5.Variables'!$B$10,+'5.Variables'!$L28,+IF(L$8='5.Variables'!$B$33,+'5.Variables'!$L51,+IF(L$8='5.Variables'!$B$56,+'5.Variables'!$L65,+IF(L$8='5.Variables'!$B$70,+'5.Variables'!$L79,+IF(L$8='5.Variables'!$B$84,+'5.Variables'!$L93,+IF(L$8='5.Variables'!$B$98,+'5.Variables'!$L107,0))))))</f>
        <v>0</v>
      </c>
      <c r="M103" s="240"/>
      <c r="N103" s="268">
        <f t="shared" si="11"/>
        <v>340215.06198483508</v>
      </c>
      <c r="O103" s="272"/>
      <c r="P103" s="240"/>
      <c r="Q103" s="288"/>
      <c r="R103" s="288"/>
      <c r="S103" s="288"/>
      <c r="T103" s="908"/>
      <c r="U103"/>
      <c r="V103"/>
      <c r="W103"/>
      <c r="X103"/>
      <c r="Y103"/>
      <c r="Z103" s="240"/>
      <c r="AA103" s="240"/>
      <c r="AB103" s="240"/>
      <c r="AC103" s="240"/>
      <c r="AD103" s="240"/>
      <c r="AE103" s="240"/>
      <c r="AF103" s="240"/>
      <c r="AG103" s="240"/>
      <c r="AH103" s="240"/>
      <c r="AI103" s="240"/>
    </row>
    <row r="104" spans="1:35" x14ac:dyDescent="0.2">
      <c r="A104" s="675">
        <f t="shared" si="12"/>
        <v>95</v>
      </c>
      <c r="B104" s="266" t="str">
        <f>CONCATENATE('3. Consumption by Rate Class'!B110,"-",'3. Consumption by Rate Class'!C110)</f>
        <v>2012-November</v>
      </c>
      <c r="C104" s="730">
        <f>'6. WS Regression Analysis'!E104/1.081</f>
        <v>278254.29066975025</v>
      </c>
      <c r="D104" s="731"/>
      <c r="E104" s="731">
        <f>+'X.1.CDM Calculation'!O14</f>
        <v>32788.713250000001</v>
      </c>
      <c r="F104" s="268">
        <f t="shared" si="10"/>
        <v>311043.00391975022</v>
      </c>
      <c r="G104" s="445">
        <f>IF(G$8='5.Variables'!$B$10,+'5.Variables'!$M28,+IF(G$8='5.Variables'!$B$33,+'5.Variables'!$M51,+IF(G$8='5.Variables'!$B$56,+'5.Variables'!$M65,+IF(G$8='5.Variables'!$B$70,+'5.Variables'!$M79,+IF(G$8='5.Variables'!$B$84,+'5.Variables'!$M93,+IF(G$8='5.Variables'!$B$98,+'5.Variables'!$M107,0))))))</f>
        <v>446</v>
      </c>
      <c r="H104" s="445">
        <f>IF(H$8='5.Variables'!$B$10,+'5.Variables'!$M28,+IF(H$8='5.Variables'!$B$33,+'5.Variables'!$M51,+IF(H$8='5.Variables'!$B$56,+'5.Variables'!$M65,+IF(H$8='5.Variables'!$B$70,+'5.Variables'!$M79,+IF(H$8='5.Variables'!$B$84,+'5.Variables'!$M93,+IF(H$8='5.Variables'!$B$98,+'5.Variables'!$M107,0))))))</f>
        <v>0</v>
      </c>
      <c r="I104" s="445">
        <f>IF(I$8='5.Variables'!$B$10,+'5.Variables'!$M28,+IF(I$8='5.Variables'!$B$33,+'5.Variables'!$M51,+IF(I$8='5.Variables'!$B$56,+'5.Variables'!$M65,+IF(I$8='5.Variables'!$B$70,+'5.Variables'!$M79,+IF(I$8='5.Variables'!$B$84,+'5.Variables'!$M93,+IF(I$8='5.Variables'!$B$98,+'5.Variables'!$M107,0))))))</f>
        <v>30</v>
      </c>
      <c r="J104" s="445">
        <f>IF(J$8='5.Variables'!$B$10,+'5.Variables'!$M28,+IF(J$8='5.Variables'!$B$33,+'5.Variables'!$M51,+IF(J$8='5.Variables'!$B$56,+'5.Variables'!$M65,+IF(J$8='5.Variables'!$B$70,+'5.Variables'!$M79,+IF(J$8='5.Variables'!$B$84,+'5.Variables'!$M93,+IF(J$8='5.Variables'!$B$98,+'5.Variables'!$M107,0))))))</f>
        <v>1</v>
      </c>
      <c r="K104" s="445">
        <f>IF(K$8='5.Variables'!$B$10,+'5.Variables'!$M28,+IF(K$8='5.Variables'!$B$33,+'5.Variables'!$M51,+IF(K$8='5.Variables'!$B$56,+'5.Variables'!$M65,+IF(K$8='5.Variables'!$B$70,+'5.Variables'!$M79,+IF(K$8='5.Variables'!$B$84,+'5.Variables'!$M93,+IF(K$8='5.Variables'!$B$98,+'5.Variables'!$M107,0))))))</f>
        <v>0</v>
      </c>
      <c r="L104" s="445">
        <f>IF(L$8='5.Variables'!$B$10,+'5.Variables'!$M28,+IF(L$8='5.Variables'!$B$33,+'5.Variables'!$M51,+IF(L$8='5.Variables'!$B$56,+'5.Variables'!$M65,+IF(L$8='5.Variables'!$B$70,+'5.Variables'!$M79,+IF(L$8='5.Variables'!$B$84,+'5.Variables'!$M93,+IF(L$8='5.Variables'!$B$98,+'5.Variables'!$M107,0))))))</f>
        <v>0</v>
      </c>
      <c r="M104" s="240"/>
      <c r="N104" s="268">
        <f t="shared" si="11"/>
        <v>317932.79065951245</v>
      </c>
      <c r="O104" s="272"/>
      <c r="P104" s="240"/>
      <c r="Q104" s="288"/>
      <c r="R104" s="288"/>
      <c r="S104" s="288"/>
      <c r="T104" s="908"/>
      <c r="U104"/>
      <c r="V104"/>
      <c r="W104"/>
      <c r="X104"/>
      <c r="Y104"/>
      <c r="Z104" s="240"/>
      <c r="AA104" s="240"/>
      <c r="AB104" s="240"/>
      <c r="AC104" s="240"/>
      <c r="AD104" s="240"/>
      <c r="AE104" s="240"/>
      <c r="AF104" s="240"/>
      <c r="AG104" s="240"/>
      <c r="AH104" s="240"/>
      <c r="AI104" s="240"/>
    </row>
    <row r="105" spans="1:35" x14ac:dyDescent="0.2">
      <c r="A105" s="675">
        <f t="shared" si="12"/>
        <v>96</v>
      </c>
      <c r="B105" s="266" t="str">
        <f>CONCATENATE('3. Consumption by Rate Class'!B111,"-",'3. Consumption by Rate Class'!C111)</f>
        <v>2012-December</v>
      </c>
      <c r="C105" s="730">
        <f>'6. WS Regression Analysis'!E105/1.081</f>
        <v>302891.28000000003</v>
      </c>
      <c r="D105" s="731"/>
      <c r="E105" s="731">
        <f>+'X.1.CDM Calculation'!O15</f>
        <v>33881.670358333336</v>
      </c>
      <c r="F105" s="268">
        <f t="shared" si="10"/>
        <v>336772.95035833336</v>
      </c>
      <c r="G105" s="445">
        <f>IF(G$8='5.Variables'!$B$10,+'5.Variables'!$N28,+IF(G$8='5.Variables'!$B$33,+'5.Variables'!$N51,+IF(G$8='5.Variables'!$B$56,+'5.Variables'!$N65,+IF(G$8='5.Variables'!$B$70,+'5.Variables'!$N79,+IF(G$8='5.Variables'!$B$84,+'5.Variables'!$N93,+IF(G$8='5.Variables'!$B$98,+'5.Variables'!$N107,0))))))</f>
        <v>524</v>
      </c>
      <c r="H105" s="445">
        <f>IF(H$8='5.Variables'!$B$10,+'5.Variables'!$N28,+IF(H$8='5.Variables'!$B$33,+'5.Variables'!$N51,+IF(H$8='5.Variables'!$B$56,+'5.Variables'!$N65,+IF(H$8='5.Variables'!$B$70,+'5.Variables'!$N79,+IF(H$8='5.Variables'!$B$84,+'5.Variables'!$N93,+IF(H$8='5.Variables'!$B$98,+'5.Variables'!$N107,0))))))</f>
        <v>0</v>
      </c>
      <c r="I105" s="445">
        <f>IF(I$8='5.Variables'!$B$10,+'5.Variables'!$N28,+IF(I$8='5.Variables'!$B$33,+'5.Variables'!$N51,+IF(I$8='5.Variables'!$B$56,+'5.Variables'!$N65,+IF(I$8='5.Variables'!$B$70,+'5.Variables'!$N79,+IF(I$8='5.Variables'!$B$84,+'5.Variables'!$N93,+IF(I$8='5.Variables'!$B$98,+'5.Variables'!$N107,0))))))</f>
        <v>31</v>
      </c>
      <c r="J105" s="445">
        <f>IF(J$8='5.Variables'!$B$10,+'5.Variables'!$N28,+IF(J$8='5.Variables'!$B$33,+'5.Variables'!$N51,+IF(J$8='5.Variables'!$B$56,+'5.Variables'!$N65,+IF(J$8='5.Variables'!$B$70,+'5.Variables'!$N79,+IF(J$8='5.Variables'!$B$84,+'5.Variables'!$N93,+IF(J$8='5.Variables'!$B$98,+'5.Variables'!$N107,0))))))</f>
        <v>0</v>
      </c>
      <c r="K105" s="445">
        <f>IF(K$8='5.Variables'!$B$10,+'5.Variables'!$N28,+IF(K$8='5.Variables'!$B$33,+'5.Variables'!$N51,+IF(K$8='5.Variables'!$B$56,+'5.Variables'!$N65,+IF(K$8='5.Variables'!$B$70,+'5.Variables'!$N79,+IF(K$8='5.Variables'!$B$84,+'5.Variables'!$N93,+IF(K$8='5.Variables'!$B$98,+'5.Variables'!$N107,0))))))</f>
        <v>0</v>
      </c>
      <c r="L105" s="445">
        <f>IF(L$8='5.Variables'!$B$10,+'5.Variables'!$N28,+IF(L$8='5.Variables'!$B$33,+'5.Variables'!$N51,+IF(L$8='5.Variables'!$B$56,+'5.Variables'!$N65,+IF(L$8='5.Variables'!$B$70,+'5.Variables'!$N79,+IF(L$8='5.Variables'!$B$84,+'5.Variables'!$N93,+IF(L$8='5.Variables'!$B$98,+'5.Variables'!$N107,0))))))</f>
        <v>0</v>
      </c>
      <c r="M105" s="240"/>
      <c r="N105" s="268">
        <f t="shared" si="11"/>
        <v>337234.18527113477</v>
      </c>
      <c r="O105" s="272">
        <f>SUM(N94:N105)</f>
        <v>4178142.5975111648</v>
      </c>
      <c r="P105" s="240"/>
      <c r="Q105" s="288"/>
      <c r="R105" s="288"/>
      <c r="S105" s="288"/>
      <c r="T105" s="908"/>
      <c r="U105"/>
      <c r="V105"/>
      <c r="W105"/>
      <c r="X105"/>
      <c r="Y105"/>
      <c r="Z105" s="240"/>
      <c r="AA105" s="240"/>
      <c r="AB105" s="240"/>
      <c r="AC105" s="240"/>
      <c r="AD105" s="240"/>
      <c r="AE105" s="240"/>
      <c r="AF105" s="240"/>
      <c r="AG105" s="240"/>
      <c r="AH105" s="240"/>
      <c r="AI105" s="240"/>
    </row>
    <row r="106" spans="1:35" x14ac:dyDescent="0.2">
      <c r="A106" s="675">
        <f t="shared" si="12"/>
        <v>97</v>
      </c>
      <c r="B106" s="266" t="str">
        <f>CONCATENATE('3. Consumption by Rate Class'!B112,"-",'3. Consumption by Rate Class'!C112)</f>
        <v>2013-January</v>
      </c>
      <c r="C106" s="730">
        <f>'6. WS Regression Analysis'!E106/1.081</f>
        <v>284454.05</v>
      </c>
      <c r="D106" s="731"/>
      <c r="E106" s="731">
        <f>+'X.1.CDM Calculation'!O16</f>
        <v>33881.670358333336</v>
      </c>
      <c r="F106" s="268">
        <f t="shared" ref="F106:F129" si="13">SUM(C106:E106)</f>
        <v>318335.72035833332</v>
      </c>
      <c r="G106" s="445">
        <f>IF(G$8='5.Variables'!$B$10,+'5.Variables'!$C29,+IF(G$8='5.Variables'!$B$33,+'5.Variables'!$C52,+IF(G$8='5.Variables'!$B$56,+'5.Variables'!$C66,+IF(G$8='5.Variables'!$B$70,+'5.Variables'!$C80,+IF(G$8='5.Variables'!$B$84,+'5.Variables'!$C94,+IF(G$8='5.Variables'!$B$98,+'5.Variables'!$C108,0))))))</f>
        <v>638.9</v>
      </c>
      <c r="H106" s="445">
        <f>IF(H$8='5.Variables'!$B$10,+'5.Variables'!$C29,+IF(H$8='5.Variables'!$B$33,+'5.Variables'!$C52,+IF(H$8='5.Variables'!$B$56,+'5.Variables'!$C66,+IF(H$8='5.Variables'!$B$70,+'5.Variables'!$C80,+IF(H$8='5.Variables'!$B$84,+'5.Variables'!$C94,+IF(H$8='5.Variables'!$B$98,+'5.Variables'!$C108,0))))))</f>
        <v>0</v>
      </c>
      <c r="I106" s="445">
        <f>IF(I$8='5.Variables'!$B$10,+'5.Variables'!$C29,+IF(I$8='5.Variables'!$B$33,+'5.Variables'!$C52,+IF(I$8='5.Variables'!$B$56,+'5.Variables'!$C66,+IF(I$8='5.Variables'!$B$70,+'5.Variables'!$C80,+IF(I$8='5.Variables'!$B$84,+'5.Variables'!$C94,+IF(I$8='5.Variables'!$B$98,+'5.Variables'!$C108,0))))))</f>
        <v>31</v>
      </c>
      <c r="J106" s="445">
        <f>IF(J$8='5.Variables'!$B$10,+'5.Variables'!$C29,+IF(J$8='5.Variables'!$B$33,+'5.Variables'!$C52,+IF(J$8='5.Variables'!$B$56,+'5.Variables'!$C66,+IF(J$8='5.Variables'!$B$70,+'5.Variables'!$C80,+IF(J$8='5.Variables'!$B$84,+'5.Variables'!$C94,+IF(J$8='5.Variables'!$B$98,+'5.Variables'!$C108,0))))))</f>
        <v>0</v>
      </c>
      <c r="K106" s="445">
        <f>IF(K$8='5.Variables'!$B$10,+'5.Variables'!$C29,+IF(K$8='5.Variables'!$B$33,+'5.Variables'!$C52,+IF(K$8='5.Variables'!$B$56,+'5.Variables'!$C66,+IF(K$8='5.Variables'!$B$70,+'5.Variables'!$C80,+IF(K$8='5.Variables'!$B$84,+'5.Variables'!$C94,+IF(K$8='5.Variables'!$B$98,+'5.Variables'!$C108,0))))))</f>
        <v>0</v>
      </c>
      <c r="L106" s="445">
        <f>IF(L$8='5.Variables'!$B$10,+'5.Variables'!$C29,+IF(L$8='5.Variables'!$B$33,+'5.Variables'!$C52,+IF(L$8='5.Variables'!$B$56,+'5.Variables'!$C66,+IF(L$8='5.Variables'!$B$70,+'5.Variables'!$C80,+IF(L$8='5.Variables'!$B$84,+'5.Variables'!$C94,+IF(L$8='5.Variables'!$B$98,+'5.Variables'!$C108,0))))))</f>
        <v>0</v>
      </c>
      <c r="M106" s="240"/>
      <c r="N106" s="268">
        <f t="shared" si="11"/>
        <v>331671.48693765781</v>
      </c>
      <c r="O106" s="272"/>
      <c r="P106" s="240"/>
      <c r="Q106" s="288"/>
      <c r="R106" s="288"/>
      <c r="S106" s="288"/>
      <c r="T106" s="908"/>
      <c r="U106"/>
      <c r="V106"/>
      <c r="W106"/>
      <c r="X106"/>
      <c r="Y106"/>
      <c r="Z106" s="240"/>
      <c r="AA106" s="240"/>
      <c r="AB106" s="240"/>
      <c r="AC106" s="240"/>
      <c r="AD106" s="240"/>
      <c r="AE106" s="240"/>
      <c r="AF106" s="240"/>
      <c r="AG106" s="240"/>
      <c r="AH106" s="240"/>
      <c r="AI106" s="240"/>
    </row>
    <row r="107" spans="1:35" x14ac:dyDescent="0.2">
      <c r="A107" s="675">
        <f t="shared" si="12"/>
        <v>98</v>
      </c>
      <c r="B107" s="266" t="str">
        <f>CONCATENATE('3. Consumption by Rate Class'!B113,"-",'3. Consumption by Rate Class'!C113)</f>
        <v>2013-February</v>
      </c>
      <c r="C107" s="730">
        <f>'6. WS Regression Analysis'!E107/1.081</f>
        <v>256456.93000000002</v>
      </c>
      <c r="D107" s="731"/>
      <c r="E107" s="731">
        <f>+'X.1.CDM Calculation'!O17</f>
        <v>30602.799033333336</v>
      </c>
      <c r="F107" s="268">
        <f t="shared" si="13"/>
        <v>287059.72903333337</v>
      </c>
      <c r="G107" s="445">
        <f>IF(G$8='5.Variables'!$B$10,+'5.Variables'!$D29,+IF(G$8='5.Variables'!$B$33,+'5.Variables'!$D52,+IF(G$8='5.Variables'!$B$56,+'5.Variables'!$D66,+IF(G$8='5.Variables'!$B$70,+'5.Variables'!$D80,+IF(G$8='5.Variables'!$B$84,+'5.Variables'!$D94,+IF(G$8='5.Variables'!$B$98,+'5.Variables'!$D108,0))))))</f>
        <v>647.79999999999995</v>
      </c>
      <c r="H107" s="445">
        <f>IF(H$8='5.Variables'!$B$10,+'5.Variables'!$D29,+IF(H$8='5.Variables'!$B$33,+'5.Variables'!$D52,+IF(H$8='5.Variables'!$B$56,+'5.Variables'!$D66,+IF(H$8='5.Variables'!$B$70,+'5.Variables'!$D80,+IF(H$8='5.Variables'!$B$84,+'5.Variables'!$D94,+IF(H$8='5.Variables'!$B$98,+'5.Variables'!$D108,0))))))</f>
        <v>0</v>
      </c>
      <c r="I107" s="445">
        <f>IF(I$8='5.Variables'!$B$10,+'5.Variables'!$D29,+IF(I$8='5.Variables'!$B$33,+'5.Variables'!$D52,+IF(I$8='5.Variables'!$B$56,+'5.Variables'!$D66,+IF(I$8='5.Variables'!$B$70,+'5.Variables'!$D80,+IF(I$8='5.Variables'!$B$84,+'5.Variables'!$D94,+IF(I$8='5.Variables'!$B$98,+'5.Variables'!$D108,0))))))</f>
        <v>28</v>
      </c>
      <c r="J107" s="445">
        <f>IF(J$8='5.Variables'!$B$10,+'5.Variables'!$D29,+IF(J$8='5.Variables'!$B$33,+'5.Variables'!$D52,+IF(J$8='5.Variables'!$B$56,+'5.Variables'!$D66,+IF(J$8='5.Variables'!$B$70,+'5.Variables'!$D80,+IF(J$8='5.Variables'!$B$84,+'5.Variables'!$D94,+IF(J$8='5.Variables'!$B$98,+'5.Variables'!$D108,0))))))</f>
        <v>0</v>
      </c>
      <c r="K107" s="445">
        <f>IF(K$8='5.Variables'!$B$10,+'5.Variables'!$D29,+IF(K$8='5.Variables'!$B$33,+'5.Variables'!$D52,+IF(K$8='5.Variables'!$B$56,+'5.Variables'!$D66,+IF(K$8='5.Variables'!$B$70,+'5.Variables'!$D80,+IF(K$8='5.Variables'!$B$84,+'5.Variables'!$D94,+IF(K$8='5.Variables'!$B$98,+'5.Variables'!$D108,0))))))</f>
        <v>0</v>
      </c>
      <c r="L107" s="445">
        <f>IF(L$8='5.Variables'!$B$10,+'5.Variables'!$D29,+IF(L$8='5.Variables'!$B$33,+'5.Variables'!$D52,+IF(L$8='5.Variables'!$B$56,+'5.Variables'!$D66,+IF(L$8='5.Variables'!$B$70,+'5.Variables'!$D80,+IF(L$8='5.Variables'!$B$84,+'5.Variables'!$D94,+IF(L$8='5.Variables'!$B$98,+'5.Variables'!$D108,0))))))</f>
        <v>0</v>
      </c>
      <c r="M107" s="240"/>
      <c r="N107" s="268">
        <f t="shared" si="11"/>
        <v>295125.37969214155</v>
      </c>
      <c r="O107" s="272"/>
      <c r="P107" s="240"/>
      <c r="Q107" s="288"/>
      <c r="R107" s="288"/>
      <c r="S107" s="288"/>
      <c r="T107" s="908"/>
      <c r="U107"/>
      <c r="V107"/>
      <c r="W107"/>
      <c r="X107"/>
      <c r="Y107"/>
      <c r="Z107" s="240"/>
      <c r="AA107" s="240"/>
      <c r="AB107" s="240"/>
      <c r="AC107" s="240"/>
      <c r="AD107" s="240"/>
      <c r="AE107" s="240"/>
      <c r="AF107" s="240"/>
      <c r="AG107" s="240"/>
      <c r="AH107" s="240"/>
      <c r="AI107" s="240"/>
    </row>
    <row r="108" spans="1:35" x14ac:dyDescent="0.2">
      <c r="A108" s="675">
        <f t="shared" si="12"/>
        <v>99</v>
      </c>
      <c r="B108" s="266" t="str">
        <f>CONCATENATE('3. Consumption by Rate Class'!B114,"-",'3. Consumption by Rate Class'!C114)</f>
        <v>2013-March</v>
      </c>
      <c r="C108" s="730">
        <f>'6. WS Regression Analysis'!E108/1.081</f>
        <v>281841.61</v>
      </c>
      <c r="D108" s="731"/>
      <c r="E108" s="731">
        <f>+'X.1.CDM Calculation'!O18</f>
        <v>33881.670358333336</v>
      </c>
      <c r="F108" s="268">
        <f t="shared" si="13"/>
        <v>315723.28035833332</v>
      </c>
      <c r="G108" s="445">
        <f>IF(G$8='5.Variables'!$B$10,+'5.Variables'!$E29,+IF(G$8='5.Variables'!$B$33,+'5.Variables'!$E52,+IF(G$8='5.Variables'!$B$56,+'5.Variables'!$E66,+IF(G$8='5.Variables'!$B$70,+'5.Variables'!$E80,+IF(G$8='5.Variables'!$B$84,+'5.Variables'!$E94,+IF(G$8='5.Variables'!$B$98,+'5.Variables'!$E108,0))))))</f>
        <v>582.20000000000005</v>
      </c>
      <c r="H108" s="445">
        <f>IF(H$8='5.Variables'!$B$10,+'5.Variables'!$E29,+IF(H$8='5.Variables'!$B$33,+'5.Variables'!$E52,+IF(H$8='5.Variables'!$B$56,+'5.Variables'!$E66,+IF(H$8='5.Variables'!$B$70,+'5.Variables'!$E80,+IF(H$8='5.Variables'!$B$84,+'5.Variables'!$E94,+IF(H$8='5.Variables'!$B$98,+'5.Variables'!$E108,0))))))</f>
        <v>0</v>
      </c>
      <c r="I108" s="445">
        <f>IF(I$8='5.Variables'!$B$10,+'5.Variables'!$E29,+IF(I$8='5.Variables'!$B$33,+'5.Variables'!$E52,+IF(I$8='5.Variables'!$B$56,+'5.Variables'!$E66,+IF(I$8='5.Variables'!$B$70,+'5.Variables'!$E80,+IF(I$8='5.Variables'!$B$84,+'5.Variables'!$E94,+IF(I$8='5.Variables'!$B$98,+'5.Variables'!$E108,0))))))</f>
        <v>31</v>
      </c>
      <c r="J108" s="445">
        <f>IF(J$8='5.Variables'!$B$10,+'5.Variables'!$E29,+IF(J$8='5.Variables'!$B$33,+'5.Variables'!$E52,+IF(J$8='5.Variables'!$B$56,+'5.Variables'!$E66,+IF(J$8='5.Variables'!$B$70,+'5.Variables'!$E80,+IF(J$8='5.Variables'!$B$84,+'5.Variables'!$E94,+IF(J$8='5.Variables'!$B$98,+'5.Variables'!$E108,0))))))</f>
        <v>1</v>
      </c>
      <c r="K108" s="445">
        <f>IF(K$8='5.Variables'!$B$10,+'5.Variables'!$E29,+IF(K$8='5.Variables'!$B$33,+'5.Variables'!$E52,+IF(K$8='5.Variables'!$B$56,+'5.Variables'!$E66,+IF(K$8='5.Variables'!$B$70,+'5.Variables'!$E80,+IF(K$8='5.Variables'!$B$84,+'5.Variables'!$E94,+IF(K$8='5.Variables'!$B$98,+'5.Variables'!$E108,0))))))</f>
        <v>0</v>
      </c>
      <c r="L108" s="445">
        <f>IF(L$8='5.Variables'!$B$10,+'5.Variables'!$E29,+IF(L$8='5.Variables'!$B$33,+'5.Variables'!$E52,+IF(L$8='5.Variables'!$B$56,+'5.Variables'!$E66,+IF(L$8='5.Variables'!$B$70,+'5.Variables'!$E80,+IF(L$8='5.Variables'!$B$84,+'5.Variables'!$E94,+IF(L$8='5.Variables'!$B$98,+'5.Variables'!$E108,0))))))</f>
        <v>0</v>
      </c>
      <c r="M108" s="240"/>
      <c r="N108" s="268">
        <f t="shared" si="11"/>
        <v>323377.29651470011</v>
      </c>
      <c r="O108" s="272"/>
      <c r="P108" s="240"/>
      <c r="Q108" s="288"/>
      <c r="R108" s="288"/>
      <c r="S108" s="288"/>
      <c r="T108" s="908"/>
      <c r="U108"/>
      <c r="V108"/>
      <c r="W108"/>
      <c r="X108"/>
      <c r="Y108"/>
      <c r="Z108" s="240"/>
      <c r="AA108" s="240"/>
      <c r="AB108" s="240"/>
      <c r="AC108" s="240"/>
      <c r="AD108" s="240"/>
      <c r="AE108" s="240"/>
      <c r="AF108" s="240"/>
      <c r="AG108" s="240"/>
      <c r="AH108" s="240"/>
      <c r="AI108" s="240"/>
    </row>
    <row r="109" spans="1:35" x14ac:dyDescent="0.2">
      <c r="A109" s="675">
        <f t="shared" si="12"/>
        <v>100</v>
      </c>
      <c r="B109" s="266" t="str">
        <f>CONCATENATE('3. Consumption by Rate Class'!B115,"-",'3. Consumption by Rate Class'!C115)</f>
        <v>2013-April</v>
      </c>
      <c r="C109" s="730">
        <f>'6. WS Regression Analysis'!E109/1.081</f>
        <v>277471.14</v>
      </c>
      <c r="D109" s="731"/>
      <c r="E109" s="731">
        <f>+'X.1.CDM Calculation'!O19</f>
        <v>32788.713250000001</v>
      </c>
      <c r="F109" s="268">
        <f t="shared" si="13"/>
        <v>310259.85325000004</v>
      </c>
      <c r="G109" s="445">
        <f>IF(G$8='5.Variables'!$B$10,+'5.Variables'!$F29,+IF(G$8='5.Variables'!$B$33,+'5.Variables'!$F52,+IF(G$8='5.Variables'!$B$56,+'5.Variables'!$F66,+IF(G$8='5.Variables'!$B$70,+'5.Variables'!$F80,+IF(G$8='5.Variables'!$B$84,+'5.Variables'!$F94,+IF(G$8='5.Variables'!$B$98,+'5.Variables'!$F108,0))))))</f>
        <v>368.7</v>
      </c>
      <c r="H109" s="445">
        <f>IF(H$8='5.Variables'!$B$10,+'5.Variables'!$F29,+IF(H$8='5.Variables'!$B$33,+'5.Variables'!$F52,+IF(H$8='5.Variables'!$B$56,+'5.Variables'!$F66,+IF(H$8='5.Variables'!$B$70,+'5.Variables'!$F80,+IF(H$8='5.Variables'!$B$84,+'5.Variables'!$F94,+IF(H$8='5.Variables'!$B$98,+'5.Variables'!$F108,0))))))</f>
        <v>0</v>
      </c>
      <c r="I109" s="445">
        <f>IF(I$8='5.Variables'!$B$10,+'5.Variables'!$F29,+IF(I$8='5.Variables'!$B$33,+'5.Variables'!$F52,+IF(I$8='5.Variables'!$B$56,+'5.Variables'!$F66,+IF(I$8='5.Variables'!$B$70,+'5.Variables'!$F80,+IF(I$8='5.Variables'!$B$84,+'5.Variables'!$F94,+IF(I$8='5.Variables'!$B$98,+'5.Variables'!$F108,0))))))</f>
        <v>30</v>
      </c>
      <c r="J109" s="445">
        <f>IF(J$8='5.Variables'!$B$10,+'5.Variables'!$F29,+IF(J$8='5.Variables'!$B$33,+'5.Variables'!$F52,+IF(J$8='5.Variables'!$B$56,+'5.Variables'!$F66,+IF(J$8='5.Variables'!$B$70,+'5.Variables'!$F80,+IF(J$8='5.Variables'!$B$84,+'5.Variables'!$F94,+IF(J$8='5.Variables'!$B$98,+'5.Variables'!$F108,0))))))</f>
        <v>1</v>
      </c>
      <c r="K109" s="445">
        <f>IF(K$8='5.Variables'!$B$10,+'5.Variables'!$F29,+IF(K$8='5.Variables'!$B$33,+'5.Variables'!$F52,+IF(K$8='5.Variables'!$B$56,+'5.Variables'!$F66,+IF(K$8='5.Variables'!$B$70,+'5.Variables'!$F80,+IF(K$8='5.Variables'!$B$84,+'5.Variables'!$F94,+IF(K$8='5.Variables'!$B$98,+'5.Variables'!$F108,0))))))</f>
        <v>0</v>
      </c>
      <c r="L109" s="445">
        <f>IF(L$8='5.Variables'!$B$10,+'5.Variables'!$F29,+IF(L$8='5.Variables'!$B$33,+'5.Variables'!$F52,+IF(L$8='5.Variables'!$B$56,+'5.Variables'!$F66,+IF(L$8='5.Variables'!$B$70,+'5.Variables'!$F80,+IF(L$8='5.Variables'!$B$84,+'5.Variables'!$F94,+IF(L$8='5.Variables'!$B$98,+'5.Variables'!$F108,0))))))</f>
        <v>0</v>
      </c>
      <c r="M109" s="240"/>
      <c r="N109" s="268">
        <f t="shared" si="11"/>
        <v>321675.1455870822</v>
      </c>
      <c r="O109" s="272"/>
      <c r="P109" s="240"/>
      <c r="Q109" s="288"/>
      <c r="R109" s="288"/>
      <c r="S109" s="288"/>
      <c r="T109" s="908"/>
      <c r="U109"/>
      <c r="V109"/>
      <c r="W109"/>
      <c r="X109"/>
      <c r="Y109"/>
      <c r="Z109" s="240"/>
      <c r="AA109" s="240"/>
      <c r="AB109" s="240"/>
      <c r="AC109" s="240"/>
      <c r="AD109" s="240"/>
      <c r="AE109" s="240"/>
      <c r="AF109" s="240"/>
      <c r="AG109" s="240"/>
      <c r="AH109" s="240"/>
      <c r="AI109" s="240"/>
    </row>
    <row r="110" spans="1:35" x14ac:dyDescent="0.2">
      <c r="A110" s="675">
        <f t="shared" si="12"/>
        <v>101</v>
      </c>
      <c r="B110" s="266" t="str">
        <f>CONCATENATE('3. Consumption by Rate Class'!B116,"-",'3. Consumption by Rate Class'!C116)</f>
        <v>2013-May</v>
      </c>
      <c r="C110" s="730">
        <f>'6. WS Regression Analysis'!E110/1.081</f>
        <v>307911.49</v>
      </c>
      <c r="D110" s="731"/>
      <c r="E110" s="731">
        <f>+'X.1.CDM Calculation'!O20</f>
        <v>33881.670358333336</v>
      </c>
      <c r="F110" s="268">
        <f t="shared" si="13"/>
        <v>341793.16035833332</v>
      </c>
      <c r="G110" s="445">
        <f>IF(G$8='5.Variables'!$B$10,+'5.Variables'!$G29,+IF(G$8='5.Variables'!$B$33,+'5.Variables'!$G52,+IF(G$8='5.Variables'!$B$56,+'5.Variables'!$G66,+IF(G$8='5.Variables'!$B$70,+'5.Variables'!$G80,+IF(G$8='5.Variables'!$B$84,+'5.Variables'!$G94,+IF(G$8='5.Variables'!$B$98,+'5.Variables'!$G108,0))))))</f>
        <v>163.69999999999999</v>
      </c>
      <c r="H110" s="445">
        <f>IF(H$8='5.Variables'!$B$10,+'5.Variables'!$G29,+IF(H$8='5.Variables'!$B$33,+'5.Variables'!$G52,+IF(H$8='5.Variables'!$B$56,+'5.Variables'!$G66,+IF(H$8='5.Variables'!$B$70,+'5.Variables'!$G80,+IF(H$8='5.Variables'!$B$84,+'5.Variables'!$G94,+IF(H$8='5.Variables'!$B$98,+'5.Variables'!$G108,0))))))</f>
        <v>15.7</v>
      </c>
      <c r="I110" s="445">
        <f>IF(I$8='5.Variables'!$B$10,+'5.Variables'!$G29,+IF(I$8='5.Variables'!$B$33,+'5.Variables'!$G52,+IF(I$8='5.Variables'!$B$56,+'5.Variables'!$G66,+IF(I$8='5.Variables'!$B$70,+'5.Variables'!$G80,+IF(I$8='5.Variables'!$B$84,+'5.Variables'!$G94,+IF(I$8='5.Variables'!$B$98,+'5.Variables'!$G108,0))))))</f>
        <v>31</v>
      </c>
      <c r="J110" s="445">
        <f>IF(J$8='5.Variables'!$B$10,+'5.Variables'!$G29,+IF(J$8='5.Variables'!$B$33,+'5.Variables'!$G52,+IF(J$8='5.Variables'!$B$56,+'5.Variables'!$G66,+IF(J$8='5.Variables'!$B$70,+'5.Variables'!$G80,+IF(J$8='5.Variables'!$B$84,+'5.Variables'!$G94,+IF(J$8='5.Variables'!$B$98,+'5.Variables'!$G108,0))))))</f>
        <v>1</v>
      </c>
      <c r="K110" s="445">
        <f>IF(K$8='5.Variables'!$B$10,+'5.Variables'!$G29,+IF(K$8='5.Variables'!$B$33,+'5.Variables'!$G52,+IF(K$8='5.Variables'!$B$56,+'5.Variables'!$G66,+IF(K$8='5.Variables'!$B$70,+'5.Variables'!$G80,+IF(K$8='5.Variables'!$B$84,+'5.Variables'!$G94,+IF(K$8='5.Variables'!$B$98,+'5.Variables'!$G108,0))))))</f>
        <v>0</v>
      </c>
      <c r="L110" s="445">
        <f>IF(L$8='5.Variables'!$B$10,+'5.Variables'!$G29,+IF(L$8='5.Variables'!$B$33,+'5.Variables'!$G52,+IF(L$8='5.Variables'!$B$56,+'5.Variables'!$G66,+IF(L$8='5.Variables'!$B$70,+'5.Variables'!$G80,+IF(L$8='5.Variables'!$B$84,+'5.Variables'!$G94,+IF(L$8='5.Variables'!$B$98,+'5.Variables'!$G108,0))))))</f>
        <v>0</v>
      </c>
      <c r="M110" s="240"/>
      <c r="N110" s="268">
        <f t="shared" si="11"/>
        <v>349654.48875557259</v>
      </c>
      <c r="O110" s="272"/>
      <c r="P110" s="240"/>
      <c r="Q110" s="288"/>
      <c r="R110" s="288"/>
      <c r="S110" s="288"/>
      <c r="T110" s="908"/>
      <c r="U110"/>
      <c r="V110"/>
      <c r="W110"/>
      <c r="X110"/>
      <c r="Y110"/>
      <c r="Z110" s="240"/>
      <c r="AA110" s="240"/>
      <c r="AB110" s="240"/>
      <c r="AC110" s="240"/>
      <c r="AD110" s="240"/>
      <c r="AE110" s="240"/>
      <c r="AF110" s="240"/>
      <c r="AG110" s="240"/>
      <c r="AH110" s="240"/>
      <c r="AI110" s="240"/>
    </row>
    <row r="111" spans="1:35" x14ac:dyDescent="0.2">
      <c r="A111" s="675">
        <f t="shared" si="12"/>
        <v>102</v>
      </c>
      <c r="B111" s="266" t="str">
        <f>CONCATENATE('3. Consumption by Rate Class'!B117,"-",'3. Consumption by Rate Class'!C117)</f>
        <v>2013-June</v>
      </c>
      <c r="C111" s="730">
        <f>'6. WS Regression Analysis'!E111/1.081</f>
        <v>318570.48</v>
      </c>
      <c r="D111" s="731"/>
      <c r="E111" s="731">
        <f>+'X.1.CDM Calculation'!O21</f>
        <v>30800.936426555989</v>
      </c>
      <c r="F111" s="268">
        <f t="shared" si="13"/>
        <v>349371.41642655595</v>
      </c>
      <c r="G111" s="445">
        <f>IF(G$8='5.Variables'!$B$10,+'5.Variables'!$H29,+IF(G$8='5.Variables'!$B$33,+'5.Variables'!$H52,+IF(G$8='5.Variables'!$B$56,+'5.Variables'!$H66,+IF(G$8='5.Variables'!$B$70,+'5.Variables'!$H80,+IF(G$8='5.Variables'!$B$84,+'5.Variables'!$H94,+IF(G$8='5.Variables'!$B$98,+'5.Variables'!$H108,0))))))</f>
        <v>73.3</v>
      </c>
      <c r="H111" s="445">
        <f>IF(H$8='5.Variables'!$B$10,+'5.Variables'!$H29,+IF(H$8='5.Variables'!$B$33,+'5.Variables'!$H52,+IF(H$8='5.Variables'!$B$56,+'5.Variables'!$H66,+IF(H$8='5.Variables'!$B$70,+'5.Variables'!$H80,+IF(H$8='5.Variables'!$B$84,+'5.Variables'!$H94,+IF(H$8='5.Variables'!$B$98,+'5.Variables'!$H108,0))))))</f>
        <v>41</v>
      </c>
      <c r="I111" s="445">
        <f>IF(I$8='5.Variables'!$B$10,+'5.Variables'!$H29,+IF(I$8='5.Variables'!$B$33,+'5.Variables'!$H52,+IF(I$8='5.Variables'!$B$56,+'5.Variables'!$H66,+IF(I$8='5.Variables'!$B$70,+'5.Variables'!$H80,+IF(I$8='5.Variables'!$B$84,+'5.Variables'!$H94,+IF(I$8='5.Variables'!$B$98,+'5.Variables'!$H108,0))))))</f>
        <v>30</v>
      </c>
      <c r="J111" s="445">
        <f>IF(J$8='5.Variables'!$B$10,+'5.Variables'!$H29,+IF(J$8='5.Variables'!$B$33,+'5.Variables'!$H52,+IF(J$8='5.Variables'!$B$56,+'5.Variables'!$H66,+IF(J$8='5.Variables'!$B$70,+'5.Variables'!$H80,+IF(J$8='5.Variables'!$B$84,+'5.Variables'!$H94,+IF(J$8='5.Variables'!$B$98,+'5.Variables'!$H108,0))))))</f>
        <v>0</v>
      </c>
      <c r="K111" s="445">
        <f>IF(K$8='5.Variables'!$B$10,+'5.Variables'!$H29,+IF(K$8='5.Variables'!$B$33,+'5.Variables'!$H52,+IF(K$8='5.Variables'!$B$56,+'5.Variables'!$H66,+IF(K$8='5.Variables'!$B$70,+'5.Variables'!$H80,+IF(K$8='5.Variables'!$B$84,+'5.Variables'!$H94,+IF(K$8='5.Variables'!$B$98,+'5.Variables'!$H108,0))))))</f>
        <v>0</v>
      </c>
      <c r="L111" s="445">
        <f>IF(L$8='5.Variables'!$B$10,+'5.Variables'!$H29,+IF(L$8='5.Variables'!$B$33,+'5.Variables'!$H52,+IF(L$8='5.Variables'!$B$56,+'5.Variables'!$H66,+IF(L$8='5.Variables'!$B$70,+'5.Variables'!$H80,+IF(L$8='5.Variables'!$B$84,+'5.Variables'!$H94,+IF(L$8='5.Variables'!$B$98,+'5.Variables'!$H108,0))))))</f>
        <v>0</v>
      </c>
      <c r="M111" s="240"/>
      <c r="N111" s="268">
        <f t="shared" si="11"/>
        <v>362726.75735070871</v>
      </c>
      <c r="O111" s="272"/>
      <c r="P111" s="240"/>
      <c r="Q111" s="288"/>
      <c r="R111" s="288"/>
      <c r="S111" s="288"/>
      <c r="T111" s="908"/>
      <c r="U111"/>
      <c r="V111"/>
      <c r="W111"/>
      <c r="X111"/>
      <c r="Y111"/>
      <c r="Z111" s="240"/>
      <c r="AA111" s="240"/>
      <c r="AB111" s="240"/>
      <c r="AC111" s="240"/>
      <c r="AD111" s="240"/>
      <c r="AE111" s="240"/>
      <c r="AF111" s="240"/>
      <c r="AG111" s="240"/>
      <c r="AH111" s="240"/>
      <c r="AI111" s="240"/>
    </row>
    <row r="112" spans="1:35" x14ac:dyDescent="0.2">
      <c r="A112" s="675">
        <f t="shared" si="12"/>
        <v>103</v>
      </c>
      <c r="B112" s="266" t="str">
        <f>CONCATENATE('3. Consumption by Rate Class'!B118,"-",'3. Consumption by Rate Class'!C118)</f>
        <v>2013-July</v>
      </c>
      <c r="C112" s="730">
        <f>'6. WS Regression Analysis'!E112/1.081</f>
        <v>345162.58</v>
      </c>
      <c r="D112" s="731"/>
      <c r="E112" s="731">
        <f>+'X.1.CDM Calculation'!O22</f>
        <v>31827.634307441193</v>
      </c>
      <c r="F112" s="268">
        <f t="shared" si="13"/>
        <v>376990.2143074412</v>
      </c>
      <c r="G112" s="445">
        <f>IF(G$8='5.Variables'!$B$10,+'5.Variables'!$I29,+IF(G$8='5.Variables'!$B$33,+'5.Variables'!$I52,+IF(G$8='5.Variables'!$B$56,+'5.Variables'!$I66,+IF(G$8='5.Variables'!$B$70,+'5.Variables'!$I80,+IF(G$8='5.Variables'!$B$84,+'5.Variables'!$I94,+IF(G$8='5.Variables'!$B$98,+'5.Variables'!$I108,0))))))</f>
        <v>6.3</v>
      </c>
      <c r="H112" s="445">
        <f>IF(H$8='5.Variables'!$B$10,+'5.Variables'!$I29,+IF(H$8='5.Variables'!$B$33,+'5.Variables'!$I52,+IF(H$8='5.Variables'!$B$56,+'5.Variables'!$I66,+IF(H$8='5.Variables'!$B$70,+'5.Variables'!$I80,+IF(H$8='5.Variables'!$B$84,+'5.Variables'!$I94,+IF(H$8='5.Variables'!$B$98,+'5.Variables'!$I108,0))))))</f>
        <v>96.7</v>
      </c>
      <c r="I112" s="445">
        <f>IF(I$8='5.Variables'!$B$10,+'5.Variables'!$I29,+IF(I$8='5.Variables'!$B$33,+'5.Variables'!$I52,+IF(I$8='5.Variables'!$B$56,+'5.Variables'!$I66,+IF(I$8='5.Variables'!$B$70,+'5.Variables'!$I80,+IF(I$8='5.Variables'!$B$84,+'5.Variables'!$I94,+IF(I$8='5.Variables'!$B$98,+'5.Variables'!$I108,0))))))</f>
        <v>31</v>
      </c>
      <c r="J112" s="445">
        <f>IF(J$8='5.Variables'!$B$10,+'5.Variables'!$I29,+IF(J$8='5.Variables'!$B$33,+'5.Variables'!$I52,+IF(J$8='5.Variables'!$B$56,+'5.Variables'!$I66,+IF(J$8='5.Variables'!$B$70,+'5.Variables'!$I80,+IF(J$8='5.Variables'!$B$84,+'5.Variables'!$I94,+IF(J$8='5.Variables'!$B$98,+'5.Variables'!$I108,0))))))</f>
        <v>0</v>
      </c>
      <c r="K112" s="445">
        <f>IF(K$8='5.Variables'!$B$10,+'5.Variables'!$I29,+IF(K$8='5.Variables'!$B$33,+'5.Variables'!$I52,+IF(K$8='5.Variables'!$B$56,+'5.Variables'!$I66,+IF(K$8='5.Variables'!$B$70,+'5.Variables'!$I80,+IF(K$8='5.Variables'!$B$84,+'5.Variables'!$I94,+IF(K$8='5.Variables'!$B$98,+'5.Variables'!$I108,0))))))</f>
        <v>0</v>
      </c>
      <c r="L112" s="445">
        <f>IF(L$8='5.Variables'!$B$10,+'5.Variables'!$I29,+IF(L$8='5.Variables'!$B$33,+'5.Variables'!$I52,+IF(L$8='5.Variables'!$B$56,+'5.Variables'!$I66,+IF(L$8='5.Variables'!$B$70,+'5.Variables'!$I80,+IF(L$8='5.Variables'!$B$84,+'5.Variables'!$I94,+IF(L$8='5.Variables'!$B$98,+'5.Variables'!$I108,0))))))</f>
        <v>0</v>
      </c>
      <c r="M112" s="240"/>
      <c r="N112" s="268">
        <f t="shared" si="11"/>
        <v>399352.92341550608</v>
      </c>
      <c r="O112" s="272"/>
      <c r="P112" s="240"/>
      <c r="Q112" s="288"/>
      <c r="R112" s="288"/>
      <c r="S112" s="288"/>
      <c r="T112" s="908"/>
      <c r="U112"/>
      <c r="V112"/>
      <c r="W112"/>
      <c r="X112"/>
      <c r="Y112"/>
      <c r="Z112" s="240"/>
      <c r="AA112" s="240"/>
      <c r="AB112" s="240"/>
      <c r="AC112" s="240"/>
      <c r="AD112" s="240"/>
      <c r="AE112" s="240"/>
      <c r="AF112" s="240"/>
      <c r="AG112" s="240"/>
      <c r="AH112" s="240"/>
      <c r="AI112" s="240"/>
    </row>
    <row r="113" spans="1:35" x14ac:dyDescent="0.2">
      <c r="A113" s="675">
        <f t="shared" si="12"/>
        <v>104</v>
      </c>
      <c r="B113" s="266" t="str">
        <f>CONCATENATE('3. Consumption by Rate Class'!B119,"-",'3. Consumption by Rate Class'!C119)</f>
        <v>2013-August</v>
      </c>
      <c r="C113" s="730">
        <f>'6. WS Regression Analysis'!E113/1.081</f>
        <v>342290.97</v>
      </c>
      <c r="D113" s="731"/>
      <c r="E113" s="731">
        <f>+'X.1.CDM Calculation'!O23</f>
        <v>31827.634307441193</v>
      </c>
      <c r="F113" s="268">
        <f t="shared" si="13"/>
        <v>374118.60430744116</v>
      </c>
      <c r="G113" s="445">
        <f>IF(G$8='5.Variables'!$B$10,+'5.Variables'!$J29,+IF(G$8='5.Variables'!$B$33,+'5.Variables'!$J52,+IF(G$8='5.Variables'!$B$56,+'5.Variables'!$J66,+IF(G$8='5.Variables'!$B$70,+'5.Variables'!$J80,+IF(G$8='5.Variables'!$B$84,+'5.Variables'!$J94,+IF(G$8='5.Variables'!$B$98,+'5.Variables'!$J108,0))))))</f>
        <v>13.8</v>
      </c>
      <c r="H113" s="445">
        <f>IF(H$8='5.Variables'!$B$10,+'5.Variables'!$J29,+IF(H$8='5.Variables'!$B$33,+'5.Variables'!$J52,+IF(H$8='5.Variables'!$B$56,+'5.Variables'!$J66,+IF(H$8='5.Variables'!$B$70,+'5.Variables'!$J80,+IF(H$8='5.Variables'!$B$84,+'5.Variables'!$J94,+IF(H$8='5.Variables'!$B$98,+'5.Variables'!$J108,0))))))</f>
        <v>63.9</v>
      </c>
      <c r="I113" s="445">
        <f>IF(I$8='5.Variables'!$B$10,+'5.Variables'!$J29,+IF(I$8='5.Variables'!$B$33,+'5.Variables'!$J52,+IF(I$8='5.Variables'!$B$56,+'5.Variables'!$J66,+IF(I$8='5.Variables'!$B$70,+'5.Variables'!$J80,+IF(I$8='5.Variables'!$B$84,+'5.Variables'!$J94,+IF(I$8='5.Variables'!$B$98,+'5.Variables'!$J108,0))))))</f>
        <v>31</v>
      </c>
      <c r="J113" s="445">
        <f>IF(J$8='5.Variables'!$B$10,+'5.Variables'!$J29,+IF(J$8='5.Variables'!$B$33,+'5.Variables'!$J52,+IF(J$8='5.Variables'!$B$56,+'5.Variables'!$J66,+IF(J$8='5.Variables'!$B$70,+'5.Variables'!$J80,+IF(J$8='5.Variables'!$B$84,+'5.Variables'!$J94,+IF(J$8='5.Variables'!$B$98,+'5.Variables'!$J108,0))))))</f>
        <v>0</v>
      </c>
      <c r="K113" s="445">
        <f>IF(K$8='5.Variables'!$B$10,+'5.Variables'!$J29,+IF(K$8='5.Variables'!$B$33,+'5.Variables'!$J52,+IF(K$8='5.Variables'!$B$56,+'5.Variables'!$J66,+IF(K$8='5.Variables'!$B$70,+'5.Variables'!$J80,+IF(K$8='5.Variables'!$B$84,+'5.Variables'!$J94,+IF(K$8='5.Variables'!$B$98,+'5.Variables'!$J108,0))))))</f>
        <v>0</v>
      </c>
      <c r="L113" s="445">
        <f>IF(L$8='5.Variables'!$B$10,+'5.Variables'!$J29,+IF(L$8='5.Variables'!$B$33,+'5.Variables'!$J52,+IF(L$8='5.Variables'!$B$56,+'5.Variables'!$J66,+IF(L$8='5.Variables'!$B$70,+'5.Variables'!$J80,+IF(L$8='5.Variables'!$B$84,+'5.Variables'!$J94,+IF(L$8='5.Variables'!$B$98,+'5.Variables'!$J108,0))))))</f>
        <v>0</v>
      </c>
      <c r="M113" s="240"/>
      <c r="N113" s="268">
        <f t="shared" si="11"/>
        <v>386420.96918955678</v>
      </c>
      <c r="O113" s="272"/>
      <c r="P113" s="240"/>
      <c r="Q113" s="288"/>
      <c r="R113" s="288"/>
      <c r="S113" s="288"/>
      <c r="T113" s="908"/>
      <c r="U113"/>
      <c r="V113"/>
      <c r="W113"/>
      <c r="X113"/>
      <c r="Y113"/>
      <c r="Z113" s="240"/>
      <c r="AA113" s="240"/>
      <c r="AB113" s="240"/>
      <c r="AC113" s="240"/>
      <c r="AD113" s="240"/>
      <c r="AE113" s="240"/>
      <c r="AF113" s="240"/>
      <c r="AG113" s="240"/>
      <c r="AH113" s="240"/>
      <c r="AI113" s="240"/>
    </row>
    <row r="114" spans="1:35" x14ac:dyDescent="0.2">
      <c r="A114" s="675">
        <f t="shared" si="12"/>
        <v>105</v>
      </c>
      <c r="B114" s="266" t="str">
        <f>CONCATENATE('3. Consumption by Rate Class'!B120,"-",'3. Consumption by Rate Class'!C120)</f>
        <v>2013-September</v>
      </c>
      <c r="C114" s="730">
        <f>'6. WS Regression Analysis'!E114/1.081</f>
        <v>313675.44</v>
      </c>
      <c r="D114" s="731"/>
      <c r="E114" s="731">
        <f>+'X.1.CDM Calculation'!O24</f>
        <v>35220.53790753425</v>
      </c>
      <c r="F114" s="268">
        <f t="shared" si="13"/>
        <v>348895.97790753422</v>
      </c>
      <c r="G114" s="445">
        <f>IF(G$8='5.Variables'!$B$10,+'5.Variables'!$K29,+IF(G$8='5.Variables'!$B$33,+'5.Variables'!$K52,+IF(G$8='5.Variables'!$B$56,+'5.Variables'!$K66,+IF(G$8='5.Variables'!$B$70,+'5.Variables'!$K80,+IF(G$8='5.Variables'!$B$84,+'5.Variables'!$K94,+IF(G$8='5.Variables'!$B$98,+'5.Variables'!$K108,0))))))</f>
        <v>103.5</v>
      </c>
      <c r="H114" s="445">
        <f>IF(H$8='5.Variables'!$B$10,+'5.Variables'!$K29,+IF(H$8='5.Variables'!$B$33,+'5.Variables'!$K52,+IF(H$8='5.Variables'!$B$56,+'5.Variables'!$K66,+IF(H$8='5.Variables'!$B$70,+'5.Variables'!$K80,+IF(H$8='5.Variables'!$B$84,+'5.Variables'!$K94,+IF(H$8='5.Variables'!$B$98,+'5.Variables'!$K108,0))))))</f>
        <v>24.1</v>
      </c>
      <c r="I114" s="445">
        <f>IF(I$8='5.Variables'!$B$10,+'5.Variables'!$K29,+IF(I$8='5.Variables'!$B$33,+'5.Variables'!$K52,+IF(I$8='5.Variables'!$B$56,+'5.Variables'!$K66,+IF(I$8='5.Variables'!$B$70,+'5.Variables'!$K80,+IF(I$8='5.Variables'!$B$84,+'5.Variables'!$K94,+IF(I$8='5.Variables'!$B$98,+'5.Variables'!$K108,0))))))</f>
        <v>30</v>
      </c>
      <c r="J114" s="445">
        <f>IF(J$8='5.Variables'!$B$10,+'5.Variables'!$K29,+IF(J$8='5.Variables'!$B$33,+'5.Variables'!$K52,+IF(J$8='5.Variables'!$B$56,+'5.Variables'!$K66,+IF(J$8='5.Variables'!$B$70,+'5.Variables'!$K80,+IF(J$8='5.Variables'!$B$84,+'5.Variables'!$K94,+IF(J$8='5.Variables'!$B$98,+'5.Variables'!$K108,0))))))</f>
        <v>1</v>
      </c>
      <c r="K114" s="445">
        <f>IF(K$8='5.Variables'!$B$10,+'5.Variables'!$K29,+IF(K$8='5.Variables'!$B$33,+'5.Variables'!$K52,+IF(K$8='5.Variables'!$B$56,+'5.Variables'!$K66,+IF(K$8='5.Variables'!$B$70,+'5.Variables'!$K80,+IF(K$8='5.Variables'!$B$84,+'5.Variables'!$K94,+IF(K$8='5.Variables'!$B$98,+'5.Variables'!$K108,0))))))</f>
        <v>0</v>
      </c>
      <c r="L114" s="445">
        <f>IF(L$8='5.Variables'!$B$10,+'5.Variables'!$K29,+IF(L$8='5.Variables'!$B$33,+'5.Variables'!$K52,+IF(L$8='5.Variables'!$B$56,+'5.Variables'!$K66,+IF(L$8='5.Variables'!$B$70,+'5.Variables'!$K80,+IF(L$8='5.Variables'!$B$84,+'5.Variables'!$K94,+IF(L$8='5.Variables'!$B$98,+'5.Variables'!$K108,0))))))</f>
        <v>0</v>
      </c>
      <c r="M114" s="240"/>
      <c r="N114" s="268">
        <f t="shared" si="11"/>
        <v>343749.41818345629</v>
      </c>
      <c r="O114" s="272"/>
      <c r="P114" s="240"/>
      <c r="Q114" s="288"/>
      <c r="R114" s="288"/>
      <c r="S114" s="288"/>
      <c r="T114" s="908"/>
      <c r="U114"/>
      <c r="V114"/>
      <c r="W114"/>
      <c r="X114"/>
      <c r="Y114"/>
      <c r="Z114" s="240"/>
      <c r="AA114" s="240"/>
      <c r="AB114" s="240"/>
      <c r="AC114" s="240"/>
      <c r="AD114" s="240"/>
      <c r="AE114" s="240"/>
      <c r="AF114" s="240"/>
      <c r="AG114" s="240"/>
      <c r="AH114" s="240"/>
      <c r="AI114" s="240"/>
    </row>
    <row r="115" spans="1:35" x14ac:dyDescent="0.2">
      <c r="A115" s="675">
        <f t="shared" si="12"/>
        <v>106</v>
      </c>
      <c r="B115" s="266" t="str">
        <f>CONCATENATE('3. Consumption by Rate Class'!B121,"-",'3. Consumption by Rate Class'!C121)</f>
        <v>2013-October</v>
      </c>
      <c r="C115" s="730">
        <f>'6. WS Regression Analysis'!E115/1.081</f>
        <v>302871.34999999998</v>
      </c>
      <c r="D115" s="731"/>
      <c r="E115" s="731">
        <f>+'X.1.CDM Calculation'!O25</f>
        <v>36394.555837785389</v>
      </c>
      <c r="F115" s="268">
        <f t="shared" si="13"/>
        <v>339265.90583778534</v>
      </c>
      <c r="G115" s="445">
        <f>IF(G$8='5.Variables'!$B$10,+'5.Variables'!$L29,+IF(G$8='5.Variables'!$B$33,+'5.Variables'!$L52,+IF(G$8='5.Variables'!$B$56,+'5.Variables'!$L66,+IF(G$8='5.Variables'!$B$70,+'5.Variables'!$L80,+IF(G$8='5.Variables'!$B$84,+'5.Variables'!$L94,+IF(G$8='5.Variables'!$B$98,+'5.Variables'!$L108,0))))))</f>
        <v>189.8</v>
      </c>
      <c r="H115" s="445">
        <f>IF(H$8='5.Variables'!$B$10,+'5.Variables'!$L29,+IF(H$8='5.Variables'!$B$33,+'5.Variables'!$L52,+IF(H$8='5.Variables'!$B$56,+'5.Variables'!$L66,+IF(H$8='5.Variables'!$B$70,+'5.Variables'!$L80,+IF(H$8='5.Variables'!$B$84,+'5.Variables'!$L94,+IF(H$8='5.Variables'!$B$98,+'5.Variables'!$L108,0))))))</f>
        <v>0.1</v>
      </c>
      <c r="I115" s="445">
        <f>IF(I$8='5.Variables'!$B$10,+'5.Variables'!$L29,+IF(I$8='5.Variables'!$B$33,+'5.Variables'!$L52,+IF(I$8='5.Variables'!$B$56,+'5.Variables'!$L66,+IF(I$8='5.Variables'!$B$70,+'5.Variables'!$L80,+IF(I$8='5.Variables'!$B$84,+'5.Variables'!$L94,+IF(I$8='5.Variables'!$B$98,+'5.Variables'!$L108,0))))))</f>
        <v>31</v>
      </c>
      <c r="J115" s="445">
        <f>IF(J$8='5.Variables'!$B$10,+'5.Variables'!$L29,+IF(J$8='5.Variables'!$B$33,+'5.Variables'!$L52,+IF(J$8='5.Variables'!$B$56,+'5.Variables'!$L66,+IF(J$8='5.Variables'!$B$70,+'5.Variables'!$L80,+IF(J$8='5.Variables'!$B$84,+'5.Variables'!$L94,+IF(J$8='5.Variables'!$B$98,+'5.Variables'!$L108,0))))))</f>
        <v>1</v>
      </c>
      <c r="K115" s="445">
        <f>IF(K$8='5.Variables'!$B$10,+'5.Variables'!$L29,+IF(K$8='5.Variables'!$B$33,+'5.Variables'!$L52,+IF(K$8='5.Variables'!$B$56,+'5.Variables'!$L66,+IF(K$8='5.Variables'!$B$70,+'5.Variables'!$L80,+IF(K$8='5.Variables'!$B$84,+'5.Variables'!$L94,+IF(K$8='5.Variables'!$B$98,+'5.Variables'!$L108,0))))))</f>
        <v>0</v>
      </c>
      <c r="L115" s="445">
        <f>IF(L$8='5.Variables'!$B$10,+'5.Variables'!$L29,+IF(L$8='5.Variables'!$B$33,+'5.Variables'!$L52,+IF(L$8='5.Variables'!$B$56,+'5.Variables'!$L66,+IF(L$8='5.Variables'!$B$70,+'5.Variables'!$L80,+IF(L$8='5.Variables'!$B$84,+'5.Variables'!$L94,+IF(L$8='5.Variables'!$B$98,+'5.Variables'!$L108,0))))))</f>
        <v>0</v>
      </c>
      <c r="M115" s="240"/>
      <c r="N115" s="268">
        <f t="shared" si="11"/>
        <v>342413.02982069104</v>
      </c>
      <c r="O115" s="272"/>
      <c r="P115" s="240"/>
      <c r="Q115" s="288"/>
      <c r="R115" s="288"/>
      <c r="S115" s="288"/>
      <c r="T115" s="908"/>
      <c r="U115"/>
      <c r="V115"/>
      <c r="W115"/>
      <c r="X115"/>
      <c r="Y115"/>
      <c r="Z115" s="240"/>
      <c r="AA115" s="240"/>
      <c r="AB115" s="240"/>
      <c r="AC115" s="240"/>
      <c r="AD115" s="240"/>
      <c r="AE115" s="240"/>
      <c r="AF115" s="240"/>
      <c r="AG115" s="240"/>
      <c r="AH115" s="240"/>
      <c r="AI115" s="240"/>
    </row>
    <row r="116" spans="1:35" x14ac:dyDescent="0.2">
      <c r="A116" s="675">
        <f t="shared" si="12"/>
        <v>107</v>
      </c>
      <c r="B116" s="266" t="str">
        <f>CONCATENATE('3. Consumption by Rate Class'!B122,"-",'3. Consumption by Rate Class'!C122)</f>
        <v>2013-November</v>
      </c>
      <c r="C116" s="730">
        <f>'6. WS Regression Analysis'!E116/1.081</f>
        <v>271858.92</v>
      </c>
      <c r="D116" s="731"/>
      <c r="E116" s="731">
        <f>+'X.1.CDM Calculation'!O26</f>
        <v>35220.53790753425</v>
      </c>
      <c r="F116" s="268">
        <f t="shared" si="13"/>
        <v>307079.4579075342</v>
      </c>
      <c r="G116" s="445">
        <f>IF(G$8='5.Variables'!$B$10,+'5.Variables'!$M29,+IF(G$8='5.Variables'!$B$33,+'5.Variables'!$M52,+IF(G$8='5.Variables'!$B$56,+'5.Variables'!$M66,+IF(G$8='5.Variables'!$B$70,+'5.Variables'!$M80,+IF(G$8='5.Variables'!$B$84,+'5.Variables'!$M94,+IF(G$8='5.Variables'!$B$98,+'5.Variables'!$M108,0))))))</f>
        <v>476.7</v>
      </c>
      <c r="H116" s="445">
        <f>IF(H$8='5.Variables'!$B$10,+'5.Variables'!$M29,+IF(H$8='5.Variables'!$B$33,+'5.Variables'!$M52,+IF(H$8='5.Variables'!$B$56,+'5.Variables'!$M66,+IF(H$8='5.Variables'!$B$70,+'5.Variables'!$M80,+IF(H$8='5.Variables'!$B$84,+'5.Variables'!$M94,+IF(H$8='5.Variables'!$B$98,+'5.Variables'!$M108,0))))))</f>
        <v>0</v>
      </c>
      <c r="I116" s="445">
        <f>IF(I$8='5.Variables'!$B$10,+'5.Variables'!$M29,+IF(I$8='5.Variables'!$B$33,+'5.Variables'!$M52,+IF(I$8='5.Variables'!$B$56,+'5.Variables'!$M66,+IF(I$8='5.Variables'!$B$70,+'5.Variables'!$M80,+IF(I$8='5.Variables'!$B$84,+'5.Variables'!$M94,+IF(I$8='5.Variables'!$B$98,+'5.Variables'!$M108,0))))))</f>
        <v>30</v>
      </c>
      <c r="J116" s="445">
        <f>IF(J$8='5.Variables'!$B$10,+'5.Variables'!$M29,+IF(J$8='5.Variables'!$B$33,+'5.Variables'!$M52,+IF(J$8='5.Variables'!$B$56,+'5.Variables'!$M66,+IF(J$8='5.Variables'!$B$70,+'5.Variables'!$M80,+IF(J$8='5.Variables'!$B$84,+'5.Variables'!$M94,+IF(J$8='5.Variables'!$B$98,+'5.Variables'!$M108,0))))))</f>
        <v>1</v>
      </c>
      <c r="K116" s="445">
        <f>IF(K$8='5.Variables'!$B$10,+'5.Variables'!$M29,+IF(K$8='5.Variables'!$B$33,+'5.Variables'!$M52,+IF(K$8='5.Variables'!$B$56,+'5.Variables'!$M66,+IF(K$8='5.Variables'!$B$70,+'5.Variables'!$M80,+IF(K$8='5.Variables'!$B$84,+'5.Variables'!$M94,+IF(K$8='5.Variables'!$B$98,+'5.Variables'!$M108,0))))))</f>
        <v>0</v>
      </c>
      <c r="L116" s="445">
        <f>IF(L$8='5.Variables'!$B$10,+'5.Variables'!$M29,+IF(L$8='5.Variables'!$B$33,+'5.Variables'!$M52,+IF(L$8='5.Variables'!$B$56,+'5.Variables'!$M66,+IF(L$8='5.Variables'!$B$70,+'5.Variables'!$M80,+IF(L$8='5.Variables'!$B$84,+'5.Variables'!$M94,+IF(L$8='5.Variables'!$B$98,+'5.Variables'!$M108,0))))))</f>
        <v>0</v>
      </c>
      <c r="M116" s="240"/>
      <c r="N116" s="268">
        <f t="shared" si="11"/>
        <v>316446.49963394459</v>
      </c>
      <c r="O116" s="272"/>
      <c r="P116" s="240"/>
      <c r="Q116" s="288"/>
      <c r="R116" s="288"/>
      <c r="S116" s="288"/>
      <c r="T116" s="908"/>
      <c r="U116"/>
      <c r="V116"/>
      <c r="W116"/>
      <c r="X116"/>
      <c r="Y116"/>
      <c r="Z116" s="240"/>
      <c r="AA116" s="240"/>
      <c r="AB116" s="240"/>
      <c r="AC116" s="240"/>
      <c r="AD116" s="240"/>
      <c r="AE116" s="240"/>
      <c r="AF116" s="240"/>
      <c r="AG116" s="240"/>
      <c r="AH116" s="240"/>
      <c r="AI116" s="240"/>
    </row>
    <row r="117" spans="1:35" x14ac:dyDescent="0.2">
      <c r="A117" s="675">
        <f t="shared" si="12"/>
        <v>108</v>
      </c>
      <c r="B117" s="266" t="str">
        <f>CONCATENATE('3. Consumption by Rate Class'!B123,"-",'3. Consumption by Rate Class'!C123)</f>
        <v>2013-December</v>
      </c>
      <c r="C117" s="730">
        <f>'6. WS Regression Analysis'!E117/1.081</f>
        <v>292318.77</v>
      </c>
      <c r="D117" s="731"/>
      <c r="E117" s="731">
        <f>+'X.1.CDM Calculation'!O27</f>
        <v>36394.555837785389</v>
      </c>
      <c r="F117" s="268">
        <f t="shared" si="13"/>
        <v>328713.32583778538</v>
      </c>
      <c r="G117" s="445">
        <f>IF(G$8='5.Variables'!$B$10,+'5.Variables'!$N29,+IF(G$8='5.Variables'!$B$33,+'5.Variables'!$N52,+IF(G$8='5.Variables'!$B$56,+'5.Variables'!$N66,+IF(G$8='5.Variables'!$B$70,+'5.Variables'!$N80,+IF(G$8='5.Variables'!$B$84,+'5.Variables'!$N94,+IF(G$8='5.Variables'!$B$98,+'5.Variables'!$N108,0))))))</f>
        <v>717.5</v>
      </c>
      <c r="H117" s="445">
        <f>IF(H$8='5.Variables'!$B$10,+'5.Variables'!$N29,+IF(H$8='5.Variables'!$B$33,+'5.Variables'!$N52,+IF(H$8='5.Variables'!$B$56,+'5.Variables'!$N66,+IF(H$8='5.Variables'!$B$70,+'5.Variables'!$N80,+IF(H$8='5.Variables'!$B$84,+'5.Variables'!$N94,+IF(H$8='5.Variables'!$B$98,+'5.Variables'!$N108,0))))))</f>
        <v>0</v>
      </c>
      <c r="I117" s="445">
        <f>IF(I$8='5.Variables'!$B$10,+'5.Variables'!$N29,+IF(I$8='5.Variables'!$B$33,+'5.Variables'!$N52,+IF(I$8='5.Variables'!$B$56,+'5.Variables'!$N66,+IF(I$8='5.Variables'!$B$70,+'5.Variables'!$N80,+IF(I$8='5.Variables'!$B$84,+'5.Variables'!$N94,+IF(I$8='5.Variables'!$B$98,+'5.Variables'!$N108,0))))))</f>
        <v>31</v>
      </c>
      <c r="J117" s="445">
        <f>IF(J$8='5.Variables'!$B$10,+'5.Variables'!$N29,+IF(J$8='5.Variables'!$B$33,+'5.Variables'!$N52,+IF(J$8='5.Variables'!$B$56,+'5.Variables'!$N66,+IF(J$8='5.Variables'!$B$70,+'5.Variables'!$N80,+IF(J$8='5.Variables'!$B$84,+'5.Variables'!$N94,+IF(J$8='5.Variables'!$B$98,+'5.Variables'!$N108,0))))))</f>
        <v>0</v>
      </c>
      <c r="K117" s="445">
        <f>IF(K$8='5.Variables'!$B$10,+'5.Variables'!$N29,+IF(K$8='5.Variables'!$B$33,+'5.Variables'!$N52,+IF(K$8='5.Variables'!$B$56,+'5.Variables'!$N66,+IF(K$8='5.Variables'!$B$70,+'5.Variables'!$N80,+IF(K$8='5.Variables'!$B$84,+'5.Variables'!$N94,+IF(K$8='5.Variables'!$B$98,+'5.Variables'!$N108,0))))))</f>
        <v>0</v>
      </c>
      <c r="L117" s="445">
        <f>IF(L$8='5.Variables'!$B$10,+'5.Variables'!$N29,+IF(L$8='5.Variables'!$B$33,+'5.Variables'!$N52,+IF(L$8='5.Variables'!$B$56,+'5.Variables'!$N66,+IF(L$8='5.Variables'!$B$70,+'5.Variables'!$N80,+IF(L$8='5.Variables'!$B$84,+'5.Variables'!$N94,+IF(L$8='5.Variables'!$B$98,+'5.Variables'!$N108,0))))))</f>
        <v>0</v>
      </c>
      <c r="M117" s="240"/>
      <c r="N117" s="268">
        <f t="shared" si="11"/>
        <v>327866.19460509659</v>
      </c>
      <c r="O117" s="272">
        <f>SUM(N106:N117)</f>
        <v>4100479.5896861143</v>
      </c>
      <c r="P117" s="240"/>
      <c r="Q117" s="288"/>
      <c r="R117" s="288"/>
      <c r="S117" s="288"/>
      <c r="T117" s="908"/>
      <c r="U117"/>
      <c r="V117"/>
      <c r="W117"/>
      <c r="X117"/>
      <c r="Y117"/>
      <c r="Z117" s="240"/>
      <c r="AA117" s="240"/>
      <c r="AB117" s="240"/>
      <c r="AC117" s="240"/>
      <c r="AD117" s="240"/>
      <c r="AE117" s="240"/>
      <c r="AF117" s="240"/>
      <c r="AG117" s="240"/>
      <c r="AH117" s="240"/>
      <c r="AI117" s="240"/>
    </row>
    <row r="118" spans="1:35" x14ac:dyDescent="0.2">
      <c r="A118" s="675">
        <f t="shared" si="12"/>
        <v>109</v>
      </c>
      <c r="B118" s="266" t="str">
        <f>CONCATENATE('3. Consumption by Rate Class'!B124,"-",'3. Consumption by Rate Class'!C124)</f>
        <v>2014-January</v>
      </c>
      <c r="C118" s="730">
        <f>'6. WS Regression Analysis'!E118/1.081</f>
        <v>280512.07</v>
      </c>
      <c r="D118" s="731"/>
      <c r="E118" s="731">
        <f>+'X.1.CDM Calculation'!O28</f>
        <v>36394.555837785389</v>
      </c>
      <c r="F118" s="268">
        <f t="shared" si="13"/>
        <v>316906.62583778542</v>
      </c>
      <c r="G118" s="445">
        <f>IF(G$8='5.Variables'!$B$10,+'5.Variables'!$C30,+IF(G$8='5.Variables'!$B$33,+'5.Variables'!$C53,+IF(G$8='5.Variables'!$B$56,+'5.Variables'!$C67,+IF(G$8='5.Variables'!$B$70,+'5.Variables'!$C81,+IF(G$8='5.Variables'!$B$84,+'5.Variables'!$C95,+IF(G$8='5.Variables'!$B$98,+'5.Variables'!$C109,0))))))</f>
        <v>826.1</v>
      </c>
      <c r="H118" s="445">
        <f>IF(H$8='5.Variables'!$B$10,+'5.Variables'!$C30,+IF(H$8='5.Variables'!$B$33,+'5.Variables'!$C53,+IF(H$8='5.Variables'!$B$56,+'5.Variables'!$C67,+IF(H$8='5.Variables'!$B$70,+'5.Variables'!$C81,+IF(H$8='5.Variables'!$B$84,+'5.Variables'!$C95,+IF(H$8='5.Variables'!$B$98,+'5.Variables'!$C109,0))))))</f>
        <v>0</v>
      </c>
      <c r="I118" s="445">
        <f>IF(I$8='5.Variables'!$B$10,+'5.Variables'!$C30,+IF(I$8='5.Variables'!$B$33,+'5.Variables'!$C53,+IF(I$8='5.Variables'!$B$56,+'5.Variables'!$C67,+IF(I$8='5.Variables'!$B$70,+'5.Variables'!$C81,+IF(I$8='5.Variables'!$B$84,+'5.Variables'!$C95,+IF(I$8='5.Variables'!$B$98,+'5.Variables'!$C109,0))))))</f>
        <v>31</v>
      </c>
      <c r="J118" s="445">
        <f>IF(J$8='5.Variables'!$B$10,+'5.Variables'!$C30,+IF(J$8='5.Variables'!$B$33,+'5.Variables'!$C53,+IF(J$8='5.Variables'!$B$56,+'5.Variables'!$C67,+IF(J$8='5.Variables'!$B$70,+'5.Variables'!$C81,+IF(J$8='5.Variables'!$B$84,+'5.Variables'!$C95,+IF(J$8='5.Variables'!$B$98,+'5.Variables'!$C109,0))))))</f>
        <v>0</v>
      </c>
      <c r="K118" s="445">
        <f>IF(K$8='5.Variables'!$B$10,+'5.Variables'!$C30,+IF(K$8='5.Variables'!$B$33,+'5.Variables'!$C53,+IF(K$8='5.Variables'!$B$56,+'5.Variables'!$C67,+IF(K$8='5.Variables'!$B$70,+'5.Variables'!$C81,+IF(K$8='5.Variables'!$B$84,+'5.Variables'!$C95,+IF(K$8='5.Variables'!$B$98,+'5.Variables'!$C109,0))))))</f>
        <v>0</v>
      </c>
      <c r="L118" s="445">
        <f>IF(L$8='5.Variables'!$B$10,+'5.Variables'!$C30,+IF(L$8='5.Variables'!$B$33,+'5.Variables'!$C53,+IF(L$8='5.Variables'!$B$56,+'5.Variables'!$C67,+IF(L$8='5.Variables'!$B$70,+'5.Variables'!$C81,+IF(L$8='5.Variables'!$B$84,+'5.Variables'!$C95,+IF(L$8='5.Variables'!$B$98,+'5.Variables'!$C109,0))))))</f>
        <v>0</v>
      </c>
      <c r="M118" s="240"/>
      <c r="N118" s="268">
        <f t="shared" si="11"/>
        <v>322608.50061888603</v>
      </c>
      <c r="O118" s="272"/>
      <c r="P118" s="240"/>
      <c r="Q118" s="288"/>
      <c r="R118" s="288"/>
      <c r="S118" s="288"/>
      <c r="T118" s="908"/>
      <c r="U118"/>
      <c r="V118"/>
      <c r="W118"/>
      <c r="X118"/>
      <c r="Y118"/>
      <c r="Z118" s="240"/>
      <c r="AA118" s="240"/>
      <c r="AB118" s="240"/>
      <c r="AC118" s="240"/>
      <c r="AD118" s="240"/>
      <c r="AE118" s="240"/>
      <c r="AF118" s="240"/>
      <c r="AG118" s="240"/>
      <c r="AH118" s="240"/>
      <c r="AI118" s="240"/>
    </row>
    <row r="119" spans="1:35" x14ac:dyDescent="0.2">
      <c r="A119" s="675">
        <f t="shared" si="12"/>
        <v>110</v>
      </c>
      <c r="B119" s="266" t="str">
        <f>CONCATENATE('3. Consumption by Rate Class'!B125,"-",'3. Consumption by Rate Class'!C125)</f>
        <v>2014-February</v>
      </c>
      <c r="C119" s="730">
        <f>'6. WS Regression Analysis'!E119/1.081</f>
        <v>248535.12</v>
      </c>
      <c r="D119" s="731"/>
      <c r="E119" s="731">
        <f>+'X.1.CDM Calculation'!O29</f>
        <v>32872.502047031965</v>
      </c>
      <c r="F119" s="268">
        <f t="shared" si="13"/>
        <v>281407.62204703194</v>
      </c>
      <c r="G119" s="445">
        <f>IF(G$8='5.Variables'!$B$10,+'5.Variables'!$D30,+IF(G$8='5.Variables'!$B$33,+'5.Variables'!$D53,+IF(G$8='5.Variables'!$B$56,+'5.Variables'!$D67,+IF(G$8='5.Variables'!$B$70,+'5.Variables'!$D81,+IF(G$8='5.Variables'!$B$84,+'5.Variables'!$D95,+IF(G$8='5.Variables'!$B$98,+'5.Variables'!$D109,0))))))</f>
        <v>740.1</v>
      </c>
      <c r="H119" s="445">
        <f>IF(H$8='5.Variables'!$B$10,+'5.Variables'!$D30,+IF(H$8='5.Variables'!$B$33,+'5.Variables'!$D53,+IF(H$8='5.Variables'!$B$56,+'5.Variables'!$D67,+IF(H$8='5.Variables'!$B$70,+'5.Variables'!$D81,+IF(H$8='5.Variables'!$B$84,+'5.Variables'!$D95,+IF(H$8='5.Variables'!$B$98,+'5.Variables'!$D109,0))))))</f>
        <v>0</v>
      </c>
      <c r="I119" s="445">
        <f>IF(I$8='5.Variables'!$B$10,+'5.Variables'!$D30,+IF(I$8='5.Variables'!$B$33,+'5.Variables'!$D53,+IF(I$8='5.Variables'!$B$56,+'5.Variables'!$D67,+IF(I$8='5.Variables'!$B$70,+'5.Variables'!$D81,+IF(I$8='5.Variables'!$B$84,+'5.Variables'!$D95,+IF(I$8='5.Variables'!$B$98,+'5.Variables'!$D109,0))))))</f>
        <v>28</v>
      </c>
      <c r="J119" s="445">
        <f>IF(J$8='5.Variables'!$B$10,+'5.Variables'!$D30,+IF(J$8='5.Variables'!$B$33,+'5.Variables'!$D53,+IF(J$8='5.Variables'!$B$56,+'5.Variables'!$D67,+IF(J$8='5.Variables'!$B$70,+'5.Variables'!$D81,+IF(J$8='5.Variables'!$B$84,+'5.Variables'!$D95,+IF(J$8='5.Variables'!$B$98,+'5.Variables'!$D109,0))))))</f>
        <v>0</v>
      </c>
      <c r="K119" s="445">
        <f>IF(K$8='5.Variables'!$B$10,+'5.Variables'!$D30,+IF(K$8='5.Variables'!$B$33,+'5.Variables'!$D53,+IF(K$8='5.Variables'!$B$56,+'5.Variables'!$D67,+IF(K$8='5.Variables'!$B$70,+'5.Variables'!$D81,+IF(K$8='5.Variables'!$B$84,+'5.Variables'!$D95,+IF(K$8='5.Variables'!$B$98,+'5.Variables'!$D109,0))))))</f>
        <v>0</v>
      </c>
      <c r="L119" s="445">
        <f>IF(L$8='5.Variables'!$B$10,+'5.Variables'!$D30,+IF(L$8='5.Variables'!$B$33,+'5.Variables'!$D53,+IF(L$8='5.Variables'!$B$56,+'5.Variables'!$D67,+IF(L$8='5.Variables'!$B$70,+'5.Variables'!$D81,+IF(L$8='5.Variables'!$B$84,+'5.Variables'!$D95,+IF(L$8='5.Variables'!$B$98,+'5.Variables'!$D109,0))))))</f>
        <v>0</v>
      </c>
      <c r="M119" s="240"/>
      <c r="N119" s="268">
        <f t="shared" si="11"/>
        <v>290656.82393774716</v>
      </c>
      <c r="O119" s="272"/>
      <c r="P119" s="240"/>
      <c r="Q119" s="288"/>
      <c r="R119" s="288"/>
      <c r="S119" s="288"/>
      <c r="T119" s="908"/>
      <c r="U119"/>
      <c r="V119"/>
      <c r="W119"/>
      <c r="X119"/>
      <c r="Y119"/>
      <c r="Z119" s="240"/>
      <c r="AA119" s="240"/>
      <c r="AB119" s="240"/>
      <c r="AC119" s="240"/>
      <c r="AD119" s="240"/>
      <c r="AE119" s="240"/>
      <c r="AF119" s="240"/>
      <c r="AG119" s="240"/>
      <c r="AH119" s="240"/>
      <c r="AI119" s="240"/>
    </row>
    <row r="120" spans="1:35" x14ac:dyDescent="0.2">
      <c r="A120" s="675">
        <f t="shared" si="12"/>
        <v>111</v>
      </c>
      <c r="B120" s="266" t="str">
        <f>CONCATENATE('3. Consumption by Rate Class'!B126,"-",'3. Consumption by Rate Class'!C126)</f>
        <v>2014-March</v>
      </c>
      <c r="C120" s="730">
        <f>'6. WS Regression Analysis'!E120/1.081</f>
        <v>273517.14</v>
      </c>
      <c r="D120" s="731"/>
      <c r="E120" s="731">
        <f>+'X.1.CDM Calculation'!O30</f>
        <v>36394.555837785389</v>
      </c>
      <c r="F120" s="268">
        <f t="shared" si="13"/>
        <v>309911.69583778537</v>
      </c>
      <c r="G120" s="445">
        <f>IF(G$8='5.Variables'!$B$10,+'5.Variables'!$E30,+IF(G$8='5.Variables'!$B$33,+'5.Variables'!$E53,+IF(G$8='5.Variables'!$B$56,+'5.Variables'!$E67,+IF(G$8='5.Variables'!$B$70,+'5.Variables'!$E81,+IF(G$8='5.Variables'!$B$84,+'5.Variables'!$E95,+IF(G$8='5.Variables'!$B$98,+'5.Variables'!$E109,0))))))</f>
        <v>730</v>
      </c>
      <c r="H120" s="445">
        <f>IF(H$8='5.Variables'!$B$10,+'5.Variables'!$E30,+IF(H$8='5.Variables'!$B$33,+'5.Variables'!$E53,+IF(H$8='5.Variables'!$B$56,+'5.Variables'!$E67,+IF(H$8='5.Variables'!$B$70,+'5.Variables'!$E81,+IF(H$8='5.Variables'!$B$84,+'5.Variables'!$E95,+IF(H$8='5.Variables'!$B$98,+'5.Variables'!$E109,0))))))</f>
        <v>0</v>
      </c>
      <c r="I120" s="445">
        <f>IF(I$8='5.Variables'!$B$10,+'5.Variables'!$E30,+IF(I$8='5.Variables'!$B$33,+'5.Variables'!$E53,+IF(I$8='5.Variables'!$B$56,+'5.Variables'!$E67,+IF(I$8='5.Variables'!$B$70,+'5.Variables'!$E81,+IF(I$8='5.Variables'!$B$84,+'5.Variables'!$E95,+IF(I$8='5.Variables'!$B$98,+'5.Variables'!$E109,0))))))</f>
        <v>31</v>
      </c>
      <c r="J120" s="445">
        <f>IF(J$8='5.Variables'!$B$10,+'5.Variables'!$E30,+IF(J$8='5.Variables'!$B$33,+'5.Variables'!$E53,+IF(J$8='5.Variables'!$B$56,+'5.Variables'!$E67,+IF(J$8='5.Variables'!$B$70,+'5.Variables'!$E81,+IF(J$8='5.Variables'!$B$84,+'5.Variables'!$E95,+IF(J$8='5.Variables'!$B$98,+'5.Variables'!$E109,0))))))</f>
        <v>1</v>
      </c>
      <c r="K120" s="445">
        <f>IF(K$8='5.Variables'!$B$10,+'5.Variables'!$E30,+IF(K$8='5.Variables'!$B$33,+'5.Variables'!$E53,+IF(K$8='5.Variables'!$B$56,+'5.Variables'!$E67,+IF(K$8='5.Variables'!$B$70,+'5.Variables'!$E81,+IF(K$8='5.Variables'!$B$84,+'5.Variables'!$E95,+IF(K$8='5.Variables'!$B$98,+'5.Variables'!$E109,0))))))</f>
        <v>0</v>
      </c>
      <c r="L120" s="445">
        <f>IF(L$8='5.Variables'!$B$10,+'5.Variables'!$E30,+IF(L$8='5.Variables'!$B$33,+'5.Variables'!$E53,+IF(L$8='5.Variables'!$B$56,+'5.Variables'!$E67,+IF(L$8='5.Variables'!$B$70,+'5.Variables'!$E81,+IF(L$8='5.Variables'!$B$84,+'5.Variables'!$E95,+IF(L$8='5.Variables'!$B$98,+'5.Variables'!$E109,0))))))</f>
        <v>0</v>
      </c>
      <c r="M120" s="240"/>
      <c r="N120" s="268">
        <f t="shared" si="11"/>
        <v>316221.79770105443</v>
      </c>
      <c r="O120" s="272"/>
      <c r="P120" s="240"/>
      <c r="Q120" s="288"/>
      <c r="R120" s="288"/>
      <c r="S120" s="288"/>
      <c r="T120" s="908"/>
      <c r="U120"/>
      <c r="V120"/>
      <c r="W120"/>
      <c r="X120"/>
      <c r="Y120"/>
      <c r="Z120" s="240"/>
      <c r="AA120" s="240"/>
      <c r="AB120" s="240"/>
      <c r="AC120" s="240"/>
      <c r="AD120" s="240"/>
      <c r="AE120" s="240"/>
      <c r="AF120" s="240"/>
      <c r="AG120" s="240"/>
      <c r="AH120" s="240"/>
      <c r="AI120" s="240"/>
    </row>
    <row r="121" spans="1:35" x14ac:dyDescent="0.2">
      <c r="A121" s="675">
        <f t="shared" si="12"/>
        <v>112</v>
      </c>
      <c r="B121" s="266" t="str">
        <f>CONCATENATE('3. Consumption by Rate Class'!B127,"-",'3. Consumption by Rate Class'!C127)</f>
        <v>2014-April</v>
      </c>
      <c r="C121" s="730">
        <f>'6. WS Regression Analysis'!E121/1.081</f>
        <v>267143.09000000003</v>
      </c>
      <c r="D121" s="731"/>
      <c r="E121" s="731">
        <f>+'X.1.CDM Calculation'!O31</f>
        <v>35220.53790753425</v>
      </c>
      <c r="F121" s="268">
        <f t="shared" si="13"/>
        <v>302363.62790753425</v>
      </c>
      <c r="G121" s="445">
        <f>IF(G$8='5.Variables'!$B$10,+'5.Variables'!$F30,+IF(G$8='5.Variables'!$B$33,+'5.Variables'!$F53,+IF(G$8='5.Variables'!$B$56,+'5.Variables'!$F67,+IF(G$8='5.Variables'!$B$70,+'5.Variables'!$F81,+IF(G$8='5.Variables'!$B$84,+'5.Variables'!$F95,+IF(G$8='5.Variables'!$B$98,+'5.Variables'!$F109,0))))))</f>
        <v>389.7</v>
      </c>
      <c r="H121" s="445">
        <f>IF(H$8='5.Variables'!$B$10,+'5.Variables'!$F30,+IF(H$8='5.Variables'!$B$33,+'5.Variables'!$F53,+IF(H$8='5.Variables'!$B$56,+'5.Variables'!$F67,+IF(H$8='5.Variables'!$B$70,+'5.Variables'!$F81,+IF(H$8='5.Variables'!$B$84,+'5.Variables'!$F95,+IF(H$8='5.Variables'!$B$98,+'5.Variables'!$F109,0))))))</f>
        <v>0</v>
      </c>
      <c r="I121" s="445">
        <f>IF(I$8='5.Variables'!$B$10,+'5.Variables'!$F30,+IF(I$8='5.Variables'!$B$33,+'5.Variables'!$F53,+IF(I$8='5.Variables'!$B$56,+'5.Variables'!$F67,+IF(I$8='5.Variables'!$B$70,+'5.Variables'!$F81,+IF(I$8='5.Variables'!$B$84,+'5.Variables'!$F95,+IF(I$8='5.Variables'!$B$98,+'5.Variables'!$F109,0))))))</f>
        <v>30</v>
      </c>
      <c r="J121" s="445">
        <f>IF(J$8='5.Variables'!$B$10,+'5.Variables'!$F30,+IF(J$8='5.Variables'!$B$33,+'5.Variables'!$F53,+IF(J$8='5.Variables'!$B$56,+'5.Variables'!$F67,+IF(J$8='5.Variables'!$B$70,+'5.Variables'!$F81,+IF(J$8='5.Variables'!$B$84,+'5.Variables'!$F95,+IF(J$8='5.Variables'!$B$98,+'5.Variables'!$F109,0))))))</f>
        <v>1</v>
      </c>
      <c r="K121" s="445">
        <f>IF(K$8='5.Variables'!$B$10,+'5.Variables'!$F30,+IF(K$8='5.Variables'!$B$33,+'5.Variables'!$F53,+IF(K$8='5.Variables'!$B$56,+'5.Variables'!$F67,+IF(K$8='5.Variables'!$B$70,+'5.Variables'!$F81,+IF(K$8='5.Variables'!$B$84,+'5.Variables'!$F95,+IF(K$8='5.Variables'!$B$98,+'5.Variables'!$F109,0))))))</f>
        <v>0</v>
      </c>
      <c r="L121" s="445">
        <f>IF(L$8='5.Variables'!$B$10,+'5.Variables'!$F30,+IF(L$8='5.Variables'!$B$33,+'5.Variables'!$F53,+IF(L$8='5.Variables'!$B$56,+'5.Variables'!$F67,+IF(L$8='5.Variables'!$B$70,+'5.Variables'!$F81,+IF(L$8='5.Variables'!$B$84,+'5.Variables'!$F95,+IF(L$8='5.Variables'!$B$98,+'5.Variables'!$F109,0))))))</f>
        <v>0</v>
      </c>
      <c r="M121" s="240"/>
      <c r="N121" s="268">
        <f t="shared" si="11"/>
        <v>320658.46442952764</v>
      </c>
      <c r="O121" s="272"/>
      <c r="P121" s="240"/>
      <c r="Q121" s="288"/>
      <c r="R121" s="288"/>
      <c r="S121" s="288"/>
      <c r="T121" s="908"/>
      <c r="U121"/>
      <c r="V121"/>
      <c r="W121"/>
      <c r="X121"/>
      <c r="Y121"/>
      <c r="Z121" s="240"/>
      <c r="AA121" s="240"/>
      <c r="AB121" s="240"/>
      <c r="AC121" s="240"/>
      <c r="AD121" s="240"/>
      <c r="AE121" s="240"/>
      <c r="AF121" s="240"/>
      <c r="AG121" s="240"/>
      <c r="AH121" s="240"/>
      <c r="AI121" s="240"/>
    </row>
    <row r="122" spans="1:35" x14ac:dyDescent="0.2">
      <c r="A122" s="675">
        <f t="shared" si="12"/>
        <v>113</v>
      </c>
      <c r="B122" s="266" t="str">
        <f>CONCATENATE('3. Consumption by Rate Class'!B128,"-",'3. Consumption by Rate Class'!C128)</f>
        <v>2014-May</v>
      </c>
      <c r="C122" s="730">
        <f>'6. WS Regression Analysis'!E122/1.081</f>
        <v>291404.17</v>
      </c>
      <c r="D122" s="731"/>
      <c r="E122" s="731">
        <f>+'X.1.CDM Calculation'!O32</f>
        <v>36394.555837785389</v>
      </c>
      <c r="F122" s="268">
        <f t="shared" si="13"/>
        <v>327798.7258377854</v>
      </c>
      <c r="G122" s="445">
        <f>IF(G$8='5.Variables'!$B$10,+'5.Variables'!$G30,+IF(G$8='5.Variables'!$B$33,+'5.Variables'!$G53,+IF(G$8='5.Variables'!$B$56,+'5.Variables'!$G67,+IF(G$8='5.Variables'!$B$70,+'5.Variables'!$G81,+IF(G$8='5.Variables'!$B$84,+'5.Variables'!$G95,+IF(G$8='5.Variables'!$B$98,+'5.Variables'!$G109,0))))))</f>
        <v>174.6</v>
      </c>
      <c r="H122" s="445">
        <f>IF(H$8='5.Variables'!$B$10,+'5.Variables'!$G30,+IF(H$8='5.Variables'!$B$33,+'5.Variables'!$G53,+IF(H$8='5.Variables'!$B$56,+'5.Variables'!$G67,+IF(H$8='5.Variables'!$B$70,+'5.Variables'!$G81,+IF(H$8='5.Variables'!$B$84,+'5.Variables'!$G95,+IF(H$8='5.Variables'!$B$98,+'5.Variables'!$G109,0))))))</f>
        <v>4.0999999999999996</v>
      </c>
      <c r="I122" s="445">
        <f>IF(I$8='5.Variables'!$B$10,+'5.Variables'!$G30,+IF(I$8='5.Variables'!$B$33,+'5.Variables'!$G53,+IF(I$8='5.Variables'!$B$56,+'5.Variables'!$G67,+IF(I$8='5.Variables'!$B$70,+'5.Variables'!$G81,+IF(I$8='5.Variables'!$B$84,+'5.Variables'!$G95,+IF(I$8='5.Variables'!$B$98,+'5.Variables'!$G109,0))))))</f>
        <v>31</v>
      </c>
      <c r="J122" s="445">
        <f>IF(J$8='5.Variables'!$B$10,+'5.Variables'!$G30,+IF(J$8='5.Variables'!$B$33,+'5.Variables'!$G53,+IF(J$8='5.Variables'!$B$56,+'5.Variables'!$G67,+IF(J$8='5.Variables'!$B$70,+'5.Variables'!$G81,+IF(J$8='5.Variables'!$B$84,+'5.Variables'!$G95,+IF(J$8='5.Variables'!$B$98,+'5.Variables'!$G109,0))))))</f>
        <v>1</v>
      </c>
      <c r="K122" s="445">
        <f>IF(K$8='5.Variables'!$B$10,+'5.Variables'!$G30,+IF(K$8='5.Variables'!$B$33,+'5.Variables'!$G53,+IF(K$8='5.Variables'!$B$56,+'5.Variables'!$G67,+IF(K$8='5.Variables'!$B$70,+'5.Variables'!$G81,+IF(K$8='5.Variables'!$B$84,+'5.Variables'!$G95,+IF(K$8='5.Variables'!$B$98,+'5.Variables'!$G109,0))))))</f>
        <v>0</v>
      </c>
      <c r="L122" s="445">
        <f>IF(L$8='5.Variables'!$B$10,+'5.Variables'!$G30,+IF(L$8='5.Variables'!$B$33,+'5.Variables'!$G53,+IF(L$8='5.Variables'!$B$56,+'5.Variables'!$G67,+IF(L$8='5.Variables'!$B$70,+'5.Variables'!$G81,+IF(L$8='5.Variables'!$B$84,+'5.Variables'!$G95,+IF(L$8='5.Variables'!$B$98,+'5.Variables'!$G109,0))))))</f>
        <v>0</v>
      </c>
      <c r="M122" s="240"/>
      <c r="N122" s="268">
        <f t="shared" si="11"/>
        <v>344681.70037551614</v>
      </c>
      <c r="O122" s="272"/>
      <c r="P122" s="240"/>
      <c r="Q122" s="288"/>
      <c r="R122" s="288"/>
      <c r="S122" s="288"/>
      <c r="T122" s="908"/>
      <c r="U122"/>
      <c r="V122"/>
      <c r="W122"/>
      <c r="X122"/>
      <c r="Y122"/>
      <c r="Z122" s="240"/>
      <c r="AA122" s="240"/>
      <c r="AB122" s="240"/>
      <c r="AC122" s="240"/>
      <c r="AD122" s="240"/>
      <c r="AE122" s="240"/>
      <c r="AF122" s="240"/>
      <c r="AG122" s="240"/>
      <c r="AH122" s="240"/>
      <c r="AI122" s="240"/>
    </row>
    <row r="123" spans="1:35" x14ac:dyDescent="0.2">
      <c r="A123" s="675">
        <f t="shared" si="12"/>
        <v>114</v>
      </c>
      <c r="B123" s="266" t="str">
        <f>CONCATENATE('3. Consumption by Rate Class'!B129,"-",'3. Consumption by Rate Class'!C129)</f>
        <v>2014-June</v>
      </c>
      <c r="C123" s="730">
        <f>'6. WS Regression Analysis'!E123/1.081</f>
        <v>307103.05</v>
      </c>
      <c r="D123" s="731"/>
      <c r="E123" s="731">
        <f>+'X.1.CDM Calculation'!O33</f>
        <v>30800.936426555989</v>
      </c>
      <c r="F123" s="268">
        <f t="shared" si="13"/>
        <v>337903.98642655596</v>
      </c>
      <c r="G123" s="445">
        <f>IF(G$8='5.Variables'!$B$10,+'5.Variables'!$H30,+IF(G$8='5.Variables'!$B$33,+'5.Variables'!$H53,+IF(G$8='5.Variables'!$B$56,+'5.Variables'!$H67,+IF(G$8='5.Variables'!$B$70,+'5.Variables'!$H81,+IF(G$8='5.Variables'!$B$84,+'5.Variables'!$H95,+IF(G$8='5.Variables'!$B$98,+'5.Variables'!$H109,0))))))</f>
        <v>57.2</v>
      </c>
      <c r="H123" s="445">
        <f>IF(H$8='5.Variables'!$B$10,+'5.Variables'!$H30,+IF(H$8='5.Variables'!$B$33,+'5.Variables'!$H53,+IF(H$8='5.Variables'!$B$56,+'5.Variables'!$H67,+IF(H$8='5.Variables'!$B$70,+'5.Variables'!$H81,+IF(H$8='5.Variables'!$B$84,+'5.Variables'!$H95,+IF(H$8='5.Variables'!$B$98,+'5.Variables'!$H109,0))))))</f>
        <v>41.5</v>
      </c>
      <c r="I123" s="445">
        <f>IF(I$8='5.Variables'!$B$10,+'5.Variables'!$H30,+IF(I$8='5.Variables'!$B$33,+'5.Variables'!$H53,+IF(I$8='5.Variables'!$B$56,+'5.Variables'!$H67,+IF(I$8='5.Variables'!$B$70,+'5.Variables'!$H81,+IF(I$8='5.Variables'!$B$84,+'5.Variables'!$H95,+IF(I$8='5.Variables'!$B$98,+'5.Variables'!$H109,0))))))</f>
        <v>30</v>
      </c>
      <c r="J123" s="445">
        <f>IF(J$8='5.Variables'!$B$10,+'5.Variables'!$H30,+IF(J$8='5.Variables'!$B$33,+'5.Variables'!$H53,+IF(J$8='5.Variables'!$B$56,+'5.Variables'!$H67,+IF(J$8='5.Variables'!$B$70,+'5.Variables'!$H81,+IF(J$8='5.Variables'!$B$84,+'5.Variables'!$H95,+IF(J$8='5.Variables'!$B$98,+'5.Variables'!$H109,0))))))</f>
        <v>0</v>
      </c>
      <c r="K123" s="445">
        <f>IF(K$8='5.Variables'!$B$10,+'5.Variables'!$H30,+IF(K$8='5.Variables'!$B$33,+'5.Variables'!$H53,+IF(K$8='5.Variables'!$B$56,+'5.Variables'!$H67,+IF(K$8='5.Variables'!$B$70,+'5.Variables'!$H81,+IF(K$8='5.Variables'!$B$84,+'5.Variables'!$H95,+IF(K$8='5.Variables'!$B$98,+'5.Variables'!$H109,0))))))</f>
        <v>0</v>
      </c>
      <c r="L123" s="445">
        <f>IF(L$8='5.Variables'!$B$10,+'5.Variables'!$H30,+IF(L$8='5.Variables'!$B$33,+'5.Variables'!$H53,+IF(L$8='5.Variables'!$B$56,+'5.Variables'!$H67,+IF(L$8='5.Variables'!$B$70,+'5.Variables'!$H81,+IF(L$8='5.Variables'!$B$84,+'5.Variables'!$H95,+IF(L$8='5.Variables'!$B$98,+'5.Variables'!$H109,0))))))</f>
        <v>0</v>
      </c>
      <c r="M123" s="240"/>
      <c r="N123" s="268">
        <f t="shared" si="11"/>
        <v>363697.81128612254</v>
      </c>
      <c r="O123" s="272"/>
      <c r="P123" s="240"/>
      <c r="Q123" s="288"/>
      <c r="R123" s="288"/>
      <c r="S123" s="288"/>
      <c r="T123" s="908"/>
      <c r="U123"/>
      <c r="V123"/>
      <c r="W123"/>
      <c r="X123"/>
      <c r="Y123"/>
      <c r="Z123" s="240"/>
      <c r="AA123" s="240"/>
      <c r="AB123" s="240"/>
      <c r="AC123" s="240"/>
      <c r="AD123" s="240"/>
      <c r="AE123" s="240"/>
      <c r="AF123" s="240"/>
      <c r="AG123" s="240"/>
      <c r="AH123" s="240"/>
      <c r="AI123" s="240"/>
    </row>
    <row r="124" spans="1:35" x14ac:dyDescent="0.2">
      <c r="A124" s="675">
        <f t="shared" si="12"/>
        <v>115</v>
      </c>
      <c r="B124" s="266" t="str">
        <f>CONCATENATE('3. Consumption by Rate Class'!B130,"-",'3. Consumption by Rate Class'!C130)</f>
        <v>2014-July</v>
      </c>
      <c r="C124" s="730">
        <f>'6. WS Regression Analysis'!E124/1.081</f>
        <v>325022.97872340429</v>
      </c>
      <c r="D124" s="731"/>
      <c r="E124" s="731">
        <f>+'X.1.CDM Calculation'!O34</f>
        <v>31827.634307441193</v>
      </c>
      <c r="F124" s="268">
        <f t="shared" si="13"/>
        <v>356850.61303084547</v>
      </c>
      <c r="G124" s="445">
        <f>IF(G$8='5.Variables'!$B$10,+'5.Variables'!$I30,+IF(G$8='5.Variables'!$B$33,+'5.Variables'!$I53,+IF(G$8='5.Variables'!$B$56,+'5.Variables'!$I67,+IF(G$8='5.Variables'!$B$70,+'5.Variables'!$I81,+IF(G$8='5.Variables'!$B$84,+'5.Variables'!$I95,+IF(G$8='5.Variables'!$B$98,+'5.Variables'!$I109,0))))))</f>
        <v>29.7</v>
      </c>
      <c r="H124" s="445">
        <f>IF(H$8='5.Variables'!$B$10,+'5.Variables'!$I30,+IF(H$8='5.Variables'!$B$33,+'5.Variables'!$I53,+IF(H$8='5.Variables'!$B$56,+'5.Variables'!$I67,+IF(H$8='5.Variables'!$B$70,+'5.Variables'!$I81,+IF(H$8='5.Variables'!$B$84,+'5.Variables'!$I95,+IF(H$8='5.Variables'!$B$98,+'5.Variables'!$I109,0))))))</f>
        <v>50.3</v>
      </c>
      <c r="I124" s="445">
        <f>IF(I$8='5.Variables'!$B$10,+'5.Variables'!$I30,+IF(I$8='5.Variables'!$B$33,+'5.Variables'!$I53,+IF(I$8='5.Variables'!$B$56,+'5.Variables'!$I67,+IF(I$8='5.Variables'!$B$70,+'5.Variables'!$I81,+IF(I$8='5.Variables'!$B$84,+'5.Variables'!$I95,+IF(I$8='5.Variables'!$B$98,+'5.Variables'!$I109,0))))))</f>
        <v>31</v>
      </c>
      <c r="J124" s="445">
        <f>IF(J$8='5.Variables'!$B$10,+'5.Variables'!$I30,+IF(J$8='5.Variables'!$B$33,+'5.Variables'!$I53,+IF(J$8='5.Variables'!$B$56,+'5.Variables'!$I67,+IF(J$8='5.Variables'!$B$70,+'5.Variables'!$I81,+IF(J$8='5.Variables'!$B$84,+'5.Variables'!$I95,+IF(J$8='5.Variables'!$B$98,+'5.Variables'!$I109,0))))))</f>
        <v>0</v>
      </c>
      <c r="K124" s="445">
        <f>IF(K$8='5.Variables'!$B$10,+'5.Variables'!$I30,+IF(K$8='5.Variables'!$B$33,+'5.Variables'!$I53,+IF(K$8='5.Variables'!$B$56,+'5.Variables'!$I67,+IF(K$8='5.Variables'!$B$70,+'5.Variables'!$I81,+IF(K$8='5.Variables'!$B$84,+'5.Variables'!$I95,+IF(K$8='5.Variables'!$B$98,+'5.Variables'!$I109,0))))))</f>
        <v>0</v>
      </c>
      <c r="L124" s="445">
        <f>IF(L$8='5.Variables'!$B$10,+'5.Variables'!$I30,+IF(L$8='5.Variables'!$B$33,+'5.Variables'!$I53,+IF(L$8='5.Variables'!$B$56,+'5.Variables'!$I67,+IF(L$8='5.Variables'!$B$70,+'5.Variables'!$I81,+IF(L$8='5.Variables'!$B$84,+'5.Variables'!$I95,+IF(L$8='5.Variables'!$B$98,+'5.Variables'!$I109,0))))))</f>
        <v>0</v>
      </c>
      <c r="M124" s="240"/>
      <c r="N124" s="268">
        <f t="shared" si="11"/>
        <v>380439.72034207068</v>
      </c>
      <c r="O124" s="272"/>
      <c r="P124" s="240"/>
      <c r="Q124" s="288"/>
      <c r="R124" s="288"/>
      <c r="S124" s="288"/>
      <c r="T124" s="908"/>
      <c r="U124"/>
      <c r="V124"/>
      <c r="W124"/>
      <c r="X124"/>
      <c r="Y124"/>
      <c r="Z124" s="240"/>
      <c r="AA124" s="240"/>
      <c r="AB124" s="240"/>
      <c r="AC124" s="240"/>
      <c r="AD124" s="240"/>
      <c r="AE124" s="240"/>
      <c r="AF124" s="240"/>
      <c r="AG124" s="240"/>
      <c r="AH124" s="240"/>
      <c r="AI124" s="240"/>
    </row>
    <row r="125" spans="1:35" x14ac:dyDescent="0.2">
      <c r="A125" s="675">
        <f t="shared" si="12"/>
        <v>116</v>
      </c>
      <c r="B125" s="266" t="str">
        <f>CONCATENATE('3. Consumption by Rate Class'!B131,"-",'3. Consumption by Rate Class'!C131)</f>
        <v>2014-August</v>
      </c>
      <c r="C125" s="730">
        <f>'6. WS Regression Analysis'!E125/1.081</f>
        <v>339893.86679000926</v>
      </c>
      <c r="D125" s="731"/>
      <c r="E125" s="731">
        <f>+'X.1.CDM Calculation'!O35</f>
        <v>31827.634307441193</v>
      </c>
      <c r="F125" s="268">
        <f t="shared" si="13"/>
        <v>371721.50109745044</v>
      </c>
      <c r="G125" s="445">
        <f>IF(G$8='5.Variables'!$B$10,+'5.Variables'!$J30,+IF(G$8='5.Variables'!$B$33,+'5.Variables'!$J53,+IF(G$8='5.Variables'!$B$56,+'5.Variables'!$J67,+IF(G$8='5.Variables'!$B$70,+'5.Variables'!$J81,+IF(G$8='5.Variables'!$B$84,+'5.Variables'!$J95,+IF(G$8='5.Variables'!$B$98,+'5.Variables'!$J109,0))))))</f>
        <v>24.1</v>
      </c>
      <c r="H125" s="445">
        <f>IF(H$8='5.Variables'!$B$10,+'5.Variables'!$J30,+IF(H$8='5.Variables'!$B$33,+'5.Variables'!$J53,+IF(H$8='5.Variables'!$B$56,+'5.Variables'!$J67,+IF(H$8='5.Variables'!$B$70,+'5.Variables'!$J81,+IF(H$8='5.Variables'!$B$84,+'5.Variables'!$J95,+IF(H$8='5.Variables'!$B$98,+'5.Variables'!$J109,0))))))</f>
        <v>45.9</v>
      </c>
      <c r="I125" s="445">
        <f>IF(I$8='5.Variables'!$B$10,+'5.Variables'!$J30,+IF(I$8='5.Variables'!$B$33,+'5.Variables'!$J53,+IF(I$8='5.Variables'!$B$56,+'5.Variables'!$J67,+IF(I$8='5.Variables'!$B$70,+'5.Variables'!$J81,+IF(I$8='5.Variables'!$B$84,+'5.Variables'!$J95,+IF(I$8='5.Variables'!$B$98,+'5.Variables'!$J109,0))))))</f>
        <v>31</v>
      </c>
      <c r="J125" s="445">
        <f>IF(J$8='5.Variables'!$B$10,+'5.Variables'!$J30,+IF(J$8='5.Variables'!$B$33,+'5.Variables'!$J53,+IF(J$8='5.Variables'!$B$56,+'5.Variables'!$J67,+IF(J$8='5.Variables'!$B$70,+'5.Variables'!$J81,+IF(J$8='5.Variables'!$B$84,+'5.Variables'!$J95,+IF(J$8='5.Variables'!$B$98,+'5.Variables'!$J109,0))))))</f>
        <v>0</v>
      </c>
      <c r="K125" s="445">
        <f>IF(K$8='5.Variables'!$B$10,+'5.Variables'!$J30,+IF(K$8='5.Variables'!$B$33,+'5.Variables'!$J53,+IF(K$8='5.Variables'!$B$56,+'5.Variables'!$J67,+IF(K$8='5.Variables'!$B$70,+'5.Variables'!$J81,+IF(K$8='5.Variables'!$B$84,+'5.Variables'!$J95,+IF(K$8='5.Variables'!$B$98,+'5.Variables'!$J109,0))))))</f>
        <v>0</v>
      </c>
      <c r="L125" s="445">
        <f>IF(L$8='5.Variables'!$B$10,+'5.Variables'!$J30,+IF(L$8='5.Variables'!$B$33,+'5.Variables'!$J53,+IF(L$8='5.Variables'!$B$56,+'5.Variables'!$J67,+IF(L$8='5.Variables'!$B$70,+'5.Variables'!$J81,+IF(L$8='5.Variables'!$B$84,+'5.Variables'!$J95,+IF(L$8='5.Variables'!$B$98,+'5.Variables'!$J109,0))))))</f>
        <v>0</v>
      </c>
      <c r="M125" s="240"/>
      <c r="N125" s="268">
        <f t="shared" si="11"/>
        <v>379024.76956207823</v>
      </c>
      <c r="O125" s="272"/>
      <c r="P125" s="240"/>
      <c r="Q125" s="288"/>
      <c r="R125" s="288"/>
      <c r="S125" s="288"/>
      <c r="T125" s="908"/>
      <c r="U125"/>
      <c r="V125"/>
      <c r="W125"/>
      <c r="X125"/>
      <c r="Y125"/>
      <c r="Z125" s="240"/>
      <c r="AA125" s="240"/>
      <c r="AB125" s="240"/>
      <c r="AC125" s="240"/>
      <c r="AD125" s="240"/>
      <c r="AE125" s="240"/>
      <c r="AF125" s="240"/>
      <c r="AG125" s="240"/>
      <c r="AH125" s="240"/>
      <c r="AI125" s="240"/>
    </row>
    <row r="126" spans="1:35" x14ac:dyDescent="0.2">
      <c r="A126" s="675">
        <f t="shared" si="12"/>
        <v>117</v>
      </c>
      <c r="B126" s="266" t="str">
        <f>CONCATENATE('3. Consumption by Rate Class'!B132,"-",'3. Consumption by Rate Class'!C132)</f>
        <v>2014-September</v>
      </c>
      <c r="C126" s="730">
        <f>'6. WS Regression Analysis'!E126/1.081</f>
        <v>300631.42460684554</v>
      </c>
      <c r="D126" s="731"/>
      <c r="E126" s="731">
        <f>+'X.1.CDM Calculation'!O36</f>
        <v>35220.53790753425</v>
      </c>
      <c r="F126" s="268">
        <f t="shared" si="13"/>
        <v>335851.96251437976</v>
      </c>
      <c r="G126" s="445">
        <f>IF(G$8='5.Variables'!$B$10,+'5.Variables'!$K30,+IF(G$8='5.Variables'!$B$33,+'5.Variables'!$K53,+IF(G$8='5.Variables'!$B$56,+'5.Variables'!$K67,+IF(G$8='5.Variables'!$B$70,+'5.Variables'!$K81,+IF(G$8='5.Variables'!$B$84,+'5.Variables'!$K95,+IF(G$8='5.Variables'!$B$98,+'5.Variables'!$K109,0))))))</f>
        <v>86.3</v>
      </c>
      <c r="H126" s="445">
        <f>IF(H$8='5.Variables'!$B$10,+'5.Variables'!$K30,+IF(H$8='5.Variables'!$B$33,+'5.Variables'!$K53,+IF(H$8='5.Variables'!$B$56,+'5.Variables'!$K67,+IF(H$8='5.Variables'!$B$70,+'5.Variables'!$K81,+IF(H$8='5.Variables'!$B$84,+'5.Variables'!$K95,+IF(H$8='5.Variables'!$B$98,+'5.Variables'!$K109,0))))))</f>
        <v>21.4</v>
      </c>
      <c r="I126" s="445">
        <f>IF(I$8='5.Variables'!$B$10,+'5.Variables'!$K30,+IF(I$8='5.Variables'!$B$33,+'5.Variables'!$K53,+IF(I$8='5.Variables'!$B$56,+'5.Variables'!$K67,+IF(I$8='5.Variables'!$B$70,+'5.Variables'!$K81,+IF(I$8='5.Variables'!$B$84,+'5.Variables'!$K95,+IF(I$8='5.Variables'!$B$98,+'5.Variables'!$K109,0))))))</f>
        <v>30</v>
      </c>
      <c r="J126" s="445">
        <f>IF(J$8='5.Variables'!$B$10,+'5.Variables'!$K30,+IF(J$8='5.Variables'!$B$33,+'5.Variables'!$K53,+IF(J$8='5.Variables'!$B$56,+'5.Variables'!$K67,+IF(J$8='5.Variables'!$B$70,+'5.Variables'!$K81,+IF(J$8='5.Variables'!$B$84,+'5.Variables'!$K95,+IF(J$8='5.Variables'!$B$98,+'5.Variables'!$K109,0))))))</f>
        <v>1</v>
      </c>
      <c r="K126" s="445">
        <f>IF(K$8='5.Variables'!$B$10,+'5.Variables'!$K30,+IF(K$8='5.Variables'!$B$33,+'5.Variables'!$K53,+IF(K$8='5.Variables'!$B$56,+'5.Variables'!$K67,+IF(K$8='5.Variables'!$B$70,+'5.Variables'!$K81,+IF(K$8='5.Variables'!$B$84,+'5.Variables'!$K95,+IF(K$8='5.Variables'!$B$98,+'5.Variables'!$K109,0))))))</f>
        <v>0</v>
      </c>
      <c r="L126" s="445">
        <f>IF(L$8='5.Variables'!$B$10,+'5.Variables'!$K30,+IF(L$8='5.Variables'!$B$33,+'5.Variables'!$K53,+IF(L$8='5.Variables'!$B$56,+'5.Variables'!$K67,+IF(L$8='5.Variables'!$B$70,+'5.Variables'!$K81,+IF(L$8='5.Variables'!$B$84,+'5.Variables'!$K95,+IF(L$8='5.Variables'!$B$98,+'5.Variables'!$K109,0))))))</f>
        <v>0</v>
      </c>
      <c r="M126" s="240"/>
      <c r="N126" s="268">
        <f t="shared" si="11"/>
        <v>343547.49720592308</v>
      </c>
      <c r="O126" s="272"/>
      <c r="P126" s="240"/>
      <c r="Q126" s="288"/>
      <c r="R126" s="288"/>
      <c r="S126" s="288"/>
      <c r="T126" s="908"/>
      <c r="U126"/>
      <c r="V126"/>
      <c r="W126"/>
      <c r="X126"/>
      <c r="Y126"/>
      <c r="Z126" s="240"/>
      <c r="AA126" s="240"/>
      <c r="AB126" s="240"/>
      <c r="AC126" s="240"/>
      <c r="AD126" s="240"/>
      <c r="AE126" s="240"/>
      <c r="AF126" s="240"/>
      <c r="AG126" s="240"/>
      <c r="AH126" s="240"/>
      <c r="AI126" s="240"/>
    </row>
    <row r="127" spans="1:35" x14ac:dyDescent="0.2">
      <c r="A127" s="675">
        <f t="shared" si="12"/>
        <v>118</v>
      </c>
      <c r="B127" s="266" t="str">
        <f>CONCATENATE('3. Consumption by Rate Class'!B133,"-",'3. Consumption by Rate Class'!C133)</f>
        <v>2014-October</v>
      </c>
      <c r="C127" s="730">
        <f>'6. WS Regression Analysis'!E127/1.081</f>
        <v>285924.12580943567</v>
      </c>
      <c r="D127" s="731"/>
      <c r="E127" s="731">
        <f>+'X.1.CDM Calculation'!O37</f>
        <v>36394.555837785389</v>
      </c>
      <c r="F127" s="268">
        <f t="shared" si="13"/>
        <v>322318.68164722109</v>
      </c>
      <c r="G127" s="445">
        <f>IF(G$8='5.Variables'!$B$10,+'5.Variables'!$L30,+IF(G$8='5.Variables'!$B$33,+'5.Variables'!$L53,+IF(G$8='5.Variables'!$B$56,+'5.Variables'!$L67,+IF(G$8='5.Variables'!$B$70,+'5.Variables'!$L81,+IF(G$8='5.Variables'!$B$84,+'5.Variables'!$L95,+IF(G$8='5.Variables'!$B$98,+'5.Variables'!$L109,0))))))</f>
        <v>238.8</v>
      </c>
      <c r="H127" s="445">
        <f>IF(H$8='5.Variables'!$B$10,+'5.Variables'!$L30,+IF(H$8='5.Variables'!$B$33,+'5.Variables'!$L53,+IF(H$8='5.Variables'!$B$56,+'5.Variables'!$L67,+IF(H$8='5.Variables'!$B$70,+'5.Variables'!$L81,+IF(H$8='5.Variables'!$B$84,+'5.Variables'!$L95,+IF(H$8='5.Variables'!$B$98,+'5.Variables'!$L109,0))))))</f>
        <v>1.2</v>
      </c>
      <c r="I127" s="445">
        <f>IF(I$8='5.Variables'!$B$10,+'5.Variables'!$L30,+IF(I$8='5.Variables'!$B$33,+'5.Variables'!$L53,+IF(I$8='5.Variables'!$B$56,+'5.Variables'!$L67,+IF(I$8='5.Variables'!$B$70,+'5.Variables'!$L81,+IF(I$8='5.Variables'!$B$84,+'5.Variables'!$L95,+IF(I$8='5.Variables'!$B$98,+'5.Variables'!$L109,0))))))</f>
        <v>31</v>
      </c>
      <c r="J127" s="445">
        <f>IF(J$8='5.Variables'!$B$10,+'5.Variables'!$L30,+IF(J$8='5.Variables'!$B$33,+'5.Variables'!$L53,+IF(J$8='5.Variables'!$B$56,+'5.Variables'!$L67,+IF(J$8='5.Variables'!$B$70,+'5.Variables'!$L81,+IF(J$8='5.Variables'!$B$84,+'5.Variables'!$L95,+IF(J$8='5.Variables'!$B$98,+'5.Variables'!$L109,0))))))</f>
        <v>1</v>
      </c>
      <c r="K127" s="445">
        <f>IF(K$8='5.Variables'!$B$10,+'5.Variables'!$L30,+IF(K$8='5.Variables'!$B$33,+'5.Variables'!$L53,+IF(K$8='5.Variables'!$B$56,+'5.Variables'!$L67,+IF(K$8='5.Variables'!$B$70,+'5.Variables'!$L81,+IF(K$8='5.Variables'!$B$84,+'5.Variables'!$L95,+IF(K$8='5.Variables'!$B$98,+'5.Variables'!$L109,0))))))</f>
        <v>0</v>
      </c>
      <c r="L127" s="445">
        <f>IF(L$8='5.Variables'!$B$10,+'5.Variables'!$L30,+IF(L$8='5.Variables'!$B$33,+'5.Variables'!$L53,+IF(L$8='5.Variables'!$B$56,+'5.Variables'!$L67,+IF(L$8='5.Variables'!$B$70,+'5.Variables'!$L81,+IF(L$8='5.Variables'!$B$84,+'5.Variables'!$L95,+IF(L$8='5.Variables'!$B$98,+'5.Variables'!$L109,0))))))</f>
        <v>0</v>
      </c>
      <c r="M127" s="240"/>
      <c r="N127" s="268">
        <f t="shared" si="11"/>
        <v>340462.29022523225</v>
      </c>
      <c r="O127" s="272"/>
      <c r="P127" s="240"/>
      <c r="Q127" s="288"/>
      <c r="R127" s="288"/>
      <c r="S127" s="288"/>
      <c r="T127" s="908"/>
      <c r="U127"/>
      <c r="V127"/>
      <c r="W127"/>
      <c r="X127"/>
      <c r="Y127"/>
      <c r="Z127" s="240"/>
      <c r="AA127" s="240"/>
      <c r="AB127" s="240"/>
      <c r="AC127" s="240"/>
      <c r="AD127" s="240"/>
      <c r="AE127" s="240"/>
      <c r="AF127" s="240"/>
      <c r="AG127" s="240"/>
      <c r="AH127" s="240"/>
      <c r="AI127" s="240"/>
    </row>
    <row r="128" spans="1:35" x14ac:dyDescent="0.2">
      <c r="A128" s="675">
        <f t="shared" si="12"/>
        <v>119</v>
      </c>
      <c r="B128" s="266" t="str">
        <f>CONCATENATE('3. Consumption by Rate Class'!B134,"-",'3. Consumption by Rate Class'!C134)</f>
        <v>2014-November</v>
      </c>
      <c r="C128" s="730">
        <f>'6. WS Regression Analysis'!E128/1.081</f>
        <v>263843.87604070303</v>
      </c>
      <c r="D128" s="731"/>
      <c r="E128" s="731">
        <f>+'X.1.CDM Calculation'!O38</f>
        <v>35220.53790753425</v>
      </c>
      <c r="F128" s="268">
        <f t="shared" si="13"/>
        <v>299064.41394823731</v>
      </c>
      <c r="G128" s="445">
        <f>IF(G$8='5.Variables'!$B$10,+'5.Variables'!$M30,+IF(G$8='5.Variables'!$B$33,+'5.Variables'!$M53,+IF(G$8='5.Variables'!$B$56,+'5.Variables'!$M67,+IF(G$8='5.Variables'!$B$70,+'5.Variables'!$M81,+IF(G$8='5.Variables'!$B$84,+'5.Variables'!$M95,+IF(G$8='5.Variables'!$B$98,+'5.Variables'!$M109,0))))))</f>
        <v>460.7</v>
      </c>
      <c r="H128" s="445">
        <f>IF(H$8='5.Variables'!$B$10,+'5.Variables'!$M30,+IF(H$8='5.Variables'!$B$33,+'5.Variables'!$M53,+IF(H$8='5.Variables'!$B$56,+'5.Variables'!$M67,+IF(H$8='5.Variables'!$B$70,+'5.Variables'!$M81,+IF(H$8='5.Variables'!$B$84,+'5.Variables'!$M95,+IF(H$8='5.Variables'!$B$98,+'5.Variables'!$M109,0))))))</f>
        <v>0</v>
      </c>
      <c r="I128" s="445">
        <f>IF(I$8='5.Variables'!$B$10,+'5.Variables'!$M30,+IF(I$8='5.Variables'!$B$33,+'5.Variables'!$M53,+IF(I$8='5.Variables'!$B$56,+'5.Variables'!$M67,+IF(I$8='5.Variables'!$B$70,+'5.Variables'!$M81,+IF(I$8='5.Variables'!$B$84,+'5.Variables'!$M95,+IF(I$8='5.Variables'!$B$98,+'5.Variables'!$M109,0))))))</f>
        <v>30</v>
      </c>
      <c r="J128" s="445">
        <f>IF(J$8='5.Variables'!$B$10,+'5.Variables'!$M30,+IF(J$8='5.Variables'!$B$33,+'5.Variables'!$M53,+IF(J$8='5.Variables'!$B$56,+'5.Variables'!$M67,+IF(J$8='5.Variables'!$B$70,+'5.Variables'!$M81,+IF(J$8='5.Variables'!$B$84,+'5.Variables'!$M95,+IF(J$8='5.Variables'!$B$98,+'5.Variables'!$M109,0))))))</f>
        <v>1</v>
      </c>
      <c r="K128" s="445">
        <f>IF(K$8='5.Variables'!$B$10,+'5.Variables'!$M30,+IF(K$8='5.Variables'!$B$33,+'5.Variables'!$M53,+IF(K$8='5.Variables'!$B$56,+'5.Variables'!$M67,+IF(K$8='5.Variables'!$B$70,+'5.Variables'!$M81,+IF(K$8='5.Variables'!$B$84,+'5.Variables'!$M95,+IF(K$8='5.Variables'!$B$98,+'5.Variables'!$M109,0))))))</f>
        <v>0</v>
      </c>
      <c r="L128" s="445">
        <f>IF(L$8='5.Variables'!$B$10,+'5.Variables'!$M30,+IF(L$8='5.Variables'!$B$33,+'5.Variables'!$M53,+IF(L$8='5.Variables'!$B$56,+'5.Variables'!$M67,+IF(L$8='5.Variables'!$B$70,+'5.Variables'!$M81,+IF(L$8='5.Variables'!$B$84,+'5.Variables'!$M95,+IF(L$8='5.Variables'!$B$98,+'5.Variables'!$M109,0))))))</f>
        <v>0</v>
      </c>
      <c r="M128" s="240"/>
      <c r="N128" s="268">
        <f t="shared" si="11"/>
        <v>317221.11384922423</v>
      </c>
      <c r="O128" s="272"/>
      <c r="P128" s="240"/>
      <c r="Q128" s="288"/>
      <c r="R128" s="288"/>
      <c r="S128" s="288"/>
      <c r="T128" s="908"/>
      <c r="U128"/>
      <c r="V128"/>
      <c r="W128"/>
      <c r="X128"/>
      <c r="Y128"/>
      <c r="Z128" s="240"/>
      <c r="AA128" s="240"/>
      <c r="AB128" s="240"/>
      <c r="AC128" s="240"/>
      <c r="AD128" s="240"/>
      <c r="AE128" s="240"/>
      <c r="AF128" s="240"/>
      <c r="AG128" s="240"/>
      <c r="AH128" s="240"/>
      <c r="AI128" s="240"/>
    </row>
    <row r="129" spans="1:35" x14ac:dyDescent="0.2">
      <c r="A129" s="675">
        <f t="shared" si="12"/>
        <v>120</v>
      </c>
      <c r="B129" s="266" t="str">
        <f>CONCATENATE('3. Consumption by Rate Class'!B135,"-",'3. Consumption by Rate Class'!C135)</f>
        <v>2014-December</v>
      </c>
      <c r="C129" s="730">
        <f>'6. WS Regression Analysis'!E129/1.081</f>
        <v>269667.73358001851</v>
      </c>
      <c r="D129" s="731"/>
      <c r="E129" s="731">
        <f>+'X.1.CDM Calculation'!O39</f>
        <v>36394.555837785389</v>
      </c>
      <c r="F129" s="268">
        <f t="shared" si="13"/>
        <v>306062.28941780387</v>
      </c>
      <c r="G129" s="445">
        <f>IF(G$8='5.Variables'!$B$10,+'5.Variables'!$N30,+IF(G$8='5.Variables'!$B$33,+'5.Variables'!$N53,+IF(G$8='5.Variables'!$B$56,+'5.Variables'!$N67,+IF(G$8='5.Variables'!$B$70,+'5.Variables'!$N81,+IF(G$8='5.Variables'!$B$84,+'5.Variables'!$N95,+IF(G$8='5.Variables'!$B$98,+'5.Variables'!$N109,0))))))</f>
        <v>537.70000000000005</v>
      </c>
      <c r="H129" s="445">
        <f>IF(H$8='5.Variables'!$B$10,+'5.Variables'!$N30,+IF(H$8='5.Variables'!$B$33,+'5.Variables'!$N53,+IF(H$8='5.Variables'!$B$56,+'5.Variables'!$N67,+IF(H$8='5.Variables'!$B$70,+'5.Variables'!$N81,+IF(H$8='5.Variables'!$B$84,+'5.Variables'!$N95,+IF(H$8='5.Variables'!$B$98,+'5.Variables'!$N109,0))))))</f>
        <v>0</v>
      </c>
      <c r="I129" s="445">
        <f>IF(I$8='5.Variables'!$B$10,+'5.Variables'!$N30,+IF(I$8='5.Variables'!$B$33,+'5.Variables'!$N53,+IF(I$8='5.Variables'!$B$56,+'5.Variables'!$N67,+IF(I$8='5.Variables'!$B$70,+'5.Variables'!$N81,+IF(I$8='5.Variables'!$B$84,+'5.Variables'!$N95,+IF(I$8='5.Variables'!$B$98,+'5.Variables'!$N109,0))))))</f>
        <v>31</v>
      </c>
      <c r="J129" s="445">
        <f>IF(J$8='5.Variables'!$B$10,+'5.Variables'!$N30,+IF(J$8='5.Variables'!$B$33,+'5.Variables'!$N53,+IF(J$8='5.Variables'!$B$56,+'5.Variables'!$N67,+IF(J$8='5.Variables'!$B$70,+'5.Variables'!$N81,+IF(J$8='5.Variables'!$B$84,+'5.Variables'!$N95,+IF(J$8='5.Variables'!$B$98,+'5.Variables'!$N109,0))))))</f>
        <v>0</v>
      </c>
      <c r="K129" s="445">
        <f>IF(K$8='5.Variables'!$B$10,+'5.Variables'!$N30,+IF(K$8='5.Variables'!$B$33,+'5.Variables'!$N53,+IF(K$8='5.Variables'!$B$56,+'5.Variables'!$N67,+IF(K$8='5.Variables'!$B$70,+'5.Variables'!$N81,+IF(K$8='5.Variables'!$B$84,+'5.Variables'!$N95,+IF(K$8='5.Variables'!$B$98,+'5.Variables'!$N109,0))))))</f>
        <v>0</v>
      </c>
      <c r="L129" s="445">
        <f>IF(L$8='5.Variables'!$B$10,+'5.Variables'!$N30,+IF(L$8='5.Variables'!$B$33,+'5.Variables'!$N53,+IF(L$8='5.Variables'!$B$56,+'5.Variables'!$N67,+IF(L$8='5.Variables'!$B$70,+'5.Variables'!$N81,+IF(L$8='5.Variables'!$B$84,+'5.Variables'!$N95,+IF(L$8='5.Variables'!$B$98,+'5.Variables'!$N109,0))))))</f>
        <v>0</v>
      </c>
      <c r="M129" s="240"/>
      <c r="N129" s="268">
        <f t="shared" si="11"/>
        <v>336570.92184930155</v>
      </c>
      <c r="O129" s="272">
        <f>SUM(N118:N129)</f>
        <v>4055791.4113826836</v>
      </c>
      <c r="P129" s="240"/>
      <c r="Q129" s="288"/>
      <c r="R129" s="288"/>
      <c r="S129" s="288"/>
      <c r="T129" s="908"/>
      <c r="U129"/>
      <c r="V129"/>
      <c r="W129"/>
      <c r="X129"/>
      <c r="Y129"/>
      <c r="Z129" s="240"/>
      <c r="AA129" s="240"/>
      <c r="AB129" s="240"/>
      <c r="AC129" s="240"/>
      <c r="AD129" s="240"/>
      <c r="AE129" s="240"/>
      <c r="AF129" s="240"/>
      <c r="AG129" s="240"/>
      <c r="AH129" s="240"/>
      <c r="AI129" s="240"/>
    </row>
    <row r="130" spans="1:35" x14ac:dyDescent="0.2">
      <c r="A130" s="675">
        <f t="shared" si="12"/>
        <v>121</v>
      </c>
      <c r="B130" s="266" t="str">
        <f>CONCATENATE('3. Consumption by Rate Class'!B136,"-",'3. Consumption by Rate Class'!C136)</f>
        <v>2015-January</v>
      </c>
      <c r="C130" s="282"/>
      <c r="D130" s="282"/>
      <c r="E130" s="282"/>
      <c r="F130" s="241"/>
      <c r="G130" s="677">
        <f>IF(G$9=$B$159,+AVERAGE(G10,G22,G34,G46,G58,G70,G82,G94,G106,G118),+IF(G$9=$B$160,+(EXP((LN(+'4. Customer Growth'!$Y$34)/12))*$G129),IF($G$9=$B$161,+$A130*$C$166+#REF!,0)))</f>
        <v>706.35</v>
      </c>
      <c r="H130" s="677">
        <f>IF(H$9=$B$159,+AVERAGE(H10,H22,H34,H46,H58,H70,H82,H94,H106,H118),+IF(H$9=$B$160,+(EXP((LN(+'4. Customer Growth'!$Y$34)/12))*$G129),IF($H$9=$B$161,+$A130*$C$167+#REF!,0)))</f>
        <v>0</v>
      </c>
      <c r="I130" s="677">
        <f>IF(I$9=$B$159,+AVERAGE(I10,I22,I34,I46,I58,I70,I82,I94,I106,I118),+IF(I$9=$B$160,+(EXP((LN(+'4. Customer Growth'!$Y$34)/12))*$G129),IF($H$9=$B$161,+$A130*$C$167+#REF!,0)))</f>
        <v>31</v>
      </c>
      <c r="J130" s="677">
        <f>IF(J$9=$B$159,+AVERAGE(J10,J22,J34,J46,J58,J70,J82,J94,J106,J118),+IF(J$9=$B$160,+(EXP((LN(+'4. Customer Growth'!$Y$34)/12))*$G129),IF($J$9=$B$161,+$A130*$C$169+#REF!,0)))</f>
        <v>0</v>
      </c>
      <c r="K130" s="677">
        <f>IF(K$9=$B$159,+AVERAGE(K10,K22,K34,K46,K58,K70,K82,K94,K106,K118),+IF(K$9=$B$160,+(EXP((LN(+'4. Customer Growth'!$Y$34)/12))*$K129),IF($K$9=$B$161,+$A130*$C$170+#REF!,0)))</f>
        <v>0</v>
      </c>
      <c r="L130" s="677">
        <f>IF(L$9=$B$159,+AVERAGE(L10,L22,L34,L46,L58,L70,L82,L94,L106,L118),+IF(L$9=$B$160,+(EXP((LN(+'4. Customer Growth'!$Y$34)/12))*$L129),IF($L$9=$B$161,+$A130*$C$171+#REF!,0)))</f>
        <v>0</v>
      </c>
      <c r="M130" s="240"/>
      <c r="N130" s="268">
        <f t="shared" si="11"/>
        <v>328406.00388636958</v>
      </c>
      <c r="O130" s="272"/>
      <c r="P130" s="240"/>
      <c r="Q130" s="288"/>
      <c r="R130" s="288"/>
      <c r="S130" s="288"/>
      <c r="T130" s="908"/>
      <c r="U130"/>
      <c r="V130"/>
      <c r="W130"/>
      <c r="X130"/>
      <c r="Y130"/>
      <c r="Z130" s="240"/>
      <c r="AA130" s="240"/>
      <c r="AB130" s="240"/>
      <c r="AC130" s="240"/>
      <c r="AD130" s="240"/>
      <c r="AE130" s="240"/>
      <c r="AF130" s="240"/>
      <c r="AG130" s="240"/>
      <c r="AH130" s="240"/>
      <c r="AI130" s="240"/>
    </row>
    <row r="131" spans="1:35" x14ac:dyDescent="0.2">
      <c r="A131" s="675">
        <f t="shared" si="12"/>
        <v>122</v>
      </c>
      <c r="B131" s="266" t="str">
        <f>CONCATENATE('3. Consumption by Rate Class'!B137,"-",'3. Consumption by Rate Class'!C137)</f>
        <v>2015-February</v>
      </c>
      <c r="C131" s="282"/>
      <c r="D131" s="282"/>
      <c r="E131" s="282"/>
      <c r="F131" s="241"/>
      <c r="G131" s="677">
        <f>IF(G$9=$B$159,+AVERAGE(G11,G23,G35,G47,G59,G71,G83,G95,G107,G119),+IF(G$9=$B$160,+(EXP((LN(+'4. Customer Growth'!$Y$34)/12))*$G130),IF($G$9=$B$161,+$A131*$C$166+#REF!,0)))</f>
        <v>650.66000000000008</v>
      </c>
      <c r="H131" s="677">
        <f>IF(H$9=$B$159,+AVERAGE(H11,H23,H35,H47,H59,H71,H83,H95,H107,H119),+IF(H$9=$B$160,+(EXP((LN(+'4. Customer Growth'!$Y$34)/12))*$G130),IF($H$9=$B$161,+$A131*$C$167+#REF!,0)))</f>
        <v>0</v>
      </c>
      <c r="I131" s="677">
        <f>IF(I$9=$B$159,+AVERAGE(I11,I23,I35,I47,I59,I71,I83,I95,I107,I119),+IF(I$9=$B$160,+(EXP((LN(+'4. Customer Growth'!$Y$34)/12))*$G130),IF($H$9=$B$161,+$A131*$C$167+#REF!,0)))</f>
        <v>28.2</v>
      </c>
      <c r="J131" s="677">
        <f>IF(J$9=$B$159,+AVERAGE(J11,J23,J35,J47,J59,J71,J83,J95,J107,J119),+IF(J$9=$B$160,+(EXP((LN(+'4. Customer Growth'!$Y$34)/12))*$G130),IF($J$9=$B$161,+$A131*$C$169+#REF!,0)))</f>
        <v>0</v>
      </c>
      <c r="K131" s="677">
        <f>IF(K$9=$B$159,+AVERAGE(K11,K23,K35,K47,K59,K71,K83,K95,K107,K119),+IF(K$9=$B$160,+(EXP((LN(+'4. Customer Growth'!$Y$34)/12))*$K130),IF($K$9=$B$161,+$A131*$C$170+#REF!,0)))</f>
        <v>0</v>
      </c>
      <c r="L131" s="677">
        <f>IF(L$9=$B$159,+AVERAGE(L11,L23,L35,L47,L59,L71,L83,L95,L107,L119),+IF(L$9=$B$160,+(EXP((LN(+'4. Customer Growth'!$Y$34)/12))*$L130),IF($L$9=$B$161,+$A131*$C$171+#REF!,0)))</f>
        <v>0</v>
      </c>
      <c r="M131" s="240"/>
      <c r="N131" s="268">
        <f t="shared" si="11"/>
        <v>297394.5992737115</v>
      </c>
      <c r="O131" s="272"/>
      <c r="P131" s="240"/>
      <c r="Q131" s="288"/>
      <c r="R131" s="288"/>
      <c r="S131" s="288"/>
      <c r="T131" s="908"/>
      <c r="U131"/>
      <c r="V131"/>
      <c r="W131"/>
      <c r="X131"/>
      <c r="Y131"/>
      <c r="Z131" s="240"/>
      <c r="AA131" s="240"/>
      <c r="AB131" s="240"/>
      <c r="AC131" s="240"/>
      <c r="AD131" s="240"/>
      <c r="AE131" s="240"/>
      <c r="AF131" s="240"/>
      <c r="AG131" s="240"/>
      <c r="AH131" s="240"/>
      <c r="AI131" s="240"/>
    </row>
    <row r="132" spans="1:35" x14ac:dyDescent="0.2">
      <c r="A132" s="675">
        <f t="shared" si="12"/>
        <v>123</v>
      </c>
      <c r="B132" s="266" t="str">
        <f>CONCATENATE('3. Consumption by Rate Class'!B138,"-",'3. Consumption by Rate Class'!C138)</f>
        <v>2015-March</v>
      </c>
      <c r="C132" s="283"/>
      <c r="D132" s="282"/>
      <c r="E132" s="282"/>
      <c r="F132" s="241"/>
      <c r="G132" s="677">
        <f>IF(G$9=$B$159,+AVERAGE(G12,G24,G36,G48,G60,G72,G84,G96,G108,G120),+IF(G$9=$B$160,+(EXP((LN(+'4. Customer Growth'!$Y$34)/12))*$G131),IF($G$9=$B$161,+$A132*$C$166+#REF!,0)))</f>
        <v>571.87</v>
      </c>
      <c r="H132" s="677">
        <f>IF(H$9=$B$159,+AVERAGE(H12,H24,H36,H48,H60,H72,H84,H96,H108,H120),+IF(H$9=$B$160,+(EXP((LN(+'4. Customer Growth'!$Y$34)/12))*$G131),IF($H$9=$B$161,+$A132*$C$167+#REF!,0)))</f>
        <v>0.27999999999999997</v>
      </c>
      <c r="I132" s="677">
        <f>IF(I$9=$B$159,+AVERAGE(I12,I24,I36,I48,I60,I72,I84,I96,I108,I120),+IF(I$9=$B$160,+(EXP((LN(+'4. Customer Growth'!$Y$34)/12))*$G131),IF($H$9=$B$161,+$A132*$C$167+#REF!,0)))</f>
        <v>31</v>
      </c>
      <c r="J132" s="677">
        <f>IF(J$9=$B$159,+AVERAGE(J12,J24,J36,J48,J60,J72,J84,J96,J108,J120),+IF(J$9=$B$160,+(EXP((LN(+'4. Customer Growth'!$Y$34)/12))*$G131),IF($J$9=$B$161,+$A132*$C$169+#REF!,0)))</f>
        <v>1</v>
      </c>
      <c r="K132" s="677">
        <f>IF(K$9=$B$159,+AVERAGE(K12,K24,K36,K48,K60,K72,K84,K96,K108,K120),+IF(K$9=$B$160,+(EXP((LN(+'4. Customer Growth'!$Y$34)/12))*$K131),IF($K$9=$B$161,+$A132*$C$170+#REF!,0)))</f>
        <v>0</v>
      </c>
      <c r="L132" s="677">
        <f>IF(L$9=$B$159,+AVERAGE(L12,L24,L36,L48,L60,L72,L84,L96,L108,L120),+IF(L$9=$B$160,+(EXP((LN(+'4. Customer Growth'!$Y$34)/12))*$L131),IF($L$9=$B$161,+$A132*$C$171+#REF!,0)))</f>
        <v>0</v>
      </c>
      <c r="M132" s="240"/>
      <c r="N132" s="268">
        <f t="shared" si="11"/>
        <v>323984.70191096171</v>
      </c>
      <c r="O132" s="272"/>
      <c r="P132" s="240"/>
      <c r="Q132" s="288"/>
      <c r="R132" s="288"/>
      <c r="S132" s="288"/>
      <c r="T132" s="908"/>
      <c r="U132"/>
      <c r="V132"/>
      <c r="W132"/>
      <c r="X132"/>
      <c r="Y132"/>
      <c r="Z132" s="240"/>
      <c r="AA132" s="240"/>
      <c r="AB132" s="240"/>
      <c r="AC132" s="240"/>
      <c r="AD132" s="240"/>
      <c r="AE132" s="240"/>
      <c r="AF132" s="240"/>
      <c r="AG132" s="240"/>
      <c r="AH132" s="240"/>
      <c r="AI132" s="240"/>
    </row>
    <row r="133" spans="1:35" x14ac:dyDescent="0.2">
      <c r="A133" s="675">
        <f t="shared" si="12"/>
        <v>124</v>
      </c>
      <c r="B133" s="266" t="str">
        <f>CONCATENATE('3. Consumption by Rate Class'!B139,"-",'3. Consumption by Rate Class'!C139)</f>
        <v>2015-April</v>
      </c>
      <c r="C133" s="282"/>
      <c r="D133" s="282"/>
      <c r="E133" s="282"/>
      <c r="F133" s="241"/>
      <c r="G133" s="677">
        <f>IF(G$9=$B$159,+AVERAGE(G13,G25,G37,G49,G61,G73,G85,G97,G109,G121),+IF(G$9=$B$160,+(EXP((LN(+'4. Customer Growth'!$Y$34)/12))*$G132),IF($G$9=$B$161,+$A133*$C$166+#REF!,0)))</f>
        <v>345.26999999999992</v>
      </c>
      <c r="H133" s="677">
        <f>IF(H$9=$B$159,+AVERAGE(H13,H25,H37,H49,H61,H73,H85,H97,H109,H121),+IF(H$9=$B$160,+(EXP((LN(+'4. Customer Growth'!$Y$34)/12))*$G132),IF($H$9=$B$161,+$A133*$C$167+#REF!,0)))</f>
        <v>0.55000000000000004</v>
      </c>
      <c r="I133" s="677">
        <f>IF(I$9=$B$159,+AVERAGE(I13,I25,I37,I49,I61,I73,I85,I97,I109,I121),+IF(I$9=$B$160,+(EXP((LN(+'4. Customer Growth'!$Y$34)/12))*$G132),IF($H$9=$B$161,+$A133*$C$167+#REF!,0)))</f>
        <v>30</v>
      </c>
      <c r="J133" s="677">
        <f>IF(J$9=$B$159,+AVERAGE(J13,J25,J37,J49,J61,J73,J85,J97,J109,J121),+IF(J$9=$B$160,+(EXP((LN(+'4. Customer Growth'!$Y$34)/12))*$G132),IF($J$9=$B$161,+$A133*$C$169+#REF!,0)))</f>
        <v>1</v>
      </c>
      <c r="K133" s="677">
        <f>IF(K$9=$B$159,+AVERAGE(K13,K25,K37,K49,K61,K73,K85,K97,K109,K121),+IF(K$9=$B$160,+(EXP((LN(+'4. Customer Growth'!$Y$34)/12))*$K132),IF($K$9=$B$161,+$A133*$C$170+#REF!,0)))</f>
        <v>0</v>
      </c>
      <c r="L133" s="677">
        <f>IF(L$9=$B$159,+AVERAGE(L13,L25,L37,L49,L61,L73,L85,L97,L109,L121),+IF(L$9=$B$160,+(EXP((LN(+'4. Customer Growth'!$Y$34)/12))*$L132),IF($L$9=$B$161,+$A133*$C$171+#REF!,0)))</f>
        <v>0</v>
      </c>
      <c r="M133" s="240"/>
      <c r="N133" s="268">
        <f t="shared" si="11"/>
        <v>323020.22949799988</v>
      </c>
      <c r="O133" s="272"/>
      <c r="P133" s="240"/>
      <c r="Q133" s="288"/>
      <c r="R133" s="288"/>
      <c r="S133" s="288"/>
      <c r="T133" s="908"/>
      <c r="U133"/>
      <c r="V133"/>
      <c r="W133"/>
      <c r="X133"/>
      <c r="Y133"/>
      <c r="Z133" s="240"/>
      <c r="AA133" s="240"/>
      <c r="AB133" s="240"/>
      <c r="AC133" s="240"/>
      <c r="AD133" s="240"/>
      <c r="AE133" s="240"/>
      <c r="AF133" s="240"/>
      <c r="AG133" s="240"/>
      <c r="AH133" s="240"/>
      <c r="AI133" s="240"/>
    </row>
    <row r="134" spans="1:35" x14ac:dyDescent="0.2">
      <c r="A134" s="675">
        <f t="shared" si="12"/>
        <v>125</v>
      </c>
      <c r="B134" s="266" t="str">
        <f>CONCATENATE('3. Consumption by Rate Class'!B140,"-",'3. Consumption by Rate Class'!C140)</f>
        <v>2015-May</v>
      </c>
      <c r="C134" s="282"/>
      <c r="D134" s="284"/>
      <c r="E134" s="282"/>
      <c r="F134" s="241"/>
      <c r="G134" s="677">
        <f>IF(G$9=$B$159,+AVERAGE(G14,G26,G38,G50,G62,G74,G86,G98,G110,G122),+IF(G$9=$B$160,+(EXP((LN(+'4. Customer Growth'!$Y$34)/12))*$G133),IF($G$9=$B$161,+$A134*$C$166+#REF!,0)))</f>
        <v>183.77</v>
      </c>
      <c r="H134" s="677">
        <f>IF(H$9=$B$159,+AVERAGE(H14,H26,H38,H50,H62,H74,H86,H98,H110,H122),+IF(H$9=$B$160,+(EXP((LN(+'4. Customer Growth'!$Y$34)/12))*$G133),IF($H$9=$B$161,+$A134*$C$167+#REF!,0)))</f>
        <v>11.68</v>
      </c>
      <c r="I134" s="677">
        <f>IF(I$9=$B$159,+AVERAGE(I14,I26,I38,I50,I62,I74,I86,I98,I110,I122),+IF(I$9=$B$160,+(EXP((LN(+'4. Customer Growth'!$Y$34)/12))*$G133),IF($H$9=$B$161,+$A134*$C$167+#REF!,0)))</f>
        <v>31</v>
      </c>
      <c r="J134" s="677">
        <f>IF(J$9=$B$159,+AVERAGE(J14,J26,J38,J50,J62,J74,J86,J98,J110,J122),+IF(J$9=$B$160,+(EXP((LN(+'4. Customer Growth'!$Y$34)/12))*$G133),IF($J$9=$B$161,+$A134*$C$169+#REF!,0)))</f>
        <v>1</v>
      </c>
      <c r="K134" s="677">
        <f>IF(K$9=$B$159,+AVERAGE(K14,K26,K38,K50,K62,K74,K86,K98,K110,K122),+IF(K$9=$B$160,+(EXP((LN(+'4. Customer Growth'!$Y$34)/12))*$K133),IF($K$9=$B$161,+$A134*$C$170+#REF!,0)))</f>
        <v>0</v>
      </c>
      <c r="L134" s="677">
        <f>IF(L$9=$B$159,+AVERAGE(L14,L26,L38,L50,L62,L74,L86,L98,L110,L122),+IF(L$9=$B$160,+(EXP((LN(+'4. Customer Growth'!$Y$34)/12))*$L133),IF($L$9=$B$161,+$A134*$C$171+#REF!,0)))</f>
        <v>0</v>
      </c>
      <c r="M134" s="240"/>
      <c r="N134" s="268">
        <f t="shared" si="11"/>
        <v>347142.38106372027</v>
      </c>
      <c r="O134" s="272"/>
      <c r="P134" s="240"/>
      <c r="Q134" s="288"/>
      <c r="R134" s="288"/>
      <c r="S134" s="288"/>
      <c r="T134" s="908"/>
      <c r="U134"/>
      <c r="V134"/>
      <c r="W134"/>
      <c r="X134"/>
      <c r="Y134"/>
      <c r="Z134" s="240"/>
      <c r="AA134" s="240"/>
      <c r="AB134" s="240"/>
      <c r="AC134" s="240"/>
      <c r="AD134" s="240"/>
      <c r="AE134" s="240"/>
      <c r="AF134" s="240"/>
      <c r="AG134" s="240"/>
      <c r="AH134" s="240"/>
      <c r="AI134" s="240"/>
    </row>
    <row r="135" spans="1:35" x14ac:dyDescent="0.2">
      <c r="A135" s="675">
        <f t="shared" si="12"/>
        <v>126</v>
      </c>
      <c r="B135" s="266" t="str">
        <f>CONCATENATE('3. Consumption by Rate Class'!B141,"-",'3. Consumption by Rate Class'!C141)</f>
        <v>2015-June</v>
      </c>
      <c r="C135" s="282"/>
      <c r="D135" s="282"/>
      <c r="E135" s="282"/>
      <c r="F135" s="241"/>
      <c r="G135" s="677">
        <f>IF(G$9=$B$159,+AVERAGE(G15,G27,G39,G51,G63,G75,G87,G99,G111,G123),+IF(G$9=$B$160,+(EXP((LN(+'4. Customer Growth'!$Y$34)/12))*$G134),IF($G$9=$B$161,+$A135*$C$166+#REF!,0)))</f>
        <v>52.5</v>
      </c>
      <c r="H135" s="677">
        <f>IF(H$9=$B$159,+AVERAGE(H15,H27,H39,H51,H63,H75,H87,H99,H111,H123),+IF(H$9=$B$160,+(EXP((LN(+'4. Customer Growth'!$Y$34)/12))*$G134),IF($H$9=$B$161,+$A135*$C$167+#REF!,0)))</f>
        <v>47.65</v>
      </c>
      <c r="I135" s="677">
        <f>IF(I$9=$B$159,+AVERAGE(I15,I27,I39,I51,I63,I75,I87,I99,I111,I123),+IF(I$9=$B$160,+(EXP((LN(+'4. Customer Growth'!$Y$34)/12))*$G134),IF($H$9=$B$161,+$A135*$C$167+#REF!,0)))</f>
        <v>30</v>
      </c>
      <c r="J135" s="677">
        <f>IF(J$9=$B$159,+AVERAGE(J15,J27,J39,J51,J63,J75,J87,J99,J111,J123),+IF(J$9=$B$160,+(EXP((LN(+'4. Customer Growth'!$Y$34)/12))*$G134),IF($J$9=$B$161,+$A135*$C$169+#REF!,0)))</f>
        <v>0</v>
      </c>
      <c r="K135" s="677">
        <f>IF(K$9=$B$159,+AVERAGE(K15,K27,K39,K51,K63,K75,K87,K99,K111,K123),+IF(K$9=$B$160,+(EXP((LN(+'4. Customer Growth'!$Y$34)/12))*$K134),IF($K$9=$B$161,+$A135*$C$170+#REF!,0)))</f>
        <v>0</v>
      </c>
      <c r="L135" s="677">
        <f>IF(L$9=$B$159,+AVERAGE(L15,L27,L39,L51,L63,L75,L87,L99,L111,L123),+IF(L$9=$B$160,+(EXP((LN(+'4. Customer Growth'!$Y$34)/12))*$L134),IF($L$9=$B$161,+$A135*$C$171+#REF!,0)))</f>
        <v>0</v>
      </c>
      <c r="M135" s="240"/>
      <c r="N135" s="268">
        <f t="shared" si="11"/>
        <v>366282.01430171158</v>
      </c>
      <c r="O135" s="272"/>
      <c r="P135" s="240"/>
      <c r="Q135" s="288"/>
      <c r="R135" s="288"/>
      <c r="S135" s="288"/>
      <c r="T135" s="908"/>
      <c r="U135"/>
      <c r="V135"/>
      <c r="W135"/>
      <c r="X135"/>
      <c r="Y135"/>
      <c r="Z135" s="240"/>
      <c r="AA135" s="240"/>
      <c r="AB135" s="240"/>
      <c r="AC135" s="240"/>
      <c r="AD135" s="240"/>
      <c r="AE135" s="240"/>
      <c r="AF135" s="240"/>
      <c r="AG135" s="240"/>
      <c r="AH135" s="240"/>
      <c r="AI135" s="240"/>
    </row>
    <row r="136" spans="1:35" x14ac:dyDescent="0.2">
      <c r="A136" s="675">
        <f t="shared" si="12"/>
        <v>127</v>
      </c>
      <c r="B136" s="266" t="str">
        <f>CONCATENATE('3. Consumption by Rate Class'!B142,"-",'3. Consumption by Rate Class'!C142)</f>
        <v>2015-July</v>
      </c>
      <c r="C136" s="282"/>
      <c r="D136" s="282"/>
      <c r="E136" s="282"/>
      <c r="F136" s="241"/>
      <c r="G136" s="677">
        <f>IF(G$9=$B$159,+AVERAGE(G16,G28,G40,G52,G64,G76,G88,G100,G112,G124),+IF(G$9=$B$160,+(EXP((LN(+'4. Customer Growth'!$Y$34)/12))*$G135),IF($G$9=$B$161,+$A136*$C$166+#REF!,0)))</f>
        <v>9.31</v>
      </c>
      <c r="H136" s="677">
        <f>IF(H$9=$B$159,+AVERAGE(H16,H28,H40,H52,H64,H76,H88,H100,H112,H124),+IF(H$9=$B$160,+(EXP((LN(+'4. Customer Growth'!$Y$34)/12))*$G135),IF($H$9=$B$161,+$A136*$C$167+#REF!,0)))</f>
        <v>100.14</v>
      </c>
      <c r="I136" s="677">
        <f>IF(I$9=$B$159,+AVERAGE(I16,I28,I40,I52,I64,I76,I88,I100,I112,I124),+IF(I$9=$B$160,+(EXP((LN(+'4. Customer Growth'!$Y$34)/12))*$G135),IF($H$9=$B$161,+$A136*$C$167+#REF!,0)))</f>
        <v>31</v>
      </c>
      <c r="J136" s="677">
        <f>IF(J$9=$B$159,+AVERAGE(J16,J28,J40,J52,J64,J76,J88,J100,J112,J124),+IF(J$9=$B$160,+(EXP((LN(+'4. Customer Growth'!$Y$34)/12))*$G135),IF($J$9=$B$161,+$A136*$C$169+#REF!,0)))</f>
        <v>0</v>
      </c>
      <c r="K136" s="677">
        <f>IF(K$9=$B$159,+AVERAGE(K16,K28,K40,K52,K64,K76,K88,K100,K112,K124),+IF(K$9=$B$160,+(EXP((LN(+'4. Customer Growth'!$Y$34)/12))*$K135),IF($K$9=$B$161,+$A136*$C$170+#REF!,0)))</f>
        <v>0</v>
      </c>
      <c r="L136" s="677">
        <f>IF(L$9=$B$159,+AVERAGE(L16,L28,L40,L52,L64,L76,L88,L100,L112,L124),+IF(L$9=$B$160,+(EXP((LN(+'4. Customer Growth'!$Y$34)/12))*$L135),IF($L$9=$B$161,+$A136*$C$171+#REF!,0)))</f>
        <v>0</v>
      </c>
      <c r="M136" s="240"/>
      <c r="N136" s="268">
        <f t="shared" si="11"/>
        <v>400525.39597952267</v>
      </c>
      <c r="O136" s="272"/>
      <c r="P136" s="240"/>
      <c r="Q136" s="288"/>
      <c r="R136" s="288"/>
      <c r="S136" s="288"/>
      <c r="T136" s="908"/>
      <c r="U136"/>
      <c r="V136"/>
      <c r="W136"/>
      <c r="X136"/>
      <c r="Y136"/>
      <c r="Z136" s="240"/>
      <c r="AA136" s="240"/>
      <c r="AB136" s="240"/>
      <c r="AC136" s="240"/>
      <c r="AD136" s="240"/>
      <c r="AE136" s="240"/>
      <c r="AF136" s="240"/>
      <c r="AG136" s="240"/>
      <c r="AH136" s="240"/>
      <c r="AI136" s="240"/>
    </row>
    <row r="137" spans="1:35" x14ac:dyDescent="0.2">
      <c r="A137" s="675">
        <f t="shared" si="12"/>
        <v>128</v>
      </c>
      <c r="B137" s="266" t="str">
        <f>CONCATENATE('3. Consumption by Rate Class'!B143,"-",'3. Consumption by Rate Class'!C143)</f>
        <v>2015-August</v>
      </c>
      <c r="C137" s="282"/>
      <c r="D137" s="282"/>
      <c r="E137" s="282"/>
      <c r="F137" s="241"/>
      <c r="G137" s="677">
        <f>IF(G$9=$B$159,+AVERAGE(G17,G29,G41,G53,G65,G77,G89,G101,G113,G125),+IF(G$9=$B$160,+(EXP((LN(+'4. Customer Growth'!$Y$34)/12))*$G136),IF($G$9=$B$161,+$A137*$C$166+#REF!,0)))</f>
        <v>12.379999999999999</v>
      </c>
      <c r="H137" s="677">
        <f>IF(H$9=$B$159,+AVERAGE(H17,H29,H41,H53,H65,H77,H89,H101,H113,H125),+IF(H$9=$B$160,+(EXP((LN(+'4. Customer Growth'!$Y$34)/12))*$G136),IF($H$9=$B$161,+$A137*$C$167+#REF!,0)))</f>
        <v>80.009999999999991</v>
      </c>
      <c r="I137" s="677">
        <f>IF(I$9=$B$159,+AVERAGE(I17,I29,I41,I53,I65,I77,I89,I101,I113,I125),+IF(I$9=$B$160,+(EXP((LN(+'4. Customer Growth'!$Y$34)/12))*$G136),IF($H$9=$B$161,+$A137*$C$167+#REF!,0)))</f>
        <v>31</v>
      </c>
      <c r="J137" s="677">
        <f>IF(J$9=$B$159,+AVERAGE(J17,J29,J41,J53,J65,J77,J89,J101,J113,J125),+IF(J$9=$B$160,+(EXP((LN(+'4. Customer Growth'!$Y$34)/12))*$G136),IF($J$9=$B$161,+$A137*$C$169+#REF!,0)))</f>
        <v>0</v>
      </c>
      <c r="K137" s="677">
        <f>IF(K$9=$B$159,+AVERAGE(K17,K29,K41,K53,K65,K77,K89,K101,K113,K125),+IF(K$9=$B$160,+(EXP((LN(+'4. Customer Growth'!$Y$34)/12))*$K136),IF($K$9=$B$161,+$A137*$C$170+#REF!,0)))</f>
        <v>0</v>
      </c>
      <c r="L137" s="677">
        <f>IF(L$9=$B$159,+AVERAGE(L17,L29,L41,L53,L65,L77,L89,L101,L113,L125),+IF(L$9=$B$160,+(EXP((LN(+'4. Customer Growth'!$Y$34)/12))*$L136),IF($L$9=$B$161,+$A137*$C$171+#REF!,0)))</f>
        <v>0</v>
      </c>
      <c r="M137" s="240"/>
      <c r="N137" s="268">
        <f t="shared" si="11"/>
        <v>392663.01604628388</v>
      </c>
      <c r="O137" s="272"/>
      <c r="P137" s="240"/>
      <c r="Q137" s="288"/>
      <c r="R137" s="288"/>
      <c r="S137" s="288"/>
      <c r="T137" s="908"/>
      <c r="U137"/>
      <c r="V137"/>
      <c r="W137"/>
      <c r="X137"/>
      <c r="Y137"/>
      <c r="Z137" s="240"/>
      <c r="AA137" s="240"/>
      <c r="AB137" s="240"/>
      <c r="AC137" s="240"/>
      <c r="AD137" s="240"/>
      <c r="AE137" s="240"/>
      <c r="AF137" s="240"/>
      <c r="AG137" s="240"/>
      <c r="AH137" s="240"/>
      <c r="AI137" s="240"/>
    </row>
    <row r="138" spans="1:35" x14ac:dyDescent="0.2">
      <c r="A138" s="675">
        <f t="shared" si="12"/>
        <v>129</v>
      </c>
      <c r="B138" s="266" t="str">
        <f>CONCATENATE('3. Consumption by Rate Class'!B144,"-",'3. Consumption by Rate Class'!C144)</f>
        <v>2015-September</v>
      </c>
      <c r="C138" s="282"/>
      <c r="D138" s="282"/>
      <c r="E138" s="282"/>
      <c r="F138" s="241"/>
      <c r="G138" s="677">
        <f>IF(G$9=$B$159,+AVERAGE(G18,G30,G42,G54,G66,G78,G90,G102,G114,G126),+IF(G$9=$B$160,+(EXP((LN(+'4. Customer Growth'!$Y$34)/12))*$G137),IF($G$9=$B$161,+$A138*$C$166+#REF!,0)))</f>
        <v>77.28</v>
      </c>
      <c r="H138" s="677">
        <f>IF(H$9=$B$159,+AVERAGE(H18,H30,H42,H54,H66,H78,H90,H102,H114,H126),+IF(H$9=$B$160,+(EXP((LN(+'4. Customer Growth'!$Y$34)/12))*$G137),IF($H$9=$B$161,+$A138*$C$167+#REF!,0)))</f>
        <v>25.779999999999994</v>
      </c>
      <c r="I138" s="677">
        <f>IF(I$9=$B$159,+AVERAGE(I18,I30,I42,I54,I66,I78,I90,I102,I114,I126),+IF(I$9=$B$160,+(EXP((LN(+'4. Customer Growth'!$Y$34)/12))*$G137),IF($H$9=$B$161,+$A138*$C$167+#REF!,0)))</f>
        <v>30</v>
      </c>
      <c r="J138" s="677">
        <f>IF(J$9=$B$159,+AVERAGE(J18,J30,J42,J54,J66,J78,J90,J102,J114,J126),+IF(J$9=$B$160,+(EXP((LN(+'4. Customer Growth'!$Y$34)/12))*$G137),IF($J$9=$B$161,+$A138*$C$169+#REF!,0)))</f>
        <v>1</v>
      </c>
      <c r="K138" s="677">
        <f>IF(K$9=$B$159,+AVERAGE(K18,K30,K42,K54,K66,K78,K90,K102,K114,K126),+IF(K$9=$B$160,+(EXP((LN(+'4. Customer Growth'!$Y$34)/12))*$K137),IF($K$9=$B$161,+$A138*$C$170+#REF!,0)))</f>
        <v>0</v>
      </c>
      <c r="L138" s="677">
        <f>IF(L$9=$B$159,+AVERAGE(L18,L30,L42,L54,L66,L78,L90,L102,L114,L126),+IF(L$9=$B$160,+(EXP((LN(+'4. Customer Growth'!$Y$34)/12))*$L137),IF($L$9=$B$161,+$A138*$C$171+#REF!,0)))</f>
        <v>0</v>
      </c>
      <c r="M138" s="240"/>
      <c r="N138" s="268">
        <f t="shared" si="11"/>
        <v>345662.58778987575</v>
      </c>
      <c r="O138" s="272"/>
      <c r="P138" s="240"/>
      <c r="Q138" s="288"/>
      <c r="R138" s="288"/>
      <c r="S138" s="288"/>
      <c r="T138" s="908"/>
      <c r="U138"/>
      <c r="V138"/>
      <c r="W138"/>
      <c r="X138"/>
      <c r="Y138"/>
      <c r="Z138" s="240"/>
      <c r="AA138" s="240"/>
      <c r="AB138" s="240"/>
      <c r="AC138" s="240"/>
      <c r="AD138" s="240"/>
      <c r="AE138" s="240"/>
      <c r="AF138" s="240"/>
      <c r="AG138" s="240"/>
      <c r="AH138" s="240"/>
      <c r="AI138" s="240"/>
    </row>
    <row r="139" spans="1:35" x14ac:dyDescent="0.2">
      <c r="A139" s="675">
        <f t="shared" si="12"/>
        <v>130</v>
      </c>
      <c r="B139" s="266" t="str">
        <f>CONCATENATE('3. Consumption by Rate Class'!B145,"-",'3. Consumption by Rate Class'!C145)</f>
        <v>2015-October</v>
      </c>
      <c r="C139" s="282"/>
      <c r="D139" s="282"/>
      <c r="E139" s="282"/>
      <c r="F139" s="241"/>
      <c r="G139" s="677">
        <f>IF(G$9=$B$159,+AVERAGE(G19,G31,G43,G55,G67,G79,G91,G103,G115,G127),+IF(G$9=$B$160,+(EXP((LN(+'4. Customer Growth'!$Y$34)/12))*$G138),IF($G$9=$B$161,+$A139*$C$166+#REF!,0)))</f>
        <v>233.95000000000005</v>
      </c>
      <c r="H139" s="677">
        <f>IF(H$9=$B$159,+AVERAGE(H19,H31,H43,H55,H67,H79,H91,H103,H115,H127),+IF(H$9=$B$160,+(EXP((LN(+'4. Customer Growth'!$Y$34)/12))*$G138),IF($H$9=$B$161,+$A139*$C$167+#REF!,0)))</f>
        <v>5.07</v>
      </c>
      <c r="I139" s="677">
        <f>IF(I$9=$B$159,+AVERAGE(I19,I31,I43,I55,I67,I79,I91,I103,I115,I127),+IF(I$9=$B$160,+(EXP((LN(+'4. Customer Growth'!$Y$34)/12))*$G138),IF($H$9=$B$161,+$A139*$C$167+#REF!,0)))</f>
        <v>31</v>
      </c>
      <c r="J139" s="677">
        <f>IF(J$9=$B$159,+AVERAGE(J19,J31,J43,J55,J67,J79,J91,J103,J115,J127),+IF(J$9=$B$160,+(EXP((LN(+'4. Customer Growth'!$Y$34)/12))*$G138),IF($J$9=$B$161,+$A139*$C$169+#REF!,0)))</f>
        <v>1</v>
      </c>
      <c r="K139" s="677">
        <f>IF(K$9=$B$159,+AVERAGE(K19,K31,K43,K55,K67,K79,K91,K103,K115,K127),+IF(K$9=$B$160,+(EXP((LN(+'4. Customer Growth'!$Y$34)/12))*$K138),IF($K$9=$B$161,+$A139*$C$170+#REF!,0)))</f>
        <v>0</v>
      </c>
      <c r="L139" s="677">
        <f>IF(L$9=$B$159,+AVERAGE(L19,L31,L43,L55,L67,L79,L91,L103,L115,L127),+IF(L$9=$B$160,+(EXP((LN(+'4. Customer Growth'!$Y$34)/12))*$L138),IF($L$9=$B$161,+$A139*$C$171+#REF!,0)))</f>
        <v>0</v>
      </c>
      <c r="M139" s="240"/>
      <c r="N139" s="268">
        <f t="shared" ref="N139:N153" si="14">$R$24+(G139*$R$25)+(H139*$R$26)+(I139*$R$27)+(J139*$R$28)+(K139*$R$29)+(L139*$R$30)</f>
        <v>342180.06663041323</v>
      </c>
      <c r="O139" s="272"/>
      <c r="P139" s="240"/>
      <c r="Q139" s="288"/>
      <c r="R139" s="288"/>
      <c r="S139" s="288"/>
      <c r="T139" s="908"/>
      <c r="U139"/>
      <c r="V139"/>
      <c r="W139"/>
      <c r="X139"/>
      <c r="Y139"/>
      <c r="Z139" s="240"/>
      <c r="AA139" s="240"/>
      <c r="AB139" s="240"/>
      <c r="AC139" s="240"/>
      <c r="AD139" s="240"/>
      <c r="AE139" s="240"/>
      <c r="AF139" s="240"/>
      <c r="AG139" s="240"/>
      <c r="AH139" s="240"/>
      <c r="AI139" s="240"/>
    </row>
    <row r="140" spans="1:35" x14ac:dyDescent="0.2">
      <c r="A140" s="675">
        <f t="shared" ref="A140:A153" si="15">+A139+1</f>
        <v>131</v>
      </c>
      <c r="B140" s="266" t="str">
        <f>CONCATENATE('3. Consumption by Rate Class'!B146,"-",'3. Consumption by Rate Class'!C146)</f>
        <v>2015-November</v>
      </c>
      <c r="C140" s="282"/>
      <c r="D140" s="282"/>
      <c r="E140" s="282"/>
      <c r="F140" s="241"/>
      <c r="G140" s="677">
        <f>IF(G$9=$B$159,+AVERAGE(G20,G32,G44,G56,G68,G80,G92,G104,G116,G128),+IF(G$9=$B$160,+(EXP((LN(+'4. Customer Growth'!$Y$34)/12))*$G139),IF($G$9=$B$161,+$A140*$C$166+#REF!,0)))</f>
        <v>415.16999999999996</v>
      </c>
      <c r="H140" s="677">
        <f>IF(H$9=$B$159,+AVERAGE(H20,H32,H44,H56,H68,H80,H92,H104,H116,H128),+IF(H$9=$B$160,+(EXP((LN(+'4. Customer Growth'!$Y$34)/12))*$G139),IF($H$9=$B$161,+$A140*$C$167+#REF!,0)))</f>
        <v>0</v>
      </c>
      <c r="I140" s="677">
        <f>IF(I$9=$B$159,+AVERAGE(I20,I32,I44,I56,I68,I80,I92,I104,I116,I128),+IF(I$9=$B$160,+(EXP((LN(+'4. Customer Growth'!$Y$34)/12))*$G139),IF($H$9=$B$161,+$A140*$C$167+#REF!,0)))</f>
        <v>30</v>
      </c>
      <c r="J140" s="677">
        <f>IF(J$9=$B$159,+AVERAGE(J20,J32,J44,J56,J68,J80,J92,J104,J116,J128),+IF(J$9=$B$160,+(EXP((LN(+'4. Customer Growth'!$Y$34)/12))*$G139),IF($J$9=$B$161,+$A140*$C$169+#REF!,0)))</f>
        <v>1</v>
      </c>
      <c r="K140" s="677">
        <f>IF(K$9=$B$159,+AVERAGE(K20,K32,K44,K56,K68,K80,K92,K104,K116,K128),+IF(K$9=$B$160,+(EXP((LN(+'4. Customer Growth'!$Y$34)/12))*$K139),IF($K$9=$B$161,+$A140*$C$170+#REF!,0)))</f>
        <v>0</v>
      </c>
      <c r="L140" s="677">
        <f>IF(L$9=$B$159,+AVERAGE(L20,L32,L44,L56,L68,L80,L92,L104,L116,L128),+IF(L$9=$B$160,+(EXP((LN(+'4. Customer Growth'!$Y$34)/12))*$L139),IF($L$9=$B$161,+$A140*$C$171+#REF!,0)))</f>
        <v>0</v>
      </c>
      <c r="M140" s="240"/>
      <c r="N140" s="268">
        <f t="shared" si="14"/>
        <v>319425.37542557938</v>
      </c>
      <c r="O140" s="272"/>
      <c r="P140" s="240"/>
      <c r="Q140" s="288"/>
      <c r="R140" s="288"/>
      <c r="S140" s="288"/>
      <c r="T140" s="908"/>
      <c r="U140"/>
      <c r="V140"/>
      <c r="W140"/>
      <c r="X140"/>
      <c r="Y140"/>
      <c r="Z140" s="240"/>
      <c r="AA140" s="240"/>
      <c r="AB140" s="240"/>
      <c r="AC140" s="240"/>
      <c r="AD140" s="240"/>
      <c r="AE140" s="240"/>
      <c r="AF140" s="240"/>
      <c r="AG140" s="240"/>
      <c r="AH140" s="240"/>
      <c r="AI140" s="240"/>
    </row>
    <row r="141" spans="1:35" x14ac:dyDescent="0.2">
      <c r="A141" s="675">
        <f t="shared" si="15"/>
        <v>132</v>
      </c>
      <c r="B141" s="266" t="str">
        <f>CONCATENATE('3. Consumption by Rate Class'!B147,"-",'3. Consumption by Rate Class'!C147)</f>
        <v>2015-December</v>
      </c>
      <c r="C141" s="282"/>
      <c r="D141" s="282"/>
      <c r="E141" s="282"/>
      <c r="F141" s="241"/>
      <c r="G141" s="677">
        <f>IF(G$9=$B$159,+AVERAGE(G21,G33,G45,G57,G69,G81,G93,G105,G117,G129),+IF(G$9=$B$160,+(EXP((LN(+'4. Customer Growth'!$Y$34)/12))*$G140),IF($G$9=$B$161,+$A141*$C$166+#REF!,0)))</f>
        <v>610.69000000000005</v>
      </c>
      <c r="H141" s="677">
        <f>IF(H$9=$B$159,+AVERAGE(H21,H33,H45,H57,H69,H81,H93,H105,H117,H129),+IF(H$9=$B$160,+(EXP((LN(+'4. Customer Growth'!$Y$34)/12))*$G140),IF($H$9=$B$161,+$A141*$C$167+#REF!,0)))</f>
        <v>0</v>
      </c>
      <c r="I141" s="677">
        <f>IF(I$9=$B$159,+AVERAGE(I21,I33,I45,I57,I69,I81,I93,I105,I117,I129),+IF(I$9=$B$160,+(EXP((LN(+'4. Customer Growth'!$Y$34)/12))*$G140),IF($H$9=$B$161,+$A141*$C$167+#REF!,0)))</f>
        <v>31</v>
      </c>
      <c r="J141" s="677">
        <f>IF(J$9=$B$159,+AVERAGE(J21,J33,J45,J57,J69,J81,J93,J105,J117,J129),+IF(J$9=$B$160,+(EXP((LN(+'4. Customer Growth'!$Y$34)/12))*$G140),IF($J$9=$B$161,+$A141*$C$169+#REF!,0)))</f>
        <v>0</v>
      </c>
      <c r="K141" s="677">
        <f>IF(K$9=$B$159,+AVERAGE(K21,K33,K45,K57,K69,K81,K93,K105,K117,K129),+IF(K$9=$B$160,+(EXP((LN(+'4. Customer Growth'!$Y$34)/12))*$K140),IF($K$9=$B$161,+$A141*$C$170+#REF!,0)))</f>
        <v>0</v>
      </c>
      <c r="L141" s="677">
        <f>IF(L$9=$B$159,+AVERAGE(L21,L33,L45,L57,L69,L81,L93,L105,L117,L129),+IF(L$9=$B$160,+(EXP((LN(+'4. Customer Growth'!$Y$34)/12))*$L140),IF($L$9=$B$161,+$A141*$C$171+#REF!,0)))</f>
        <v>0</v>
      </c>
      <c r="M141" s="240"/>
      <c r="N141" s="268">
        <f t="shared" si="14"/>
        <v>333037.22862597276</v>
      </c>
      <c r="O141" s="272">
        <f>SUM(N130:N141)</f>
        <v>4119723.6004321226</v>
      </c>
      <c r="P141" s="240"/>
      <c r="Q141" s="288"/>
      <c r="R141" s="288"/>
      <c r="S141" s="288"/>
      <c r="T141" s="908"/>
      <c r="U141"/>
      <c r="V141"/>
      <c r="W141"/>
      <c r="X141"/>
      <c r="Y141"/>
      <c r="Z141" s="240"/>
      <c r="AA141" s="240"/>
      <c r="AB141" s="240"/>
      <c r="AC141" s="240"/>
      <c r="AD141" s="240"/>
      <c r="AE141" s="240"/>
      <c r="AF141" s="240"/>
      <c r="AG141" s="240"/>
      <c r="AH141" s="240"/>
      <c r="AI141" s="240"/>
    </row>
    <row r="142" spans="1:35" x14ac:dyDescent="0.2">
      <c r="A142" s="675">
        <f t="shared" si="15"/>
        <v>133</v>
      </c>
      <c r="B142" s="266" t="str">
        <f>CONCATENATE('3. Consumption by Rate Class'!B148,"-",'3. Consumption by Rate Class'!C148)</f>
        <v>2016-January</v>
      </c>
      <c r="C142" s="282"/>
      <c r="D142" s="282"/>
      <c r="E142" s="282"/>
      <c r="F142" s="241"/>
      <c r="G142" s="677">
        <f>IF(G$9=$B$159,+AVERAGE(G10,G22,G34,G46,G58,G70,G82,G94,G106,G118),+IF(G$9=$B$160,+(EXP((LN(+'4. Customer Growth'!$Y$35)/12))*$G141),IF($G$9=$B$161,+$A142*$C$166+#REF!,0)))</f>
        <v>706.35</v>
      </c>
      <c r="H142" s="677">
        <f>IF(H$9=$B$159,+AVERAGE(H10,H22,H34,H46,H58,H70,H82,H94,H106,H118),+IF(H$9=$B$160,+(EXP((LN(+'4. Customer Growth'!$Y$35)/12))*$G141),IF($H$9=$B$161,+$A142*$C$167+#REF!,0)))</f>
        <v>0</v>
      </c>
      <c r="I142" s="677">
        <f>IF(I$9=$B$159,+AVERAGE(I10,I22,I34,I46,I58,I70,I82,I94,I106,I118),+IF(I$9=$B$160,+(EXP((LN(+'4. Customer Growth'!$Y$35)/12))*$G141),IF($H$9=$B$161,+$A142*$C$167+#REF!,0)))</f>
        <v>31</v>
      </c>
      <c r="J142" s="677">
        <f>IF(J$9=$B$159,+AVERAGE(J10,J22,J34,J46,J58,J70,J82,J94,J106,J118),+IF(J$9=$B$160,+(EXP((LN(+'4. Customer Growth'!$Y$35)/12))*$G141),IF($J$9=$B$161,+$A142*$C$169+#REF!,0)))</f>
        <v>0</v>
      </c>
      <c r="K142" s="677">
        <f>IF(K$9=$B$159,+AVERAGE(K10,K22,K34,K46,K58,K70,K82,K94,K106,K118),+IF(K$9=$B$160,+(EXP((LN(+'4. Customer Growth'!$Y$35)/12))*$K141),IF($K$9=$B$161,+$A142*$C$170+#REF!,0)))</f>
        <v>0</v>
      </c>
      <c r="L142" s="677">
        <f>IF(L$9=$B$159,+AVERAGE(L10,L22,L34,L46,L58,L70,L82,L94,L106,L118),+IF(L$9=$B$160,+(EXP((LN(+'4. Customer Growth'!$Y$35)/12))*$L141),IF($L$9=$B$161,+$A142*$C$171+#REF!,0)))</f>
        <v>0</v>
      </c>
      <c r="M142" s="240"/>
      <c r="N142" s="268">
        <f t="shared" si="14"/>
        <v>328406.00388636958</v>
      </c>
      <c r="O142" s="272"/>
      <c r="P142" s="240"/>
      <c r="Q142" s="288"/>
      <c r="R142" s="288"/>
      <c r="S142" s="288"/>
      <c r="T142" s="908"/>
      <c r="U142"/>
      <c r="V142"/>
      <c r="W142"/>
      <c r="X142"/>
      <c r="Y142"/>
      <c r="Z142" s="240"/>
      <c r="AA142" s="240"/>
      <c r="AB142" s="240"/>
      <c r="AC142" s="240"/>
      <c r="AD142" s="240"/>
      <c r="AE142" s="240"/>
      <c r="AF142" s="240"/>
      <c r="AG142" s="240"/>
      <c r="AH142" s="240"/>
      <c r="AI142" s="240"/>
    </row>
    <row r="143" spans="1:35" x14ac:dyDescent="0.2">
      <c r="A143" s="675">
        <f t="shared" si="15"/>
        <v>134</v>
      </c>
      <c r="B143" s="266" t="str">
        <f>CONCATENATE('3. Consumption by Rate Class'!B149,"-",'3. Consumption by Rate Class'!C149)</f>
        <v>2016-February</v>
      </c>
      <c r="C143" s="282"/>
      <c r="D143" s="282"/>
      <c r="E143" s="282"/>
      <c r="F143" s="241"/>
      <c r="G143" s="677">
        <f>IF(G$9=$B$159,+AVERAGE(G11,G23,G35,G47,G59,G71,G83,G95,G107,G119),+IF(G$9=$B$160,+(EXP((LN(+'4. Customer Growth'!$Y$35)/12))*$G142),IF($G$9=$B$161,+$A143*$C$166+#REF!,0)))</f>
        <v>650.66000000000008</v>
      </c>
      <c r="H143" s="677">
        <f>IF(H$9=$B$159,+AVERAGE(H11,H23,H35,H47,H59,H71,H83,H95,H107,H119),+IF(H$9=$B$160,+(EXP((LN(+'4. Customer Growth'!$Y$35)/12))*$G142),IF($H$9=$B$161,+$A143*$C$167+#REF!,0)))</f>
        <v>0</v>
      </c>
      <c r="I143" s="677">
        <f>IF(I$9=$B$159,+AVERAGE(I11,I23,I35,I47,I59,I71,I83,I95,I107,I119),+IF(I$9=$B$160,+(EXP((LN(+'4. Customer Growth'!$Y$35)/12))*$G142),IF($H$9=$B$161,+$A143*$C$167+#REF!,0)))</f>
        <v>28.2</v>
      </c>
      <c r="J143" s="677">
        <f>IF(J$9=$B$159,+AVERAGE(J11,J23,J35,J47,J59,J71,J83,J95,J107,J119),+IF(J$9=$B$160,+(EXP((LN(+'4. Customer Growth'!$Y$35)/12))*$G142),IF($J$9=$B$161,+$A143*$C$169+#REF!,0)))</f>
        <v>0</v>
      </c>
      <c r="K143" s="677">
        <f>IF(K$9=$B$159,+AVERAGE(K11,K23,K35,K47,K59,K71,K83,K95,K107,K119),+IF(K$9=$B$160,+(EXP((LN(+'4. Customer Growth'!$Y$35)/12))*$K142),IF($K$9=$B$161,+$A143*$C$170+#REF!,0)))</f>
        <v>0</v>
      </c>
      <c r="L143" s="677">
        <f>IF(L$9=$B$159,+AVERAGE(L11,L23,L35,L47,L59,L71,L83,L95,L107,L119),+IF(L$9=$B$160,+(EXP((LN(+'4. Customer Growth'!$Y$35)/12))*$L142),IF($L$9=$B$161,+$A143*$C$171+#REF!,0)))</f>
        <v>0</v>
      </c>
      <c r="M143" s="240"/>
      <c r="N143" s="268">
        <f t="shared" si="14"/>
        <v>297394.5992737115</v>
      </c>
      <c r="O143" s="272"/>
      <c r="P143" s="240"/>
      <c r="Q143" s="288"/>
      <c r="R143" s="288"/>
      <c r="S143" s="288"/>
      <c r="T143" s="908"/>
      <c r="U143"/>
      <c r="V143"/>
      <c r="W143"/>
      <c r="X143"/>
      <c r="Y143"/>
      <c r="Z143" s="240"/>
      <c r="AA143" s="240"/>
      <c r="AB143" s="240"/>
      <c r="AC143" s="240"/>
      <c r="AD143" s="240"/>
      <c r="AE143" s="240"/>
      <c r="AF143" s="240"/>
      <c r="AG143" s="240"/>
      <c r="AH143" s="240"/>
      <c r="AI143" s="240"/>
    </row>
    <row r="144" spans="1:35" x14ac:dyDescent="0.2">
      <c r="A144" s="675">
        <f t="shared" si="15"/>
        <v>135</v>
      </c>
      <c r="B144" s="266" t="str">
        <f>CONCATENATE('3. Consumption by Rate Class'!B150,"-",'3. Consumption by Rate Class'!C150)</f>
        <v>2016-March</v>
      </c>
      <c r="C144" s="282"/>
      <c r="D144" s="282"/>
      <c r="E144" s="282"/>
      <c r="F144" s="241"/>
      <c r="G144" s="677">
        <f>IF(G$9=$B$159,+AVERAGE(G12,G24,G36,G48,G60,G72,G84,G96,G108,G120),+IF(G$9=$B$160,+(EXP((LN(+'4. Customer Growth'!$Y$35)/12))*$G143),IF($G$9=$B$161,+$A144*$C$166+#REF!,0)))</f>
        <v>571.87</v>
      </c>
      <c r="H144" s="677">
        <f>IF(H$9=$B$159,+AVERAGE(H12,H24,H36,H48,H60,H72,H84,H96,H108,H120),+IF(H$9=$B$160,+(EXP((LN(+'4. Customer Growth'!$Y$35)/12))*$G143),IF($H$9=$B$161,+$A144*$C$167+#REF!,0)))</f>
        <v>0.27999999999999997</v>
      </c>
      <c r="I144" s="677">
        <f>IF(I$9=$B$159,+AVERAGE(I12,I24,I36,I48,I60,I72,I84,I96,I108,I120),+IF(I$9=$B$160,+(EXP((LN(+'4. Customer Growth'!$Y$35)/12))*$G143),IF($H$9=$B$161,+$A144*$C$167+#REF!,0)))</f>
        <v>31</v>
      </c>
      <c r="J144" s="677">
        <f>IF(J$9=$B$159,+AVERAGE(J12,J24,J36,J48,J60,J72,J84,J96,J108,J120),+IF(J$9=$B$160,+(EXP((LN(+'4. Customer Growth'!$Y$35)/12))*$G143),IF($J$9=$B$161,+$A144*$C$169+#REF!,0)))</f>
        <v>1</v>
      </c>
      <c r="K144" s="677">
        <f>IF(K$9=$B$159,+AVERAGE(K12,K24,K36,K48,K60,K72,K84,K96,K108,K120),+IF(K$9=$B$160,+(EXP((LN(+'4. Customer Growth'!$Y$35)/12))*$K143),IF($K$9=$B$161,+$A144*$C$170+#REF!,0)))</f>
        <v>0</v>
      </c>
      <c r="L144" s="677">
        <f>IF(L$9=$B$159,+AVERAGE(L12,L24,L36,L48,L60,L72,L84,L96,L108,L120),+IF(L$9=$B$160,+(EXP((LN(+'4. Customer Growth'!$Y$35)/12))*$L143),IF($L$9=$B$161,+$A144*$C$171+#REF!,0)))</f>
        <v>0</v>
      </c>
      <c r="M144" s="240"/>
      <c r="N144" s="268">
        <f t="shared" si="14"/>
        <v>323984.70191096171</v>
      </c>
      <c r="O144" s="272"/>
      <c r="P144" s="240"/>
      <c r="Q144" s="288"/>
      <c r="R144" s="288"/>
      <c r="S144" s="288"/>
      <c r="T144" s="908"/>
      <c r="U144"/>
      <c r="V144"/>
      <c r="W144"/>
      <c r="X144"/>
      <c r="Y144"/>
      <c r="Z144" s="240"/>
      <c r="AA144" s="240"/>
      <c r="AB144" s="240"/>
      <c r="AC144" s="240"/>
      <c r="AD144" s="240"/>
      <c r="AE144" s="240"/>
      <c r="AF144" s="240"/>
      <c r="AG144" s="240"/>
      <c r="AH144" s="240"/>
      <c r="AI144" s="240"/>
    </row>
    <row r="145" spans="1:35" x14ac:dyDescent="0.2">
      <c r="A145" s="675">
        <f t="shared" si="15"/>
        <v>136</v>
      </c>
      <c r="B145" s="266" t="str">
        <f>CONCATENATE('3. Consumption by Rate Class'!B151,"-",'3. Consumption by Rate Class'!C151)</f>
        <v>2016-April</v>
      </c>
      <c r="C145" s="282"/>
      <c r="D145" s="282"/>
      <c r="E145" s="282"/>
      <c r="F145" s="241"/>
      <c r="G145" s="677">
        <f>IF(G$9=$B$159,+AVERAGE(G13,G25,G37,G49,G61,G73,G85,G97,G109,G121),+IF(G$9=$B$160,+(EXP((LN(+'4. Customer Growth'!$Y$35)/12))*$G144),IF($G$9=$B$161,+$A145*$C$166+#REF!,0)))</f>
        <v>345.26999999999992</v>
      </c>
      <c r="H145" s="677">
        <f>IF(H$9=$B$159,+AVERAGE(H13,H25,H37,H49,H61,H73,H85,H97,H109,H121),+IF(H$9=$B$160,+(EXP((LN(+'4. Customer Growth'!$Y$35)/12))*$G144),IF($H$9=$B$161,+$A145*$C$167+#REF!,0)))</f>
        <v>0.55000000000000004</v>
      </c>
      <c r="I145" s="677">
        <f>IF(I$9=$B$159,+AVERAGE(I13,I25,I37,I49,I61,I73,I85,I97,I109,I121),+IF(I$9=$B$160,+(EXP((LN(+'4. Customer Growth'!$Y$35)/12))*$G144),IF($H$9=$B$161,+$A145*$C$167+#REF!,0)))</f>
        <v>30</v>
      </c>
      <c r="J145" s="677">
        <f>IF(J$9=$B$159,+AVERAGE(J13,J25,J37,J49,J61,J73,J85,J97,J109,J121),+IF(J$9=$B$160,+(EXP((LN(+'4. Customer Growth'!$Y$35)/12))*$G144),IF($J$9=$B$161,+$A145*$C$169+#REF!,0)))</f>
        <v>1</v>
      </c>
      <c r="K145" s="677">
        <f>IF(K$9=$B$159,+AVERAGE(K13,K25,K37,K49,K61,K73,K85,K97,K109,K121),+IF(K$9=$B$160,+(EXP((LN(+'4. Customer Growth'!$Y$35)/12))*$K144),IF($K$9=$B$161,+$A145*$C$170+#REF!,0)))</f>
        <v>0</v>
      </c>
      <c r="L145" s="677">
        <f>IF(L$9=$B$159,+AVERAGE(L13,L25,L37,L49,L61,L73,L85,L97,L109,L121),+IF(L$9=$B$160,+(EXP((LN(+'4. Customer Growth'!$Y$35)/12))*$L144),IF($L$9=$B$161,+$A145*$C$171+#REF!,0)))</f>
        <v>0</v>
      </c>
      <c r="M145" s="240"/>
      <c r="N145" s="268">
        <f t="shared" si="14"/>
        <v>323020.22949799988</v>
      </c>
      <c r="O145" s="272"/>
      <c r="P145" s="240"/>
      <c r="Q145" s="288"/>
      <c r="R145" s="288"/>
      <c r="S145" s="288"/>
      <c r="T145" s="908"/>
      <c r="U145"/>
      <c r="V145"/>
      <c r="W145"/>
      <c r="X145"/>
      <c r="Y145"/>
      <c r="Z145" s="240"/>
      <c r="AA145" s="240"/>
      <c r="AB145" s="240"/>
      <c r="AC145" s="240"/>
      <c r="AD145" s="240"/>
      <c r="AE145" s="240"/>
      <c r="AF145" s="240"/>
      <c r="AG145" s="240"/>
      <c r="AH145" s="240"/>
      <c r="AI145" s="240"/>
    </row>
    <row r="146" spans="1:35" x14ac:dyDescent="0.2">
      <c r="A146" s="675">
        <f t="shared" si="15"/>
        <v>137</v>
      </c>
      <c r="B146" s="266" t="str">
        <f>CONCATENATE('3. Consumption by Rate Class'!B152,"-",'3. Consumption by Rate Class'!C152)</f>
        <v>2016-May</v>
      </c>
      <c r="C146" s="282"/>
      <c r="D146" s="282"/>
      <c r="E146" s="282"/>
      <c r="F146" s="241"/>
      <c r="G146" s="677">
        <f>IF(G$9=$B$159,+AVERAGE(G14,G26,G38,G50,G62,G74,G86,G98,G110,G122),+IF(G$9=$B$160,+(EXP((LN(+'4. Customer Growth'!$Y$35)/12))*$G145),IF($G$9=$B$161,+$A146*$C$166+#REF!,0)))</f>
        <v>183.77</v>
      </c>
      <c r="H146" s="677">
        <f>IF(H$9=$B$159,+AVERAGE(H14,H26,H38,H50,H62,H74,H86,H98,H110,H122),+IF(H$9=$B$160,+(EXP((LN(+'4. Customer Growth'!$Y$35)/12))*$G145),IF($H$9=$B$161,+$A146*$C$167+#REF!,0)))</f>
        <v>11.68</v>
      </c>
      <c r="I146" s="677">
        <f>IF(I$9=$B$159,+AVERAGE(I14,I26,I38,I50,I62,I74,I86,I98,I110,I122),+IF(I$9=$B$160,+(EXP((LN(+'4. Customer Growth'!$Y$35)/12))*$G145),IF($H$9=$B$161,+$A146*$C$167+#REF!,0)))</f>
        <v>31</v>
      </c>
      <c r="J146" s="677">
        <f>IF(J$9=$B$159,+AVERAGE(J14,J26,J38,J50,J62,J74,J86,J98,J110,J122),+IF(J$9=$B$160,+(EXP((LN(+'4. Customer Growth'!$Y$35)/12))*$G145),IF($J$9=$B$161,+$A146*$C$169+#REF!,0)))</f>
        <v>1</v>
      </c>
      <c r="K146" s="677">
        <f>IF(K$9=$B$159,+AVERAGE(K14,K26,K38,K50,K62,K74,K86,K98,K110,K122),+IF(K$9=$B$160,+(EXP((LN(+'4. Customer Growth'!$Y$35)/12))*$K145),IF($K$9=$B$161,+$A146*$C$170+#REF!,0)))</f>
        <v>0</v>
      </c>
      <c r="L146" s="677">
        <f>IF(L$9=$B$159,+AVERAGE(L14,L26,L38,L50,L62,L74,L86,L98,L110,L122),+IF(L$9=$B$160,+(EXP((LN(+'4. Customer Growth'!$Y$35)/12))*$L145),IF($L$9=$B$161,+$A146*$C$171+#REF!,0)))</f>
        <v>0</v>
      </c>
      <c r="M146" s="240"/>
      <c r="N146" s="268">
        <f t="shared" si="14"/>
        <v>347142.38106372027</v>
      </c>
      <c r="O146" s="272"/>
      <c r="P146" s="240"/>
      <c r="Q146" s="288"/>
      <c r="R146" s="288"/>
      <c r="S146" s="288"/>
      <c r="T146" s="908"/>
      <c r="U146"/>
      <c r="V146"/>
      <c r="W146"/>
      <c r="X146"/>
      <c r="Y146"/>
      <c r="Z146" s="240"/>
      <c r="AA146" s="240"/>
      <c r="AB146" s="240"/>
      <c r="AC146" s="240"/>
      <c r="AD146" s="240"/>
      <c r="AE146" s="240"/>
      <c r="AF146" s="240"/>
      <c r="AG146" s="240"/>
      <c r="AH146" s="240"/>
      <c r="AI146" s="240"/>
    </row>
    <row r="147" spans="1:35" x14ac:dyDescent="0.2">
      <c r="A147" s="675">
        <f t="shared" si="15"/>
        <v>138</v>
      </c>
      <c r="B147" s="266" t="str">
        <f>CONCATENATE('3. Consumption by Rate Class'!B153,"-",'3. Consumption by Rate Class'!C153)</f>
        <v>2016-June</v>
      </c>
      <c r="C147" s="282"/>
      <c r="D147" s="282"/>
      <c r="E147" s="282"/>
      <c r="F147" s="241"/>
      <c r="G147" s="677">
        <f>IF(G$9=$B$159,+AVERAGE(G15,G27,G39,G51,G63,G75,G87,G99,G111,G123),+IF(G$9=$B$160,+(EXP((LN(+'4. Customer Growth'!$Y$35)/12))*$G146),IF($G$9=$B$161,+$A147*$C$166+#REF!,0)))</f>
        <v>52.5</v>
      </c>
      <c r="H147" s="677">
        <f>IF(H$9=$B$159,+AVERAGE(H15,H27,H39,H51,H63,H75,H87,H99,H111,H123),+IF(H$9=$B$160,+(EXP((LN(+'4. Customer Growth'!$Y$35)/12))*$G146),IF($H$9=$B$161,+$A147*$C$167+#REF!,0)))</f>
        <v>47.65</v>
      </c>
      <c r="I147" s="677">
        <f>IF(I$9=$B$159,+AVERAGE(I15,I27,I39,I51,I63,I75,I87,I99,I111,I123),+IF(I$9=$B$160,+(EXP((LN(+'4. Customer Growth'!$Y$35)/12))*$G146),IF($H$9=$B$161,+$A147*$C$167+#REF!,0)))</f>
        <v>30</v>
      </c>
      <c r="J147" s="677">
        <f>IF(J$9=$B$159,+AVERAGE(J15,J27,J39,J51,J63,J75,J87,J99,J111,J123),+IF(J$9=$B$160,+(EXP((LN(+'4. Customer Growth'!$Y$35)/12))*$G146),IF($J$9=$B$161,+$A147*$C$169+#REF!,0)))</f>
        <v>0</v>
      </c>
      <c r="K147" s="677">
        <f>IF(K$9=$B$159,+AVERAGE(K15,K27,K39,K51,K63,K75,K87,K99,K111,K123),+IF(K$9=$B$160,+(EXP((LN(+'4. Customer Growth'!$Y$35)/12))*$K146),IF($K$9=$B$161,+$A147*$C$170+#REF!,0)))</f>
        <v>0</v>
      </c>
      <c r="L147" s="677">
        <f>IF(L$9=$B$159,+AVERAGE(L15,L27,L39,L51,L63,L75,L87,L99,L111,L123),+IF(L$9=$B$160,+(EXP((LN(+'4. Customer Growth'!$Y$35)/12))*$L146),IF($L$9=$B$161,+$A147*$C$171+#REF!,0)))</f>
        <v>0</v>
      </c>
      <c r="M147" s="240"/>
      <c r="N147" s="268">
        <f t="shared" si="14"/>
        <v>366282.01430171158</v>
      </c>
      <c r="O147" s="272"/>
      <c r="P147" s="240"/>
      <c r="Q147" s="288"/>
      <c r="R147" s="288"/>
      <c r="S147" s="288"/>
      <c r="T147" s="908"/>
      <c r="U147"/>
      <c r="V147"/>
      <c r="W147"/>
      <c r="X147"/>
      <c r="Y147"/>
      <c r="Z147" s="240"/>
      <c r="AA147" s="240"/>
      <c r="AB147" s="240"/>
      <c r="AC147" s="240"/>
      <c r="AD147" s="240"/>
      <c r="AE147" s="240"/>
      <c r="AF147" s="240"/>
      <c r="AG147" s="240"/>
      <c r="AH147" s="240"/>
      <c r="AI147" s="240"/>
    </row>
    <row r="148" spans="1:35" x14ac:dyDescent="0.2">
      <c r="A148" s="675">
        <f t="shared" si="15"/>
        <v>139</v>
      </c>
      <c r="B148" s="266" t="str">
        <f>CONCATENATE('3. Consumption by Rate Class'!B154,"-",'3. Consumption by Rate Class'!C154)</f>
        <v>2016-July</v>
      </c>
      <c r="C148" s="282"/>
      <c r="D148" s="282"/>
      <c r="E148" s="282"/>
      <c r="F148" s="241"/>
      <c r="G148" s="677">
        <f>IF(G$9=$B$159,+AVERAGE(G16,G28,G40,G52,G64,G76,G88,G100,G112,G124),+IF(G$9=$B$160,+(EXP((LN(+'4. Customer Growth'!$Y$35)/12))*$G147),IF($G$9=$B$161,+$A148*$C$166+#REF!,0)))</f>
        <v>9.31</v>
      </c>
      <c r="H148" s="677">
        <f>IF(H$9=$B$159,+AVERAGE(H16,H28,H40,H52,H64,H76,H88,H100,H112,H124),+IF(H$9=$B$160,+(EXP((LN(+'4. Customer Growth'!$Y$35)/12))*$G147),IF($H$9=$B$161,+$A148*$C$167+#REF!,0)))</f>
        <v>100.14</v>
      </c>
      <c r="I148" s="677">
        <f>IF(I$9=$B$159,+AVERAGE(I16,I28,I40,I52,I64,I76,I88,I100,I112,I124),+IF(I$9=$B$160,+(EXP((LN(+'4. Customer Growth'!$Y$35)/12))*$G147),IF($H$9=$B$161,+$A148*$C$167+#REF!,0)))</f>
        <v>31</v>
      </c>
      <c r="J148" s="677">
        <f>IF(J$9=$B$159,+AVERAGE(J16,J28,J40,J52,J64,J76,J88,J100,J112,J124),+IF(J$9=$B$160,+(EXP((LN(+'4. Customer Growth'!$Y$35)/12))*$G147),IF($J$9=$B$161,+$A148*$C$169+#REF!,0)))</f>
        <v>0</v>
      </c>
      <c r="K148" s="677">
        <f>IF(K$9=$B$159,+AVERAGE(K16,K28,K40,K52,K64,K76,K88,K100,K112,K124),+IF(K$9=$B$160,+(EXP((LN(+'4. Customer Growth'!$Y$35)/12))*$K147),IF($K$9=$B$161,+$A148*$C$170+#REF!,0)))</f>
        <v>0</v>
      </c>
      <c r="L148" s="677">
        <f>IF(L$9=$B$159,+AVERAGE(L16,L28,L40,L52,L64,L76,L88,L100,L112,L124),+IF(L$9=$B$160,+(EXP((LN(+'4. Customer Growth'!$Y$35)/12))*$L147),IF($L$9=$B$161,+$A148*$C$171+#REF!,0)))</f>
        <v>0</v>
      </c>
      <c r="M148" s="240"/>
      <c r="N148" s="268">
        <f t="shared" si="14"/>
        <v>400525.39597952267</v>
      </c>
      <c r="O148" s="272"/>
      <c r="P148" s="240"/>
      <c r="Q148" s="288"/>
      <c r="R148" s="288"/>
      <c r="S148" s="288"/>
      <c r="T148" s="908"/>
      <c r="U148"/>
      <c r="V148"/>
      <c r="W148"/>
      <c r="X148"/>
      <c r="Y148"/>
      <c r="Z148" s="240"/>
      <c r="AA148" s="240"/>
      <c r="AB148" s="240"/>
      <c r="AC148" s="240"/>
      <c r="AD148" s="240"/>
      <c r="AE148" s="240"/>
      <c r="AF148" s="240"/>
      <c r="AG148" s="240"/>
      <c r="AH148" s="240"/>
      <c r="AI148" s="240"/>
    </row>
    <row r="149" spans="1:35" x14ac:dyDescent="0.2">
      <c r="A149" s="675">
        <f t="shared" si="15"/>
        <v>140</v>
      </c>
      <c r="B149" s="266" t="str">
        <f>CONCATENATE('3. Consumption by Rate Class'!B155,"-",'3. Consumption by Rate Class'!C155)</f>
        <v>2016-August</v>
      </c>
      <c r="C149" s="282"/>
      <c r="D149" s="282"/>
      <c r="E149" s="282"/>
      <c r="F149" s="241"/>
      <c r="G149" s="677">
        <f>IF(G$9=$B$159,+AVERAGE(G17,G29,G41,G53,G65,G77,G89,G101,G113,G125),+IF(G$9=$B$160,+(EXP((LN(+'4. Customer Growth'!$Y$35)/12))*$G148),IF($G$9=$B$161,+$A149*$C$166+#REF!,0)))</f>
        <v>12.379999999999999</v>
      </c>
      <c r="H149" s="677">
        <f>IF(H$9=$B$159,+AVERAGE(H17,H29,H41,H53,H65,H77,H89,H101,H113,H125),+IF(H$9=$B$160,+(EXP((LN(+'4. Customer Growth'!$Y$35)/12))*$G148),IF($H$9=$B$161,+$A149*$C$167+#REF!,0)))</f>
        <v>80.009999999999991</v>
      </c>
      <c r="I149" s="677">
        <f>IF(I$9=$B$159,+AVERAGE(I17,I29,I41,I53,I65,I77,I89,I101,I113,I125),+IF(I$9=$B$160,+(EXP((LN(+'4. Customer Growth'!$Y$35)/12))*$G148),IF($H$9=$B$161,+$A149*$C$167+#REF!,0)))</f>
        <v>31</v>
      </c>
      <c r="J149" s="677">
        <f>IF(J$9=$B$159,+AVERAGE(J17,J29,J41,J53,J65,J77,J89,J101,J113,J125),+IF(J$9=$B$160,+(EXP((LN(+'4. Customer Growth'!$Y$35)/12))*$G148),IF($J$9=$B$161,+$A149*$C$169+#REF!,0)))</f>
        <v>0</v>
      </c>
      <c r="K149" s="677">
        <f>IF(K$9=$B$159,+AVERAGE(K17,K29,K41,K53,K65,K77,K89,K101,K113,K125),+IF(K$9=$B$160,+(EXP((LN(+'4. Customer Growth'!$Y$35)/12))*$K148),IF($K$9=$B$161,+$A149*$C$170+#REF!,0)))</f>
        <v>0</v>
      </c>
      <c r="L149" s="677">
        <f>IF(L$9=$B$159,+AVERAGE(L17,L29,L41,L53,L65,L77,L89,L101,L113,L125),+IF(L$9=$B$160,+(EXP((LN(+'4. Customer Growth'!$Y$35)/12))*$L148),IF($L$9=$B$161,+$A149*$C$171+#REF!,0)))</f>
        <v>0</v>
      </c>
      <c r="M149" s="240"/>
      <c r="N149" s="268">
        <f t="shared" si="14"/>
        <v>392663.01604628388</v>
      </c>
      <c r="O149" s="272"/>
      <c r="P149" s="240"/>
      <c r="Q149" s="288"/>
      <c r="R149" s="288"/>
      <c r="S149" s="288"/>
      <c r="T149" s="908"/>
      <c r="U149"/>
      <c r="V149"/>
      <c r="W149"/>
      <c r="X149"/>
      <c r="Y149"/>
      <c r="Z149" s="240"/>
      <c r="AA149" s="240"/>
      <c r="AB149" s="240"/>
      <c r="AC149" s="240"/>
      <c r="AD149" s="240"/>
      <c r="AE149" s="240"/>
      <c r="AF149" s="240"/>
      <c r="AG149" s="240"/>
      <c r="AH149" s="240"/>
      <c r="AI149" s="240"/>
    </row>
    <row r="150" spans="1:35" x14ac:dyDescent="0.2">
      <c r="A150" s="675">
        <f t="shared" si="15"/>
        <v>141</v>
      </c>
      <c r="B150" s="266" t="str">
        <f>CONCATENATE('3. Consumption by Rate Class'!B156,"-",'3. Consumption by Rate Class'!C156)</f>
        <v>2016-September</v>
      </c>
      <c r="C150" s="282"/>
      <c r="D150" s="282"/>
      <c r="E150" s="282"/>
      <c r="F150" s="241"/>
      <c r="G150" s="677">
        <f>IF(G$9=$B$159,+AVERAGE(G18,G30,G42,G54,G66,G78,G90,G102,G114,G126),+IF(G$9=$B$160,+(EXP((LN(+'4. Customer Growth'!$Y$35)/12))*$G149),IF($G$9=$B$161,+$A150*$C$166+#REF!,0)))</f>
        <v>77.28</v>
      </c>
      <c r="H150" s="677">
        <f>IF(H$9=$B$159,+AVERAGE(H18,H30,H42,H54,H66,H78,H90,H102,H114,H126),+IF(H$9=$B$160,+(EXP((LN(+'4. Customer Growth'!$Y$35)/12))*$G149),IF($H$9=$B$161,+$A150*$C$167+#REF!,0)))</f>
        <v>25.779999999999994</v>
      </c>
      <c r="I150" s="677">
        <f>IF(I$9=$B$159,+AVERAGE(I18,I30,I42,I54,I66,I78,I90,I102,I114,I126),+IF(I$9=$B$160,+(EXP((LN(+'4. Customer Growth'!$Y$35)/12))*$G149),IF($H$9=$B$161,+$A150*$C$167+#REF!,0)))</f>
        <v>30</v>
      </c>
      <c r="J150" s="677">
        <f>IF(J$9=$B$159,+AVERAGE(J18,J30,J42,J54,J66,J78,J90,J102,J114,J126),+IF(J$9=$B$160,+(EXP((LN(+'4. Customer Growth'!$Y$35)/12))*$G149),IF($J$9=$B$161,+$A150*$C$169+#REF!,0)))</f>
        <v>1</v>
      </c>
      <c r="K150" s="677">
        <f>IF(K$9=$B$159,+AVERAGE(K18,K30,K42,K54,K66,K78,K90,K102,K114,K126),+IF(K$9=$B$160,+(EXP((LN(+'4. Customer Growth'!$Y$35)/12))*$K149),IF($K$9=$B$161,+$A150*$C$170+#REF!,0)))</f>
        <v>0</v>
      </c>
      <c r="L150" s="677">
        <f>IF(L$9=$B$159,+AVERAGE(L18,L30,L42,L54,L66,L78,L90,L102,L114,L126),+IF(L$9=$B$160,+(EXP((LN(+'4. Customer Growth'!$Y$35)/12))*$L149),IF($L$9=$B$161,+$A150*$C$171+#REF!,0)))</f>
        <v>0</v>
      </c>
      <c r="M150" s="240"/>
      <c r="N150" s="268">
        <f t="shared" si="14"/>
        <v>345662.58778987575</v>
      </c>
      <c r="O150" s="272"/>
      <c r="P150" s="240"/>
      <c r="Q150" s="243"/>
      <c r="R150" s="243"/>
      <c r="S150" s="243"/>
      <c r="T150" s="243"/>
      <c r="U150" s="240"/>
      <c r="V150" s="240"/>
      <c r="W150" s="240"/>
      <c r="X150" s="240"/>
      <c r="Y150" s="240"/>
      <c r="Z150" s="240"/>
      <c r="AA150" s="240"/>
      <c r="AB150" s="240"/>
      <c r="AC150" s="240"/>
      <c r="AD150" s="240"/>
      <c r="AE150" s="240"/>
      <c r="AF150" s="240"/>
      <c r="AG150" s="240"/>
      <c r="AH150" s="240"/>
      <c r="AI150" s="240"/>
    </row>
    <row r="151" spans="1:35" x14ac:dyDescent="0.2">
      <c r="A151" s="675">
        <f t="shared" si="15"/>
        <v>142</v>
      </c>
      <c r="B151" s="266" t="str">
        <f>CONCATENATE('3. Consumption by Rate Class'!B157,"-",'3. Consumption by Rate Class'!C157)</f>
        <v>2016-October</v>
      </c>
      <c r="C151" s="282"/>
      <c r="D151" s="282"/>
      <c r="E151" s="282"/>
      <c r="F151" s="241"/>
      <c r="G151" s="677">
        <f>IF(G$9=$B$159,+AVERAGE(G19,G31,G43,G55,G67,G79,G91,G103,G115,G127),+IF(G$9=$B$160,+(EXP((LN(+'4. Customer Growth'!$Y$35)/12))*$G150),IF($G$9=$B$161,+$A151*$C$166+#REF!,0)))</f>
        <v>233.95000000000005</v>
      </c>
      <c r="H151" s="677">
        <f>IF(H$9=$B$159,+AVERAGE(H19,H31,H43,H55,H67,H79,H91,H103,H115,H127),+IF(H$9=$B$160,+(EXP((LN(+'4. Customer Growth'!$Y$35)/12))*$G150),IF($H$9=$B$161,+$A151*$C$167+#REF!,0)))</f>
        <v>5.07</v>
      </c>
      <c r="I151" s="677">
        <f>IF(I$9=$B$159,+AVERAGE(I19,I31,I43,I55,I67,I79,I91,I103,I115,I127),+IF(I$9=$B$160,+(EXP((LN(+'4. Customer Growth'!$Y$35)/12))*$G150),IF($H$9=$B$161,+$A151*$C$167+#REF!,0)))</f>
        <v>31</v>
      </c>
      <c r="J151" s="677">
        <f>IF(J$9=$B$159,+AVERAGE(J19,J31,J43,J55,J67,J79,J91,J103,J115,J127),+IF(J$9=$B$160,+(EXP((LN(+'4. Customer Growth'!$Y$35)/12))*$G150),IF($J$9=$B$161,+$A151*$C$169+#REF!,0)))</f>
        <v>1</v>
      </c>
      <c r="K151" s="677">
        <f>IF(K$9=$B$159,+AVERAGE(K19,K31,K43,K55,K67,K79,K91,K103,K115,K127),+IF(K$9=$B$160,+(EXP((LN(+'4. Customer Growth'!$Y$35)/12))*$K150),IF($K$9=$B$161,+$A151*$C$170+#REF!,0)))</f>
        <v>0</v>
      </c>
      <c r="L151" s="677">
        <f>IF(L$9=$B$159,+AVERAGE(L19,L31,L43,L55,L67,L79,L91,L103,L115,L127),+IF(L$9=$B$160,+(EXP((LN(+'4. Customer Growth'!$Y$35)/12))*$L150),IF($L$9=$B$161,+$A151*$C$171+#REF!,0)))</f>
        <v>0</v>
      </c>
      <c r="M151" s="240"/>
      <c r="N151" s="268">
        <f t="shared" si="14"/>
        <v>342180.06663041323</v>
      </c>
      <c r="O151" s="272"/>
      <c r="P151" s="240"/>
      <c r="Q151" s="240"/>
      <c r="R151" s="240"/>
      <c r="S151" s="240"/>
      <c r="T151" s="240"/>
      <c r="U151" s="240"/>
      <c r="V151" s="240"/>
      <c r="W151" s="240"/>
      <c r="X151" s="240"/>
      <c r="Y151" s="240"/>
      <c r="Z151" s="240"/>
      <c r="AA151" s="240"/>
      <c r="AB151" s="240"/>
      <c r="AC151" s="240"/>
      <c r="AD151" s="240"/>
      <c r="AE151" s="240"/>
      <c r="AF151" s="240"/>
      <c r="AG151" s="240"/>
      <c r="AH151" s="240"/>
      <c r="AI151" s="240"/>
    </row>
    <row r="152" spans="1:35" x14ac:dyDescent="0.2">
      <c r="A152" s="675">
        <f t="shared" si="15"/>
        <v>143</v>
      </c>
      <c r="B152" s="170" t="str">
        <f>CONCATENATE('3. Consumption by Rate Class'!B158,"-",'3. Consumption by Rate Class'!C158)</f>
        <v>2016-November</v>
      </c>
      <c r="C152" s="55"/>
      <c r="D152" s="55"/>
      <c r="E152" s="55"/>
      <c r="G152" s="677">
        <f>IF(G$9=$B$159,+AVERAGE(G20,G32,G44,G56,G68,G80,G92,G104,G116,G128),+IF(G$9=$B$160,+(EXP((LN(+'4. Customer Growth'!$Y$35)/12))*$G151),IF($G$9=$B$161,+$A152*$C$166+#REF!,0)))</f>
        <v>415.16999999999996</v>
      </c>
      <c r="H152" s="677">
        <f>IF(H$9=$B$159,+AVERAGE(H20,H32,H44,H56,H68,H80,H92,H104,H116,H128),+IF(H$9=$B$160,+(EXP((LN(+'4. Customer Growth'!$Y$35)/12))*$G151),IF($H$9=$B$161,+$A152*$C$167+#REF!,0)))</f>
        <v>0</v>
      </c>
      <c r="I152" s="677">
        <f>IF(I$9=$B$159,+AVERAGE(I20,I32,I44,I56,I68,I80,I92,I104,I116,I128),+IF(I$9=$B$160,+(EXP((LN(+'4. Customer Growth'!$Y$35)/12))*$G151),IF($H$9=$B$161,+$A152*$C$167+#REF!,0)))</f>
        <v>30</v>
      </c>
      <c r="J152" s="677">
        <f>IF(J$9=$B$159,+AVERAGE(J20,J32,J44,J56,J68,J80,J92,J104,J116,J128),+IF(J$9=$B$160,+(EXP((LN(+'4. Customer Growth'!$Y$35)/12))*$G151),IF($J$9=$B$161,+$A152*$C$169+#REF!,0)))</f>
        <v>1</v>
      </c>
      <c r="K152" s="677">
        <f>IF(K$9=$B$159,+AVERAGE(K20,K32,K44,K56,K68,K80,K92,K104,K116,K128),+IF(K$9=$B$160,+(EXP((LN(+'4. Customer Growth'!$Y$35)/12))*$K151),IF($K$9=$B$161,+$A152*$C$170+#REF!,0)))</f>
        <v>0</v>
      </c>
      <c r="L152" s="677">
        <f>IF(L$9=$B$159,+AVERAGE(L20,L32,L44,L56,L68,L80,L92,L104,L116,L128),+IF(L$9=$B$160,+(EXP((LN(+'4. Customer Growth'!$Y$35)/12))*$L151),IF($L$9=$B$161,+$A152*$C$171+#REF!,0)))</f>
        <v>0</v>
      </c>
      <c r="N152" s="268">
        <f t="shared" si="14"/>
        <v>319425.37542557938</v>
      </c>
      <c r="O152" s="217"/>
    </row>
    <row r="153" spans="1:35" x14ac:dyDescent="0.2">
      <c r="A153" s="675">
        <f t="shared" si="15"/>
        <v>144</v>
      </c>
      <c r="B153" s="170" t="str">
        <f>CONCATENATE('3. Consumption by Rate Class'!B159,"-",'3. Consumption by Rate Class'!C159)</f>
        <v>2016-December</v>
      </c>
      <c r="C153" s="55"/>
      <c r="D153" s="55" t="s">
        <v>417</v>
      </c>
      <c r="E153" s="830">
        <f>SUM(E118:E129)</f>
        <v>414963.1</v>
      </c>
      <c r="G153" s="677">
        <f>IF(G$9=$B$159,+AVERAGE(G21,G33,G45,G57,G69,G81,G93,G105,G117,G129),+IF(G$9=$B$160,+(EXP((LN(+'4. Customer Growth'!$Y$35)/12))*$G152),IF($G$9=$B$161,+$A153*$C$166+#REF!,0)))</f>
        <v>610.69000000000005</v>
      </c>
      <c r="H153" s="677">
        <f>IF(H$9=$B$159,+AVERAGE(H21,H33,H45,H57,H69,H81,H93,H105,H117,H129),+IF(H$9=$B$160,+(EXP((LN(+'4. Customer Growth'!$Y$35)/12))*$G152),IF($H$9=$B$161,+$A153*$C$167+#REF!,0)))</f>
        <v>0</v>
      </c>
      <c r="I153" s="677">
        <f>IF(I$9=$B$159,+AVERAGE(I21,I33,I45,I57,I69,I81,I93,I105,I117,I129),+IF(I$9=$B$160,+(EXP((LN(+'4. Customer Growth'!$Y$35)/12))*$G152),IF($H$9=$B$161,+$A153*$C$167+#REF!,0)))</f>
        <v>31</v>
      </c>
      <c r="J153" s="677">
        <f>IF(J$9=$B$159,+AVERAGE(J21,J33,J45,J57,J69,J81,J93,J105,J117,J129),+IF(J$9=$B$160,+(EXP((LN(+'4. Customer Growth'!$Y$35)/12))*$G152),IF($J$9=$B$161,+$A153*$C$169+#REF!,0)))</f>
        <v>0</v>
      </c>
      <c r="K153" s="677">
        <f>IF(K$9=$B$159,+AVERAGE(K21,K33,K45,K57,K69,K81,K93,K105,K117,K129),+IF(K$9=$B$160,+(EXP((LN(+'4. Customer Growth'!$Y$35)/12))*$K152),IF($K$9=$B$161,+$A153*$C$170+#REF!,0)))</f>
        <v>0</v>
      </c>
      <c r="L153" s="677">
        <f>IF(L$9=$B$159,+AVERAGE(L21,L33,L45,L57,L69,L81,L93,L105,L117,L129),+IF(L$9=$B$160,+(EXP((LN(+'4. Customer Growth'!$Y$35)/12))*$L152),IF($L$9=$B$161,+$A153*$C$171+#REF!,0)))</f>
        <v>0</v>
      </c>
      <c r="N153" s="268">
        <f t="shared" si="14"/>
        <v>333037.22862597276</v>
      </c>
      <c r="O153" s="217">
        <f>SUM(N142:N153)</f>
        <v>4119723.6004321226</v>
      </c>
      <c r="Q153" s="805">
        <f>+O153-E153</f>
        <v>3704760.5004321225</v>
      </c>
    </row>
    <row r="154" spans="1:35" x14ac:dyDescent="0.2">
      <c r="B154" s="171"/>
      <c r="C154" s="55"/>
      <c r="D154" s="55"/>
      <c r="E154" s="55"/>
    </row>
    <row r="156" spans="1:35" ht="26.25" customHeight="1" x14ac:dyDescent="0.2">
      <c r="B156" s="1394" t="s">
        <v>406</v>
      </c>
      <c r="C156" s="1394"/>
      <c r="D156" s="1394"/>
      <c r="E156" s="1394"/>
      <c r="F156" s="1394"/>
      <c r="G156" s="1394"/>
      <c r="H156" s="1394"/>
      <c r="I156" s="1394"/>
      <c r="J156" s="1394"/>
      <c r="K156" s="1394"/>
      <c r="L156" s="1394"/>
      <c r="M156" s="1394"/>
      <c r="N156" s="1394"/>
      <c r="O156" s="1394"/>
    </row>
    <row r="157" spans="1:35" x14ac:dyDescent="0.2">
      <c r="B157" s="832"/>
      <c r="C157" s="832"/>
      <c r="D157" s="354"/>
      <c r="E157" s="354"/>
      <c r="F157" s="354"/>
      <c r="G157" s="354"/>
      <c r="H157" s="354"/>
      <c r="I157" s="354"/>
      <c r="J157" s="354"/>
      <c r="K157" s="354"/>
      <c r="L157" s="354"/>
      <c r="M157" s="831"/>
      <c r="N157" s="354"/>
      <c r="O157" s="831"/>
    </row>
    <row r="158" spans="1:35" hidden="1" x14ac:dyDescent="0.2">
      <c r="A158" s="334"/>
      <c r="B158" s="335" t="s">
        <v>169</v>
      </c>
      <c r="C158" s="336"/>
      <c r="H158" s="293"/>
    </row>
    <row r="159" spans="1:35" hidden="1" x14ac:dyDescent="0.2">
      <c r="A159" s="334"/>
      <c r="B159" s="337" t="s">
        <v>167</v>
      </c>
      <c r="C159" s="747"/>
    </row>
    <row r="160" spans="1:35" hidden="1" x14ac:dyDescent="0.2">
      <c r="A160" s="334"/>
      <c r="B160" s="339" t="s">
        <v>168</v>
      </c>
      <c r="C160" s="340"/>
    </row>
    <row r="161" spans="2:3" s="1" customFormat="1" x14ac:dyDescent="0.2">
      <c r="B161" s="672" t="s">
        <v>232</v>
      </c>
      <c r="C161" s="747"/>
    </row>
    <row r="162" spans="2:3" s="1" customFormat="1" x14ac:dyDescent="0.2">
      <c r="B162" s="341"/>
      <c r="C162" s="341"/>
    </row>
    <row r="163" spans="2:3" s="1" customFormat="1" x14ac:dyDescent="0.2">
      <c r="B163" s="341"/>
      <c r="C163" s="341"/>
    </row>
    <row r="164" spans="2:3" s="1" customFormat="1" x14ac:dyDescent="0.2">
      <c r="B164" s="1357" t="s">
        <v>233</v>
      </c>
      <c r="C164" s="1357"/>
    </row>
    <row r="165" spans="2:3" s="1" customFormat="1" x14ac:dyDescent="0.2">
      <c r="B165" s="676" t="s">
        <v>144</v>
      </c>
      <c r="C165" s="674" t="s">
        <v>234</v>
      </c>
    </row>
    <row r="166" spans="2:3" s="1" customFormat="1" ht="14.25" x14ac:dyDescent="0.2">
      <c r="B166" s="676" t="s">
        <v>1</v>
      </c>
      <c r="C166" s="673">
        <f>INDEX(LINEST($G$10:$G129,$A$10:$A$129,TRUE,FALSE),1)</f>
        <v>-0.16210084033613409</v>
      </c>
    </row>
    <row r="167" spans="2:3" s="1" customFormat="1" ht="14.25" x14ac:dyDescent="0.2">
      <c r="B167" s="676" t="s">
        <v>2</v>
      </c>
      <c r="C167" s="673">
        <f>INDEX(LINEST($H$10:$H129,$A$10:$A$129,TRUE,FALSE),1)</f>
        <v>-6.7311618862420999E-2</v>
      </c>
    </row>
    <row r="168" spans="2:3" s="1" customFormat="1" ht="14.25" x14ac:dyDescent="0.2">
      <c r="B168" s="676" t="s">
        <v>127</v>
      </c>
      <c r="C168" s="673">
        <f>INDEX(LINEST($I$10:$I129,$A$10:$A$129,TRUE,FALSE),1)</f>
        <v>6.8060281964024845E-4</v>
      </c>
    </row>
    <row r="169" spans="2:3" s="1" customFormat="1" ht="14.25" x14ac:dyDescent="0.2">
      <c r="B169" s="676" t="s">
        <v>152</v>
      </c>
      <c r="C169" s="673">
        <f>INDEX(LINEST($J$10:$J129,$A$10:$A$129,TRUE,FALSE),1)</f>
        <v>2.0834780193068936E-4</v>
      </c>
    </row>
    <row r="170" spans="2:3" s="1" customFormat="1" ht="14.25" x14ac:dyDescent="0.2">
      <c r="B170" s="676" t="s">
        <v>126</v>
      </c>
      <c r="C170" s="673">
        <f>INDEX(LINEST($K$10:$K129,$A$10:$A$129,TRUE,FALSE),1)</f>
        <v>0</v>
      </c>
    </row>
    <row r="171" spans="2:3" s="1" customFormat="1" ht="14.25" x14ac:dyDescent="0.2">
      <c r="B171" s="676" t="s">
        <v>163</v>
      </c>
      <c r="C171" s="673">
        <f>INDEX(LINEST($L$10:$L129,$A$10:$A$129,TRUE,FALSE),1)</f>
        <v>0</v>
      </c>
    </row>
    <row r="172" spans="2:3" s="1" customFormat="1" x14ac:dyDescent="0.2">
      <c r="B172" s="341"/>
      <c r="C172" s="341"/>
    </row>
  </sheetData>
  <mergeCells count="6">
    <mergeCell ref="D7:E7"/>
    <mergeCell ref="G7:L7"/>
    <mergeCell ref="D9:F9"/>
    <mergeCell ref="M9:O9"/>
    <mergeCell ref="B164:C164"/>
    <mergeCell ref="B156:O156"/>
  </mergeCells>
  <dataValidations disablePrompts="1" count="2">
    <dataValidation type="list" allowBlank="1" showInputMessage="1" showErrorMessage="1" sqref="G9:L9">
      <formula1>$B$159:$B$161</formula1>
    </dataValidation>
    <dataValidation type="list" allowBlank="1" showInputMessage="1" showErrorMessage="1" sqref="G8:L8">
      <formula1>AllVariables</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1"/>
  <sheetViews>
    <sheetView showGridLines="0" zoomScaleNormal="100" workbookViewId="0"/>
  </sheetViews>
  <sheetFormatPr defaultColWidth="10.5" defaultRowHeight="12.75" x14ac:dyDescent="0.2"/>
  <cols>
    <col min="1" max="1" width="10.5" style="1"/>
    <col min="2" max="2" width="61.5" style="1" customWidth="1"/>
    <col min="3" max="3" width="7.1640625" style="1" hidden="1" customWidth="1"/>
    <col min="4" max="4" width="12.5" style="1" bestFit="1" customWidth="1"/>
    <col min="5" max="6" width="19.5" style="1" customWidth="1"/>
    <col min="7" max="11" width="16.33203125" style="1" customWidth="1"/>
    <col min="12" max="16" width="16.33203125" style="1" bestFit="1" customWidth="1"/>
    <col min="17" max="18" width="10.5" style="1"/>
    <col min="19" max="20" width="1.83203125" style="1" bestFit="1" customWidth="1"/>
    <col min="21" max="16384" width="10.5" style="1"/>
  </cols>
  <sheetData>
    <row r="1" spans="2:16" ht="13.5" thickBot="1" x14ac:dyDescent="0.25"/>
    <row r="2" spans="2:16" ht="13.5" thickBot="1" x14ac:dyDescent="0.25">
      <c r="L2" s="331"/>
      <c r="M2" s="358" t="s">
        <v>180</v>
      </c>
    </row>
    <row r="3" spans="2:16" ht="23.25" x14ac:dyDescent="0.2">
      <c r="C3" s="127"/>
    </row>
    <row r="4" spans="2:16" ht="23.25" x14ac:dyDescent="0.2">
      <c r="B4" s="127" t="s">
        <v>385</v>
      </c>
      <c r="C4" s="127"/>
    </row>
    <row r="5" spans="2:16" ht="23.25" hidden="1" x14ac:dyDescent="0.2">
      <c r="B5" s="127"/>
      <c r="C5" s="127"/>
    </row>
    <row r="6" spans="2:16" ht="23.25" hidden="1" x14ac:dyDescent="0.2">
      <c r="B6" s="127"/>
      <c r="C6" s="127"/>
    </row>
    <row r="7" spans="2:16" ht="9.75" customHeight="1" x14ac:dyDescent="0.2">
      <c r="B7" s="127"/>
      <c r="C7" s="127"/>
    </row>
    <row r="8" spans="2:16" ht="13.5" thickBot="1" x14ac:dyDescent="0.25">
      <c r="P8" s="706"/>
    </row>
    <row r="9" spans="2:16" ht="13.5" thickBot="1" x14ac:dyDescent="0.25">
      <c r="B9" s="637"/>
      <c r="C9" s="638"/>
      <c r="D9" s="579" t="s">
        <v>33</v>
      </c>
      <c r="E9" s="577">
        <f>'4. Customer Growth'!B9</f>
        <v>2005</v>
      </c>
      <c r="F9" s="577">
        <f>'4. Customer Growth'!B10</f>
        <v>2006</v>
      </c>
      <c r="G9" s="577">
        <f>'4. Customer Growth'!B11</f>
        <v>2007</v>
      </c>
      <c r="H9" s="577">
        <f>'4. Customer Growth'!B12</f>
        <v>2008</v>
      </c>
      <c r="I9" s="577">
        <f>'4. Customer Growth'!B13</f>
        <v>2009</v>
      </c>
      <c r="J9" s="577">
        <f>'4. Customer Growth'!B14</f>
        <v>2010</v>
      </c>
      <c r="K9" s="577">
        <f>'4. Customer Growth'!B15</f>
        <v>2011</v>
      </c>
      <c r="L9" s="577">
        <f>'4. Customer Growth'!B16</f>
        <v>2012</v>
      </c>
      <c r="M9" s="577">
        <f>'4. Customer Growth'!B17</f>
        <v>2013</v>
      </c>
      <c r="N9" s="577">
        <f>'4. Customer Growth'!B18</f>
        <v>2014</v>
      </c>
      <c r="O9" s="577" t="str">
        <f>'4. Customer Growth'!B22</f>
        <v>2015</v>
      </c>
      <c r="P9" s="578" t="str">
        <f>'4. Customer Growth'!B23</f>
        <v>2016</v>
      </c>
    </row>
    <row r="10" spans="2:16" x14ac:dyDescent="0.2">
      <c r="B10" s="1254" t="s">
        <v>196</v>
      </c>
      <c r="C10" s="443" t="str">
        <f>IF($B10=$F$59,+$B$59,+IF($B10=$F$60,+$B$60,+IF($B10=$F$61,+$B$61,+IF($B10=$F$61,$B$61,+IF($B10=$F$62,+$B$62,+IF($B10=$F$63,+$B$63,+IF($B10=$F$64,+$B$64,+IF($B10=$F$65,+$B$65,+IF($B10=$F$66,+$B$66,+IF($B10=$F$67,+$B$67,+IF($B10=$F$68,+$B$68)))))))))))</f>
        <v>Residential</v>
      </c>
      <c r="D10" s="445" t="s">
        <v>124</v>
      </c>
      <c r="E10" s="682">
        <f>IF($C10='4. Customer Growth'!$C$7,+'4. Customer Growth'!$C$9,+IF($C10='4. Customer Growth'!$E$7,+'4. Customer Growth'!$E$9,+IF($C10='4. Customer Growth'!$G$7,+'4. Customer Growth'!$G$9,+IF($C10='4. Customer Growth'!$I$7,+'4. Customer Growth'!$I$9,+IF($C10='4. Customer Growth'!$K$7,+'4. Customer Growth'!$K$9,+IF($C10='4. Customer Growth'!$M$7,+'4. Customer Growth'!$M$9,IF($C10='4. Customer Growth'!$O$7,+'4. Customer Growth'!$O$9)))))))</f>
        <v>9440</v>
      </c>
      <c r="F10" s="682">
        <f>IF($C10='4. Customer Growth'!$C$7,+'4. Customer Growth'!$C$10,+IF($C10='4. Customer Growth'!$E$7,+'4. Customer Growth'!$E$10,+IF($C10='4. Customer Growth'!$G$7,+'4. Customer Growth'!$G$10,+IF($C10='4. Customer Growth'!$I$7,+'4. Customer Growth'!$I$10,+IF($C10='4. Customer Growth'!$K$7,+'4. Customer Growth'!$K$10,+IF($C10='4. Customer Growth'!$M$7,+'4. Customer Growth'!$M$10,IF($C10='4. Customer Growth'!$O$7,+'4. Customer Growth'!$O$10)))))))</f>
        <v>9857.5</v>
      </c>
      <c r="G10" s="682">
        <f>IF($C10='4. Customer Growth'!$C$7,+'4. Customer Growth'!$C$11,+IF($C10='4. Customer Growth'!$E$7,+'4. Customer Growth'!$E$11,+IF($C10='4. Customer Growth'!$G$7,+'4. Customer Growth'!$G$11,+IF($C10='4. Customer Growth'!$I$7,+'4. Customer Growth'!$I$11,+IF($C10='4. Customer Growth'!$K$7,+'4. Customer Growth'!$K$11,+IF($C10='4. Customer Growth'!$M$7,+'4. Customer Growth'!$M$11,IF($C10='4. Customer Growth'!$O$7,+'4. Customer Growth'!$O$11)))))))</f>
        <v>10273.5</v>
      </c>
      <c r="H10" s="682">
        <f>IF($C10='4. Customer Growth'!$C$7,+'4. Customer Growth'!$C$12,+IF($C10='4. Customer Growth'!$E$7,+'4. Customer Growth'!$E$12,+IF($C10='4. Customer Growth'!$G$7,+'4. Customer Growth'!$G$12,+IF($C10='4. Customer Growth'!$I$7,+'4. Customer Growth'!$I$12,+IF($C10='4. Customer Growth'!$K$7,+'4. Customer Growth'!$K$12,+IF($C10='4. Customer Growth'!$M$7,+'4. Customer Growth'!$M$12,IF($C10='4. Customer Growth'!$O$7,+'4. Customer Growth'!$O$12)))))))</f>
        <v>10658.5</v>
      </c>
      <c r="I10" s="682">
        <f>IF($C10='4. Customer Growth'!$C$7,+'4. Customer Growth'!$C$13,+IF($C10='4. Customer Growth'!$E$7,+'4. Customer Growth'!$E$13,+IF($C10='4. Customer Growth'!$G$7,+'4. Customer Growth'!$G$13,+IF($C10='4. Customer Growth'!$I$7,+'4. Customer Growth'!$I$13,+IF($C10='4. Customer Growth'!$K$7,+'4. Customer Growth'!$K$13,+IF($C10='4. Customer Growth'!$M$7,+'4. Customer Growth'!$M$13,IF($C10='4. Customer Growth'!$O$7,+'4. Customer Growth'!$O$13)))))))</f>
        <v>10918.5</v>
      </c>
      <c r="J10" s="682">
        <f>IF($C10='4. Customer Growth'!$C$7,+'4. Customer Growth'!$C$14,+IF($C10='4. Customer Growth'!$E$7,+'4. Customer Growth'!$E$14,+IF($C10='4. Customer Growth'!$G$7,+'4. Customer Growth'!$G$14,+IF($C10='4. Customer Growth'!$I$7,+'4. Customer Growth'!$I$14,+IF($C10='4. Customer Growth'!$K$7,+'4. Customer Growth'!$K$14,+IF($C10='4. Customer Growth'!$M$7,+'4. Customer Growth'!$M$14,IF($C10='4. Customer Growth'!$O$7,+'4. Customer Growth'!$O$14)))))))</f>
        <v>11119.5</v>
      </c>
      <c r="K10" s="682">
        <f>IF($C10='4. Customer Growth'!$C$7,+'4. Customer Growth'!$C$15,+IF($C10='4. Customer Growth'!$E$7,+'4. Customer Growth'!$E$15,+IF($C10='4. Customer Growth'!$G$7,+'4. Customer Growth'!$G$15,+IF($C10='4. Customer Growth'!$I$7,+'4. Customer Growth'!$I$15,+IF($C10='4. Customer Growth'!$K$7,+'4. Customer Growth'!$K$15,+IF($C10='4. Customer Growth'!$M$7,+'4. Customer Growth'!$M$15,IF($C10='4. Customer Growth'!$O$7,+'4. Customer Growth'!$O$15)))))))</f>
        <v>11370.5</v>
      </c>
      <c r="L10" s="682">
        <f>IF($C10='4. Customer Growth'!$C$7,+'4. Customer Growth'!$C$16,+IF($C10='4. Customer Growth'!$E$7,+'4. Customer Growth'!$E$16,+IF($C10='4. Customer Growth'!$G$7,+'4. Customer Growth'!$G$16,+IF($C10='4. Customer Growth'!$I$7,+'4. Customer Growth'!$I$16,+IF($C10='4. Customer Growth'!$K$7,+'4. Customer Growth'!$K$16,+IF($C10='4. Customer Growth'!$M$7,+'4. Customer Growth'!$M$16,IF($C10='4. Customer Growth'!$O$7,+'4. Customer Growth'!$O$16)))))))</f>
        <v>11609</v>
      </c>
      <c r="M10" s="682">
        <f>IF($C10='4. Customer Growth'!$C$7,+'4. Customer Growth'!$C$17,+IF($C10='4. Customer Growth'!$E$7,+'4. Customer Growth'!$E$17,+IF($C10='4. Customer Growth'!$G$7,+'4. Customer Growth'!$G$17,+IF($C10='4. Customer Growth'!$I$7,+'4. Customer Growth'!$I$17,+IF($C10='4. Customer Growth'!$K$7,+'4. Customer Growth'!$K$17,+IF($C10='4. Customer Growth'!$M$7,+'4. Customer Growth'!$M$17,IF($C10='4. Customer Growth'!$O$7,+'4. Customer Growth'!$O$17)))))))</f>
        <v>11857</v>
      </c>
      <c r="N10" s="682">
        <f>IF($C10='4. Customer Growth'!$C$7,+'4. Customer Growth'!$C$18,+IF($C10='4. Customer Growth'!$E$7,+'4. Customer Growth'!$E$18,+IF($C10='4. Customer Growth'!$G$7,+'4. Customer Growth'!$G$18,+IF($C10='4. Customer Growth'!$I$7,+'4. Customer Growth'!$I$18,+IF($C10='4. Customer Growth'!$K$7,+'4. Customer Growth'!$K$18,+IF($C10='4. Customer Growth'!$M$7,+'4. Customer Growth'!$M$18,IF($C10='4. Customer Growth'!$O$7,+'4. Customer Growth'!$O$18)))))))</f>
        <v>12082</v>
      </c>
      <c r="O10" s="682">
        <f>IF($C10='4. Customer Growth'!$C$7,+'4. Customer Growth'!$C$34,+IF($C10='4. Customer Growth'!$E$7,+'4. Customer Growth'!$E$34,+IF($C10='4. Customer Growth'!$G$7,+'4. Customer Growth'!$G$34,+IF($C10='4. Customer Growth'!$I$7,+'4. Customer Growth'!$I$34,+IF($C10='4. Customer Growth'!$K$7,+'4. Customer Growth'!$K$34,+IF($C10='4. Customer Growth'!$M$7,+'4. Customer Growth'!$M$34,IF($C10='4. Customer Growth'!$O$7,+'4. Customer Growth'!$O$34)))))))</f>
        <v>12267</v>
      </c>
      <c r="P10" s="683">
        <f>IF($C10='4. Customer Growth'!$C$7,+'4. Customer Growth'!$C$35,+IF($C10='4. Customer Growth'!$E$7,+'4. Customer Growth'!$E$35,+IF($C10='4. Customer Growth'!$G$7,+'4. Customer Growth'!$G$35,+IF($C10='4. Customer Growth'!$I$7,+'4. Customer Growth'!$I$35,+IF($C10='4. Customer Growth'!$K$7,+'4. Customer Growth'!$K$35,+IF($C10='4. Customer Growth'!$M$7,+'4. Customer Growth'!$M$35,IF($C10='4. Customer Growth'!$O$7,+'4. Customer Growth'!$O$35)))))))</f>
        <v>12471.858899999999</v>
      </c>
    </row>
    <row r="11" spans="2:16" x14ac:dyDescent="0.2">
      <c r="B11" s="1255"/>
      <c r="C11" s="52"/>
      <c r="D11" s="52" t="s">
        <v>36</v>
      </c>
      <c r="E11" s="682">
        <f>IF($B10=$F$59,+'7. Weather Normal kWh'!$C$16,IF($B10=$F$60,+'7. Weather Normal kWh'!$K$16,IF($B10=$F$61,+'7. Weather Normal kWh'!$S$16,IF($B10=$F$62,+'7. Weather Normal kWh'!$AA$16,IF($B10=$F$63,+'7. Weather Normal kWh'!$AI$16,IF($B10=$F$64,+'7.1. Weather Normal KW Customer'!$E$12,IF($B10=$F$65,+'7.1. Weather Normal KW Customer'!$P$12,IF($B10=$F$66,+'7.1. Weather Normal KW Customer'!$Z$12,IF($B10=$F$67,+'7.1. Weather Normal KW Customer'!$AJ$12,IF($B10=$F$68,+'7.1. Weather Normal KW Customer'!$AT$12))))))))))</f>
        <v>74670218.300000012</v>
      </c>
      <c r="F11" s="682">
        <f>IF($B10=$F$59,+'7. Weather Normal kWh'!$C$17,IF($B10=$F$60,+'7. Weather Normal kWh'!$K$17,IF($B10=$F$61,+'7. Weather Normal kWh'!$S$17,IF($B10=$F$62,+'7. Weather Normal kWh'!$AA$17,IF($B10=$F$63,+'7. Weather Normal kWh'!$AI$17,IF($B10=$F$64,+'7.1. Weather Normal KW Customer'!$E$13,IF($B10=$F$65,+'7.1. Weather Normal KW Customer'!$P$13,IF($B10=$F$66,+'7.1. Weather Normal KW Customer'!$Z$13,IF($B10=$F$67,+'7.1. Weather Normal KW Customer'!$AJ$13,IF($B10=$F$68,+'7.1. Weather Normal KW Customer'!$AT$13))))))))))</f>
        <v>73494501.180000007</v>
      </c>
      <c r="G11" s="682">
        <f>IF($B10=$F$59,+'7. Weather Normal kWh'!$C$18,IF($B10=$F$60,+'7. Weather Normal kWh'!$K$18,IF($B10=$F$61,+'7. Weather Normal kWh'!$S$18,IF($B10=$F$62,+'7. Weather Normal kWh'!$AA$18,IF($B10=$F$63,+'7. Weather Normal kWh'!$AI$18,IF($B10=$F$64,+'7.1. Weather Normal KW Customer'!$E$14,IF($B10=$F$65,+'7.1. Weather Normal KW Customer'!$P$14,IF($B10=$F$66,+'7.1. Weather Normal KW Customer'!$Z$14,IF($B10=$F$67,+'7.1. Weather Normal KW Customer'!$AJ$14,IF($B10=$F$68,+'7.1. Weather Normal KW Customer'!$AT$14))))))))))</f>
        <v>74223886.610000014</v>
      </c>
      <c r="H11" s="682">
        <f>IF($B10=$F$59,+'7. Weather Normal kWh'!$C$19,IF($B10=$F$60,+'7. Weather Normal kWh'!$K$19,IF($B10=$F$61,+'7. Weather Normal kWh'!$S$19,IF($B10=$F$62,+'7. Weather Normal kWh'!$AA$19,IF($B10=$F$63,+'7. Weather Normal kWh'!$AI$19,IF($B10=$F$64,+'7.1. Weather Normal KW Customer'!$E$15,IF($B10=$F$65,+'7.1. Weather Normal KW Customer'!$P$15,IF($B10=$F$66,+'7.1. Weather Normal KW Customer'!$Z$15,IF($B10=$F$67,+'7.1. Weather Normal KW Customer'!$AJ$15,IF($B10=$F$68,+'7.1. Weather Normal KW Customer'!$AT$15))))))))))</f>
        <v>78678925.103</v>
      </c>
      <c r="I11" s="682">
        <f>IF($B10=$F$59,+'7. Weather Normal kWh'!$C$20,IF($B10=$F$60,+'7. Weather Normal kWh'!$K$20,IF($B10=$F$61,+'7. Weather Normal kWh'!$S$20,IF($B10=$F$62,+'7. Weather Normal kWh'!$AA$20,IF($B10=$F$63,+'7. Weather Normal kWh'!$AI$20,IF($B10=$F$64,+'7.1. Weather Normal KW Customer'!$E$16,IF($B10=$F$65,+'7.1. Weather Normal KW Customer'!$P$16,IF($B10=$F$66,+'7.1. Weather Normal KW Customer'!$Z$16,IF($B10=$F$67,+'7.1. Weather Normal KW Customer'!$AJ$16,IF($B10=$F$68,+'7.1. Weather Normal KW Customer'!$AT$16))))))))))</f>
        <v>82719010.360000014</v>
      </c>
      <c r="J11" s="682">
        <f>IF($B10=$F$59,+'7. Weather Normal kWh'!$C$21,IF($B10=$F$60,+'7. Weather Normal kWh'!$K$21,IF($B10=$F$61,+'7. Weather Normal kWh'!$S$21,IF($B10=$F$62,+'7. Weather Normal kWh'!$AA$21,IF($B10=$F$63,+'7. Weather Normal kWh'!$AI$21,IF($B10=$F$64,+'7.1. Weather Normal KW Customer'!$E$17,IF($B10=$F$65,+'7.1. Weather Normal KW Customer'!$P$17,IF($B10=$F$66,+'7.1. Weather Normal KW Customer'!$Z$17,IF($B10=$F$67,+'7.1. Weather Normal KW Customer'!$AJ$17,IF($B10=$F$68,+'7.1. Weather Normal KW Customer'!$AT$17))))))))))</f>
        <v>84575463.599999994</v>
      </c>
      <c r="K11" s="682">
        <f>IF($B10=$F$59,+'7. Weather Normal kWh'!$C$22,IF($B10=$F$60,+'7. Weather Normal kWh'!$K$22,IF($B10=$F$61,+'7. Weather Normal kWh'!$S$22,IF($B10=$F$62,+'7. Weather Normal kWh'!$AA$22,IF($B10=$F$63,+'7. Weather Normal kWh'!$AI$22,IF($B10=$F$64,+'7.1. Weather Normal KW Customer'!$E$18,IF($B10=$F$65,+'7.1. Weather Normal KW Customer'!$P$18,IF($B10=$F$66,+'7.1. Weather Normal KW Customer'!$Z$18,IF($B10=$F$67,+'7.1. Weather Normal KW Customer'!$AJ$18,IF($B10=$F$68,+'7.1. Weather Normal KW Customer'!$AT$18))))))))))</f>
        <v>84023443</v>
      </c>
      <c r="L11" s="682">
        <f>IF($B10=$F$59,+'7. Weather Normal kWh'!$C$23,IF($B10=$F$60,+'7. Weather Normal kWh'!$K$23,IF($B10=$F$61,+'7. Weather Normal kWh'!$S$24,IF($B10=$F$62,+'7. Weather Normal kWh'!$AA$23,IF($B10=$F$63,+'7. Weather Normal kWh'!$AI$23,IF($B10=$F$64,+'7.1. Weather Normal KW Customer'!$E$19,IF($B10=$F$65,+'7.1. Weather Normal KW Customer'!$P$19,IF($B10=$F$66,+'7.1. Weather Normal KW Customer'!$Z$19,IF($B10=$F$67,+'7.1. Weather Normal KW Customer'!$AJ$19,IF($B10=$F$68,+'7.1. Weather Normal KW Customer'!$AT$19))))))))))</f>
        <v>82588039.052825093</v>
      </c>
      <c r="M11" s="682">
        <f>IF($B10=$F$59,+'7. Weather Normal kWh'!$C$24,IF($B10=$F$60,+'7. Weather Normal kWh'!$K$24,IF($B10=$F$61,+'7. Weather Normal kWh'!$S$25,IF($B10=$F$62,+'7. Weather Normal kWh'!$AA$24,IF($B10=$F$63,+'7. Weather Normal kWh'!$AI$24,IF($B10=$F$64,+'7.1. Weather Normal KW Customer'!$E$20,IF($B10=$F$65,+'7.1. Weather Normal KW Customer'!$P$20,IF($B10=$F$66,+'7.1. Weather Normal KW Customer'!$Z$20,IF($B10=$F$67,+'7.1. Weather Normal KW Customer'!$AJ$20,IF($B10=$F$68,+'7.1. Weather Normal KW Customer'!$AT$20))))))))))</f>
        <v>86276531.942645699</v>
      </c>
      <c r="N11" s="682">
        <f>IF($B10=$F$59,+'7. Weather Normal kWh'!$C$25,IF($B10=$F$60,+'7. Weather Normal kWh'!$K$25,IF($B10=$F$61,+'7. Weather Normal kWh'!$W$25,IF($B10=$F$62,+'7. Weather Normal kWh'!$AA$25,IF($B10=$F$63,+'7. Weather Normal kWh'!$AI$25,IF($B10=$F$64,+'7.1. Weather Normal KW Customer'!$E$21,IF($B10=$F$65,+'7.1. Weather Normal KW Customer'!$P$21,IF($B10=$F$66,+'7.1. Weather Normal KW Customer'!$Z$21,IF($B10=$F$67,+'7.1. Weather Normal KW Customer'!$AJ$21,IF($B10=$F$68,+'7.1. Weather Normal KW Customer'!$AT$21))))))))))</f>
        <v>87611189.555966705</v>
      </c>
      <c r="O11" s="682">
        <f>IF($B10=$F$59,+'7. Weather Normal kWh'!$H$37,IF($B10=$F$60,+'7. Weather Normal kWh'!$P$37,IF($B10=$F$61,+'7. Weather Normal kWh'!$X$37,IF($B10=$F$62,+'7. Weather Normal kWh'!$AF$37,IF($B10=$F$63,+'7. Weather Normal kWh'!$AN$37,IF($B10=$F$64,+'7.1. Weather Normal KW Customer'!$I$40,IF($B10=$F$65,+'7.1. Weather Normal KW Customer'!$T$40,IF($B10=$F$66,+'7.1. Weather Normal KW Customer'!$AD$40,IF($B10=$F$67,+'7.1. Weather Normal KW Customer'!$AN$40,IF($B10=$F$68,+'7.1. Weather Normal KW Customer'!$AX$40))))))))))</f>
        <v>89941440.885840833</v>
      </c>
      <c r="P11" s="683">
        <f>IF($B10=$F$59,+'7. Weather Normal kWh'!$H$38,IF($B10=$F$60,+'7. Weather Normal kWh'!$P$38,IF($B10=$F$61,+'7. Weather Normal kWh'!$X$38,IF($B10=$F$62,+'7. Weather Normal kWh'!$AF$38,IF($B10=$F$63,+'7. Weather Normal kWh'!$AN$38,IF($B10=$F$64,+'7.1. Weather Normal KW Customer'!$I$41,IF($B10=$F$65,+'7.1. Weather Normal KW Customer'!$T$41,IF($B10=$F$66,+'7.1. Weather Normal KW Customer'!$AD$41,IF($B10=$F$67,+'7.1. Weather Normal KW Customer'!$AN$41,IF($B10=$F$68,+'7.1. Weather Normal KW Customer'!$AX$41))))))))))</f>
        <v>90565097.962379649</v>
      </c>
    </row>
    <row r="12" spans="2:16" x14ac:dyDescent="0.2">
      <c r="B12" s="1255"/>
      <c r="C12" s="52"/>
      <c r="D12" s="52" t="s">
        <v>37</v>
      </c>
      <c r="E12" s="566">
        <f>IF(B$10=$F$64,+'7.1. Weather Normal KW Customer'!$F$12,IF($B10=$F$65,+'7.1. Weather Normal KW Customer'!$Q$12,IF($B10=$F$66,+'7.1. Weather Normal KW Customer'!$AA$12,IF($B10=$F$67,+'7.1. Weather Normal KW Customer'!$AK$12,+IF($B10=$F$68,+'7.1. Weather Normal KW Customer'!$AU$12,0)))))</f>
        <v>0</v>
      </c>
      <c r="F12" s="566">
        <f>IF($B10=$F$64,+'7.1. Weather Normal KW Customer'!$F$13,IF($B10=$F$65,+'7.1. Weather Normal KW Customer'!$Q$13,IF($B10=$F$66,+'7.1. Weather Normal KW Customer'!$AA$13,IF($B10=$F$67,+'7.1. Weather Normal KW Customer'!$AK$13,+IF($B10=$F$68,+'7.1. Weather Normal KW Customer'!$AU$13,0)))))</f>
        <v>0</v>
      </c>
      <c r="G12" s="566">
        <f>IF($B10=$F$64,+'7.1. Weather Normal KW Customer'!$F$14,IF($B10=$F$65,+'7.1. Weather Normal KW Customer'!$Q$14,IF($B10=$F$66,+'7.1. Weather Normal KW Customer'!$AA$14,IF($B10=$F$67,+'7.1. Weather Normal KW Customer'!$AK$14,+IF($B10=$F$68,+'7.1. Weather Normal KW Customer'!$AU$14,0)))))</f>
        <v>0</v>
      </c>
      <c r="H12" s="566">
        <f>IF($B10=$F$64,+'7.1. Weather Normal KW Customer'!$F$15,IF($B10=$F$65,+'7.1. Weather Normal KW Customer'!$Q$15,IF($B10=$F$66,+'7.1. Weather Normal KW Customer'!$AA$15,IF($B10=$F$67,+'7.1. Weather Normal KW Customer'!$AK$15,+IF($B10=$F$68,+'7.1. Weather Normal KW Customer'!$AU$15,0)))))</f>
        <v>0</v>
      </c>
      <c r="I12" s="566">
        <f>IF($B10=$F$64,+'7.1. Weather Normal KW Customer'!$F$16,IF($B10=$F$65,+'7.1. Weather Normal KW Customer'!$Q$16,IF($B10=$F$66,+'7.1. Weather Normal KW Customer'!$AA$16,IF($B10=$F$67,+'7.1. Weather Normal KW Customer'!$AK$16,+IF($B10=$F$68,+'7.1. Weather Normal KW Customer'!$AU$16,0)))))</f>
        <v>0</v>
      </c>
      <c r="J12" s="566">
        <f>IF($B10=$F$64,+'7.1. Weather Normal KW Customer'!$F$17,IF($B10=$F$65,+'7.1. Weather Normal KW Customer'!$Q$17,IF($B10=$F$66,+'7.1. Weather Normal KW Customer'!$AA$17,IF($B10=$F$67,+'7.1. Weather Normal KW Customer'!$AK$17,+IF($B10=$F$68,+'7.1. Weather Normal KW Customer'!$AU$17,0)))))</f>
        <v>0</v>
      </c>
      <c r="K12" s="566">
        <f>IF($B10=$F$64,+'7.1. Weather Normal KW Customer'!$F$18,IF($B10=$F$65,+'7.1. Weather Normal KW Customer'!$Q$18,IF($B10=$F$66,+'7.1. Weather Normal KW Customer'!$AA$18,IF($B10=$F$67,+'7.1. Weather Normal KW Customer'!$AK$18,+IF($B10=$F$68,+'7.1. Weather Normal KW Customer'!$AU$18,0)))))</f>
        <v>0</v>
      </c>
      <c r="L12" s="566">
        <f>IF($B10=$F$64,+'7.1. Weather Normal KW Customer'!$F$19,IF($B10=$F$65,+'7.1. Weather Normal KW Customer'!$Q$19,IF($B10=$F$66,+'7.1. Weather Normal KW Customer'!$AA$19,IF($B10=$F$67,+'7.1. Weather Normal KW Customer'!$AK$19,+IF($B10=$F$68,+'7.1. Weather Normal KW Customer'!$AU$19,0)))))</f>
        <v>0</v>
      </c>
      <c r="M12" s="566">
        <f>IF($B10=$F$64,+'7.1. Weather Normal KW Customer'!$F$20,IF($B10=$F$65,+'7.1. Weather Normal KW Customer'!$Q$20,IF($B10=$F$66,+'7.1. Weather Normal KW Customer'!$AA$20,IF($B10=$F$67,+'7.1. Weather Normal KW Customer'!$AK$20,+IF($B10=$F$68,+'7.1. Weather Normal KW Customer'!$AU$20,0)))))</f>
        <v>0</v>
      </c>
      <c r="N12" s="566">
        <f>IF($B10=$F$64,+'7.1. Weather Normal KW Customer'!$F$21,IF($B10=$F$65,+'7.1. Weather Normal KW Customer'!$Q$21,IF($B10=$F$66,+'7.1. Weather Normal KW Customer'!$AA$21,IF($B10=$F$67,+'7.1. Weather Normal KW Customer'!$AK$21,+IF($B10=$F$68,+'7.1. Weather Normal KW Customer'!$AU$21,0)))))</f>
        <v>0</v>
      </c>
      <c r="O12" s="566">
        <f>IF($B10=$F$64,+'7.1. Weather Normal KW Customer'!$J$40,IF($B10=$F$65,+'7.1. Weather Normal KW Customer'!$U$40,IF($B10=$F$66,+'7.1. Weather Normal KW Customer'!$AE$40,IF($B10=$F$67,+'7.1. Weather Normal KW Customer'!$AO$40,+IF($B10=$F$68,+'7.1. Weather Normal KW Customer'!$AY$40,0)))))</f>
        <v>0</v>
      </c>
      <c r="P12" s="684">
        <f>IF($B10=$F$64,+'7.1. Weather Normal KW Customer'!$J$41,IF($B10=$F$65,+'7.1. Weather Normal KW Customer'!$U$41,IF($B10=$F$66,+'7.1. Weather Normal KW Customer'!$AE$41,IF($B10=$F$67,+'7.1. Weather Normal KW Customer'!$AO$41,+IF($B10=$F$68,+'7.1. Weather Normal KW Customer'!$AY$41,0)))))</f>
        <v>0</v>
      </c>
    </row>
    <row r="13" spans="2:16" x14ac:dyDescent="0.2">
      <c r="B13" s="1255"/>
      <c r="C13" s="52"/>
      <c r="D13" s="52"/>
      <c r="E13" s="566"/>
      <c r="F13" s="566"/>
      <c r="G13" s="566"/>
      <c r="H13" s="566"/>
      <c r="I13" s="566"/>
      <c r="J13" s="566"/>
      <c r="K13" s="566"/>
      <c r="L13" s="566"/>
      <c r="M13" s="566"/>
      <c r="N13" s="566"/>
      <c r="O13" s="567"/>
      <c r="P13" s="568"/>
    </row>
    <row r="14" spans="2:16" x14ac:dyDescent="0.2">
      <c r="B14" s="1256" t="s">
        <v>195</v>
      </c>
      <c r="C14" s="443" t="str">
        <f>IF($B14=$F$59,+$B$59,+IF($B14=$F$60,+$B$60,+IF($B14=$F$61,+$B$61,+IF($B14=$F$61,$B$61,+IF($B14=$F$62,+$B$62,+IF($B14=$F$63,+$B$63,+IF($B14=$F$64,+$B$64,+IF($B14=$F$65,+$B$65,+IF($B14=$F$66,+$B$66,+IF($B14=$F$67,+$B$67,+IF($B14=$F$68,+$B$68)))))))))))</f>
        <v>General Service &lt; 50 kW</v>
      </c>
      <c r="D14" s="87" t="s">
        <v>124</v>
      </c>
      <c r="E14" s="682">
        <f>IF($C14='4. Customer Growth'!$C$7,+'4. Customer Growth'!$C$9,+IF($C14='4. Customer Growth'!$E$7,+'4. Customer Growth'!$E$9,+IF($C14='4. Customer Growth'!$G$7,+'4. Customer Growth'!$G$9,+IF($C14='4. Customer Growth'!$I$7,+'4. Customer Growth'!$I$9,+IF($C14='4. Customer Growth'!$K$7,+'4. Customer Growth'!$K$9,+IF($C14='4. Customer Growth'!$M$7,+'4. Customer Growth'!$M$9,IF($C14='4. Customer Growth'!$O$7,+'4. Customer Growth'!$O$9)))))))</f>
        <v>743</v>
      </c>
      <c r="F14" s="682">
        <f>IF($C14='4. Customer Growth'!$C$7,+'4. Customer Growth'!$C$10,+IF($C14='4. Customer Growth'!$E$7,+'4. Customer Growth'!$E$10,+IF($C14='4. Customer Growth'!$G$7,+'4. Customer Growth'!$G$10,+IF($C14='4. Customer Growth'!$I$7,+'4. Customer Growth'!$I$10,+IF($C14='4. Customer Growth'!$K$7,+'4. Customer Growth'!$K$10,+IF($C14='4. Customer Growth'!$M$7,+'4. Customer Growth'!$M$10,IF($C14='4. Customer Growth'!$O$7,+'4. Customer Growth'!$O$10)))))))</f>
        <v>747</v>
      </c>
      <c r="G14" s="682">
        <f>IF($C14='4. Customer Growth'!$C$7,+'4. Customer Growth'!$C$11,+IF($C14='4. Customer Growth'!$E$7,+'4. Customer Growth'!$E$11,+IF($C14='4. Customer Growth'!$G$7,+'4. Customer Growth'!$G$11,+IF($C14='4. Customer Growth'!$I$7,+'4. Customer Growth'!$I$11,+IF($C14='4. Customer Growth'!$K$7,+'4. Customer Growth'!$K$11,+IF($C14='4. Customer Growth'!$M$7,+'4. Customer Growth'!$M$11,IF($C14='4. Customer Growth'!$O$7,+'4. Customer Growth'!$O$11)))))))</f>
        <v>754</v>
      </c>
      <c r="H14" s="682">
        <f>IF($C14='4. Customer Growth'!$C$7,+'4. Customer Growth'!$C$12,+IF($C14='4. Customer Growth'!$E$7,+'4. Customer Growth'!$E$12,+IF($C14='4. Customer Growth'!$G$7,+'4. Customer Growth'!$G$12,+IF($C14='4. Customer Growth'!$I$7,+'4. Customer Growth'!$I$12,+IF($C14='4. Customer Growth'!$K$7,+'4. Customer Growth'!$K$12,+IF($C14='4. Customer Growth'!$M$7,+'4. Customer Growth'!$M$12,IF($C14='4. Customer Growth'!$O$7,+'4. Customer Growth'!$O$12)))))))</f>
        <v>756.5</v>
      </c>
      <c r="I14" s="682">
        <f>IF($C14='4. Customer Growth'!$C$7,+'4. Customer Growth'!$C$13,+IF($C14='4. Customer Growth'!$E$7,+'4. Customer Growth'!$E$13,+IF($C14='4. Customer Growth'!$G$7,+'4. Customer Growth'!$G$13,+IF($C14='4. Customer Growth'!$I$7,+'4. Customer Growth'!$I$13,+IF($C14='4. Customer Growth'!$K$7,+'4. Customer Growth'!$K$13,+IF($C14='4. Customer Growth'!$M$7,+'4. Customer Growth'!$M$13,IF($C14='4. Customer Growth'!$O$7,+'4. Customer Growth'!$O$13)))))))</f>
        <v>767</v>
      </c>
      <c r="J14" s="682">
        <f>IF($C14='4. Customer Growth'!$C$7,+'4. Customer Growth'!$C$14,+IF($C14='4. Customer Growth'!$E$7,+'4. Customer Growth'!$E$14,+IF($C14='4. Customer Growth'!$G$7,+'4. Customer Growth'!$G$14,+IF($C14='4. Customer Growth'!$I$7,+'4. Customer Growth'!$I$14,+IF($C14='4. Customer Growth'!$K$7,+'4. Customer Growth'!$K$14,+IF($C14='4. Customer Growth'!$M$7,+'4. Customer Growth'!$M$14,IF($C14='4. Customer Growth'!$O$7,+'4. Customer Growth'!$O$14)))))))</f>
        <v>776.5</v>
      </c>
      <c r="K14" s="682">
        <f>IF($C14='4. Customer Growth'!$C$7,+'4. Customer Growth'!$C$15,+IF($C14='4. Customer Growth'!$E$7,+'4. Customer Growth'!$E$15,+IF($C14='4. Customer Growth'!$G$7,+'4. Customer Growth'!$G$15,+IF($C14='4. Customer Growth'!$I$7,+'4. Customer Growth'!$I$15,+IF($C14='4. Customer Growth'!$K$7,+'4. Customer Growth'!$K$15,+IF($C14='4. Customer Growth'!$M$7,+'4. Customer Growth'!$M$15,IF($C14='4. Customer Growth'!$O$7,+'4. Customer Growth'!$O$15)))))))</f>
        <v>781</v>
      </c>
      <c r="L14" s="682">
        <f>IF($C14='4. Customer Growth'!$C$7,+'4. Customer Growth'!$C$16,+IF($C14='4. Customer Growth'!$E$7,+'4. Customer Growth'!$E$16,+IF($C14='4. Customer Growth'!$G$7,+'4. Customer Growth'!$G$16,+IF($C14='4. Customer Growth'!$I$7,+'4. Customer Growth'!$I$16,+IF($C14='4. Customer Growth'!$K$7,+'4. Customer Growth'!$K$16,+IF($C14='4. Customer Growth'!$M$7,+'4. Customer Growth'!$M$16,IF($C14='4. Customer Growth'!$O$7,+'4. Customer Growth'!$O$16)))))))</f>
        <v>786</v>
      </c>
      <c r="M14" s="682">
        <f>IF($C14='4. Customer Growth'!$C$7,+'4. Customer Growth'!$C$17,+IF($C14='4. Customer Growth'!$E$7,+'4. Customer Growth'!$E$17,+IF($C14='4. Customer Growth'!$G$7,+'4. Customer Growth'!$G$17,+IF($C14='4. Customer Growth'!$I$7,+'4. Customer Growth'!$I$17,+IF($C14='4. Customer Growth'!$K$7,+'4. Customer Growth'!$K$17,+IF($C14='4. Customer Growth'!$M$7,+'4. Customer Growth'!$M$17,IF($C14='4. Customer Growth'!$O$7,+'4. Customer Growth'!$O$17)))))))</f>
        <v>784</v>
      </c>
      <c r="N14" s="682">
        <f>IF($C14='4. Customer Growth'!$C$7,+'4. Customer Growth'!$C$18,+IF($C14='4. Customer Growth'!$E$7,+'4. Customer Growth'!$E$18,+IF($C14='4. Customer Growth'!$G$7,+'4. Customer Growth'!$G$18,+IF($C14='4. Customer Growth'!$I$7,+'4. Customer Growth'!$I$18,+IF($C14='4. Customer Growth'!$K$7,+'4. Customer Growth'!$K$18,+IF($C14='4. Customer Growth'!$M$7,+'4. Customer Growth'!$M$18,IF($C14='4. Customer Growth'!$O$7,+'4. Customer Growth'!$O$18)))))))</f>
        <v>783</v>
      </c>
      <c r="O14" s="682">
        <f>IF($C14='4. Customer Growth'!$C$7,+'4. Customer Growth'!$C$34,+IF($C14='4. Customer Growth'!$E$7,+'4. Customer Growth'!$E$34,+IF($C14='4. Customer Growth'!$G$7,+'4. Customer Growth'!$G$34,+IF($C14='4. Customer Growth'!$I$7,+'4. Customer Growth'!$I$34,+IF($C14='4. Customer Growth'!$K$7,+'4. Customer Growth'!$K$34,+IF($C14='4. Customer Growth'!$M$7,+'4. Customer Growth'!$M$34,IF($C14='4. Customer Growth'!$O$7,+'4. Customer Growth'!$O$34)))))))</f>
        <v>786</v>
      </c>
      <c r="P14" s="683">
        <f>IF($C14='4. Customer Growth'!$C$7,+'4. Customer Growth'!$C$35,+IF($C14='4. Customer Growth'!$E$7,+'4. Customer Growth'!$E$35,+IF($C14='4. Customer Growth'!$G$7,+'4. Customer Growth'!$G$35,+IF($C14='4. Customer Growth'!$I$7,+'4. Customer Growth'!$I$35,+IF($C14='4. Customer Growth'!$K$7,+'4. Customer Growth'!$K$35,+IF($C14='4. Customer Growth'!$M$7,+'4. Customer Growth'!$M$35,IF($C14='4. Customer Growth'!$O$7,+'4. Customer Growth'!$O$35)))))))</f>
        <v>789</v>
      </c>
    </row>
    <row r="15" spans="2:16" x14ac:dyDescent="0.2">
      <c r="B15" s="1255"/>
      <c r="C15" s="52"/>
      <c r="D15" s="52" t="s">
        <v>36</v>
      </c>
      <c r="E15" s="682">
        <f>IF($B14=$F$59,+'7. Weather Normal kWh'!$C$16,IF($B14=$F$60,+'7. Weather Normal kWh'!$K$16,IF($B14=$F$61,+'7. Weather Normal kWh'!$S$16,IF($B14=$F$62,+'7. Weather Normal kWh'!$AA$16,IF($B14=$F$63,+'7. Weather Normal kWh'!$AI$16,IF($B14=$F$64,+'7.1. Weather Normal KW Customer'!$E$12,IF($B14=$F$65,+'7.1. Weather Normal KW Customer'!$P$12,IF($B14=$F$66,+'7.1. Weather Normal KW Customer'!$Z$12,IF($B14=$F$67,+'7.1. Weather Normal KW Customer'!$AJ$12,IF($B14=$F$68,+'7.1. Weather Normal KW Customer'!$AT$12))))))))))</f>
        <v>14537477.4</v>
      </c>
      <c r="F15" s="682">
        <f>IF($B14=$F$59,+'7. Weather Normal kWh'!$C$17,IF($B14=$F$60,+'7. Weather Normal kWh'!$K$17,IF($B14=$F$61,+'7. Weather Normal kWh'!$S$17,IF($B14=$F$62,+'7. Weather Normal kWh'!$AA$17,IF($B14=$F$63,+'7. Weather Normal kWh'!$AI$17,IF($B14=$F$64,+'7.1. Weather Normal KW Customer'!$E$13,IF($B14=$F$65,+'7.1. Weather Normal KW Customer'!$P$13,IF($B14=$F$66,+'7.1. Weather Normal KW Customer'!$Z$13,IF($B14=$F$67,+'7.1. Weather Normal KW Customer'!$AJ$13,IF($B14=$F$68,+'7.1. Weather Normal KW Customer'!$AT$13))))))))))</f>
        <v>14223773.710000001</v>
      </c>
      <c r="G15" s="682">
        <f>IF($B14=$F$59,+'7. Weather Normal kWh'!$C$18,IF($B14=$F$60,+'7. Weather Normal kWh'!$K$18,IF($B14=$F$61,+'7. Weather Normal kWh'!$S$18,IF($B14=$F$62,+'7. Weather Normal kWh'!$AA$18,IF($B14=$F$63,+'7. Weather Normal kWh'!$AI$18,IF($B14=$F$64,+'7.1. Weather Normal KW Customer'!$E$14,IF($B14=$F$65,+'7.1. Weather Normal KW Customer'!$P$14,IF($B14=$F$66,+'7.1. Weather Normal KW Customer'!$Z$14,IF($B14=$F$67,+'7.1. Weather Normal KW Customer'!$AJ$14,IF($B14=$F$68,+'7.1. Weather Normal KW Customer'!$AT$14))))))))))</f>
        <v>14339658.07</v>
      </c>
      <c r="H15" s="682">
        <f>IF($B14=$F$59,+'7. Weather Normal kWh'!$C$19,IF($B14=$F$60,+'7. Weather Normal kWh'!$K$19,IF($B14=$F$61,+'7. Weather Normal kWh'!$S$19,IF($B14=$F$62,+'7. Weather Normal kWh'!$AA$19,IF($B14=$F$63,+'7. Weather Normal kWh'!$AI$19,IF($B14=$F$64,+'7.1. Weather Normal KW Customer'!$E$15,IF($B14=$F$65,+'7.1. Weather Normal KW Customer'!$P$15,IF($B14=$F$66,+'7.1. Weather Normal KW Customer'!$Z$15,IF($B14=$F$67,+'7.1. Weather Normal KW Customer'!$AJ$15,IF($B14=$F$68,+'7.1. Weather Normal KW Customer'!$AT$15))))))))))</f>
        <v>15092313.370000001</v>
      </c>
      <c r="I15" s="682">
        <f>IF($B14=$F$59,+'7. Weather Normal kWh'!$C$20,IF($B14=$F$60,+'7. Weather Normal kWh'!$K$20,IF($B14=$F$61,+'7. Weather Normal kWh'!$S$20,IF($B14=$F$62,+'7. Weather Normal kWh'!$AA$20,IF($B14=$F$63,+'7. Weather Normal kWh'!$AI$20,IF($B14=$F$64,+'7.1. Weather Normal KW Customer'!$E$16,IF($B14=$F$65,+'7.1. Weather Normal KW Customer'!$P$16,IF($B14=$F$66,+'7.1. Weather Normal KW Customer'!$Z$16,IF($B14=$F$67,+'7.1. Weather Normal KW Customer'!$AJ$16,IF($B14=$F$68,+'7.1. Weather Normal KW Customer'!$AT$16))))))))))</f>
        <v>15369939.543000001</v>
      </c>
      <c r="J15" s="682">
        <f>IF($B14=$F$59,+'7. Weather Normal kWh'!$C$21,IF($B14=$F$60,+'7. Weather Normal kWh'!$K$21,IF($B14=$F$61,+'7. Weather Normal kWh'!$S$21,IF($B14=$F$62,+'7. Weather Normal kWh'!$AA$21,IF($B14=$F$63,+'7. Weather Normal kWh'!$AI$21,IF($B14=$F$64,+'7.1. Weather Normal KW Customer'!$E$17,IF($B14=$F$65,+'7.1. Weather Normal KW Customer'!$P$17,IF($B14=$F$66,+'7.1. Weather Normal KW Customer'!$Z$17,IF($B14=$F$67,+'7.1. Weather Normal KW Customer'!$AJ$17,IF($B14=$F$68,+'7.1. Weather Normal KW Customer'!$AT$17))))))))))</f>
        <v>17287125.199999999</v>
      </c>
      <c r="K15" s="682">
        <f>IF($B14=$F$59,+'7. Weather Normal kWh'!$C$22,IF($B14=$F$60,+'7. Weather Normal kWh'!$K$22,IF($B14=$F$61,+'7. Weather Normal kWh'!$S$22,IF($B14=$F$62,+'7. Weather Normal kWh'!$AA$22,IF($B14=$F$63,+'7. Weather Normal kWh'!$AI$22,IF($B14=$F$64,+'7.1. Weather Normal KW Customer'!$E$18,IF($B14=$F$65,+'7.1. Weather Normal KW Customer'!$P$18,IF($B14=$F$66,+'7.1. Weather Normal KW Customer'!$Z$18,IF($B14=$F$67,+'7.1. Weather Normal KW Customer'!$AJ$18,IF($B14=$F$68,+'7.1. Weather Normal KW Customer'!$AT$18))))))))))</f>
        <v>16948879</v>
      </c>
      <c r="L15" s="682">
        <f>IF($B14=$F$59,+'7. Weather Normal kWh'!$C$23,IF($B14=$F$60,+'7. Weather Normal kWh'!$K$23,IF($B14=$F$61,+'7. Weather Normal kWh'!$S$24,IF($B14=$F$62,+'7. Weather Normal kWh'!$AA$23,IF($B14=$F$63,+'7. Weather Normal kWh'!$AI$23,IF($B14=$F$64,+'7.1. Weather Normal KW Customer'!$E$19,IF($B14=$F$65,+'7.1. Weather Normal KW Customer'!$P$19,IF($B14=$F$66,+'7.1. Weather Normal KW Customer'!$Z$19,IF($B14=$F$67,+'7.1. Weather Normal KW Customer'!$AJ$19,IF($B14=$F$68,+'7.1. Weather Normal KW Customer'!$AT$19))))))))))</f>
        <v>15746949.627995308</v>
      </c>
      <c r="M15" s="682">
        <f>IF($B14=$F$59,+'7. Weather Normal kWh'!$C$24,IF($B14=$F$60,+'7. Weather Normal kWh'!$K$24,IF($B14=$F$61,+'7. Weather Normal kWh'!$S$25,IF($B14=$F$62,+'7. Weather Normal kWh'!$AA$24,IF($B14=$F$63,+'7. Weather Normal kWh'!$AI$24,IF($B14=$F$64,+'7.1. Weather Normal KW Customer'!$E$20,IF($B14=$F$65,+'7.1. Weather Normal KW Customer'!$P$20,IF($B14=$F$66,+'7.1. Weather Normal KW Customer'!$Z$20,IF($B14=$F$67,+'7.1. Weather Normal KW Customer'!$AJ$20,IF($B14=$F$68,+'7.1. Weather Normal KW Customer'!$AT$20))))))))))</f>
        <v>16432348.094357079</v>
      </c>
      <c r="N15" s="682">
        <f>IF($B14=$F$59,+'7. Weather Normal kWh'!$C$25,IF($B14=$F$60,+'7. Weather Normal kWh'!$K$25,IF($B14=$F$61,+'7. Weather Normal kWh'!$W$25,IF($B14=$F$62,+'7. Weather Normal kWh'!$AA$25,IF($B14=$F$63,+'7. Weather Normal kWh'!$AI$25,IF($B14=$F$64,+'7.1. Weather Normal KW Customer'!$E$21,IF($B14=$F$65,+'7.1. Weather Normal KW Customer'!$P$21,IF($B14=$F$66,+'7.1. Weather Normal KW Customer'!$Z$21,IF($B14=$F$67,+'7.1. Weather Normal KW Customer'!$AJ$21,IF($B14=$F$68,+'7.1. Weather Normal KW Customer'!$AT$21))))))))))</f>
        <v>16552639.278445883</v>
      </c>
      <c r="O15" s="682">
        <f>IF($B14=$F$59,+'7. Weather Normal kWh'!$H$37,IF($B14=$F$60,+'7. Weather Normal kWh'!$P$37,IF($B14=$F$61,+'7. Weather Normal kWh'!$X$37,IF($B14=$F$62,+'7. Weather Normal kWh'!$AF$37,IF($B14=$F$63,+'7. Weather Normal kWh'!$AN$37,IF($B14=$F$64,+'7.1. Weather Normal KW Customer'!$I$40,IF($B14=$F$65,+'7.1. Weather Normal KW Customer'!$T$40,IF($B14=$F$66,+'7.1. Weather Normal KW Customer'!$AD$40,IF($B14=$F$67,+'7.1. Weather Normal KW Customer'!$AN$40,IF($B14=$F$68,+'7.1. Weather Normal KW Customer'!$AX$40))))))))))</f>
        <v>17745457.151925799</v>
      </c>
      <c r="P15" s="683">
        <f>IF($B14=$F$59,+'7. Weather Normal kWh'!$H$38,IF($B14=$F$60,+'7. Weather Normal kWh'!$P$38,IF($B14=$F$61,+'7. Weather Normal kWh'!$X$38,IF($B14=$F$62,+'7. Weather Normal kWh'!$AF$38,IF($B14=$F$63,+'7. Weather Normal kWh'!$AN$38,IF($B14=$F$64,+'7.1. Weather Normal KW Customer'!$I$41,IF($B14=$F$65,+'7.1. Weather Normal KW Customer'!$T$41,IF($B14=$F$66,+'7.1. Weather Normal KW Customer'!$AD$41,IF($B14=$F$67,+'7.1. Weather Normal KW Customer'!$AN$41,IF($B14=$F$68,+'7.1. Weather Normal KW Customer'!$AX$41))))))))))</f>
        <v>18032738.374179009</v>
      </c>
    </row>
    <row r="16" spans="2:16" x14ac:dyDescent="0.2">
      <c r="B16" s="1255"/>
      <c r="C16" s="52"/>
      <c r="D16" s="52" t="s">
        <v>37</v>
      </c>
      <c r="E16" s="566">
        <f>IF(B$10=$F$64,+'7.1. Weather Normal KW Customer'!$F$12,IF($B14=$F$65,+'7.1. Weather Normal KW Customer'!$Q$12,IF($B14=$F$66,+'7.1. Weather Normal KW Customer'!$AA$12,IF($B14=$F$67,+'7.1. Weather Normal KW Customer'!$AK$12,+IF($B14=$F$68,+'7.1. Weather Normal KW Customer'!$AU$12,0)))))</f>
        <v>0</v>
      </c>
      <c r="F16" s="566">
        <f>IF($B14=$F$64,+'7.1. Weather Normal KW Customer'!$F$13,IF($B14=$F$65,+'7.1. Weather Normal KW Customer'!$Q$13,IF($B14=$F$66,+'7.1. Weather Normal KW Customer'!$AA$13,IF($B14=$F$67,+'7.1. Weather Normal KW Customer'!$AK$13,+IF($B14=$F$68,+'7.1. Weather Normal KW Customer'!$AU$13,0)))))</f>
        <v>0</v>
      </c>
      <c r="G16" s="566">
        <f>IF($B14=$F$64,+'7.1. Weather Normal KW Customer'!$F$14,IF($B14=$F$65,+'7.1. Weather Normal KW Customer'!$Q$14,IF($B14=$F$66,+'7.1. Weather Normal KW Customer'!$AA$14,IF($B14=$F$67,+'7.1. Weather Normal KW Customer'!$AK$14,+IF($B14=$F$68,+'7.1. Weather Normal KW Customer'!$AU$14,0)))))</f>
        <v>0</v>
      </c>
      <c r="H16" s="566">
        <f>IF($B14=$F$64,+'7.1. Weather Normal KW Customer'!$F$15,IF($B14=$F$65,+'7.1. Weather Normal KW Customer'!$Q$15,IF($B14=$F$66,+'7.1. Weather Normal KW Customer'!$AA$15,IF($B14=$F$67,+'7.1. Weather Normal KW Customer'!$AK$15,+IF($B14=$F$68,+'7.1. Weather Normal KW Customer'!$AU$15,0)))))</f>
        <v>0</v>
      </c>
      <c r="I16" s="566">
        <f>IF($B14=$F$64,+'7.1. Weather Normal KW Customer'!$F$16,IF($B14=$F$65,+'7.1. Weather Normal KW Customer'!$Q$16,IF($B14=$F$66,+'7.1. Weather Normal KW Customer'!$AA$16,IF($B14=$F$67,+'7.1. Weather Normal KW Customer'!$AK$16,+IF($B14=$F$68,+'7.1. Weather Normal KW Customer'!$AU$16,0)))))</f>
        <v>0</v>
      </c>
      <c r="J16" s="566">
        <f>IF($B14=$F$64,+'7.1. Weather Normal KW Customer'!$F$17,IF($B14=$F$65,+'7.1. Weather Normal KW Customer'!$Q$17,IF($B14=$F$66,+'7.1. Weather Normal KW Customer'!$AA$17,IF($B14=$F$67,+'7.1. Weather Normal KW Customer'!$AK$17,+IF($B14=$F$68,+'7.1. Weather Normal KW Customer'!$AU$17,0)))))</f>
        <v>0</v>
      </c>
      <c r="K16" s="566">
        <f>IF($B14=$F$64,+'7.1. Weather Normal KW Customer'!$F$18,IF($B14=$F$65,+'7.1. Weather Normal KW Customer'!$Q$18,IF($B14=$F$66,+'7.1. Weather Normal KW Customer'!$AA$18,IF($B14=$F$67,+'7.1. Weather Normal KW Customer'!$AK$18,+IF($B14=$F$68,+'7.1. Weather Normal KW Customer'!$AU$18,0)))))</f>
        <v>0</v>
      </c>
      <c r="L16" s="566">
        <f>IF($B14=$F$64,+'7.1. Weather Normal KW Customer'!$F$19,IF($B14=$F$65,+'7.1. Weather Normal KW Customer'!$Q$19,IF($B14=$F$66,+'7.1. Weather Normal KW Customer'!$AA$19,IF($B14=$F$67,+'7.1. Weather Normal KW Customer'!$AK$19,+IF($B14=$F$68,+'7.1. Weather Normal KW Customer'!$AU$19,0)))))</f>
        <v>0</v>
      </c>
      <c r="M16" s="566">
        <f>IF($B14=$F$64,+'7.1. Weather Normal KW Customer'!$F$20,IF($B14=$F$65,+'7.1. Weather Normal KW Customer'!$Q$20,IF($B14=$F$66,+'7.1. Weather Normal KW Customer'!$AA$20,IF($B14=$F$67,+'7.1. Weather Normal KW Customer'!$AK$20,+IF($B14=$F$68,+'7.1. Weather Normal KW Customer'!$AU$20,0)))))</f>
        <v>0</v>
      </c>
      <c r="N16" s="566">
        <f>IF($B14=$F$64,+'7.1. Weather Normal KW Customer'!$F$21,IF($B14=$F$65,+'7.1. Weather Normal KW Customer'!$Q$21,IF($B14=$F$66,+'7.1. Weather Normal KW Customer'!$AA$21,IF($B14=$F$67,+'7.1. Weather Normal KW Customer'!$AK$21,+IF($B14=$F$68,+'7.1. Weather Normal KW Customer'!$AU$21,0)))))</f>
        <v>0</v>
      </c>
      <c r="O16" s="566">
        <f>IF($B14=$F$64,+'7.1. Weather Normal KW Customer'!$J$40,IF($B14=$F$65,+'7.1. Weather Normal KW Customer'!$U$40,IF($B14=$F$66,+'7.1. Weather Normal KW Customer'!$AE$40,IF($B14=$F$67,+'7.1. Weather Normal KW Customer'!$AO$40,+IF($B14=$F$68,+'7.1. Weather Normal KW Customer'!$AY$40,0)))))</f>
        <v>0</v>
      </c>
      <c r="P16" s="684">
        <f>IF($B14=$F$64,+'7.1. Weather Normal KW Customer'!$J$41,IF($B14=$F$65,+'7.1. Weather Normal KW Customer'!$U$41,IF($B14=$F$66,+'7.1. Weather Normal KW Customer'!$AE$41,IF($B14=$F$67,+'7.1. Weather Normal KW Customer'!$AO$41,+IF($B14=$F$68,+'7.1. Weather Normal KW Customer'!$AY$41,0)))))</f>
        <v>0</v>
      </c>
    </row>
    <row r="17" spans="2:16" x14ac:dyDescent="0.2">
      <c r="B17" s="1255"/>
      <c r="C17" s="52"/>
      <c r="D17" s="52"/>
      <c r="E17" s="566"/>
      <c r="F17" s="566"/>
      <c r="G17" s="566"/>
      <c r="H17" s="566"/>
      <c r="I17" s="566"/>
      <c r="J17" s="566"/>
      <c r="K17" s="566"/>
      <c r="L17" s="566"/>
      <c r="M17" s="566"/>
      <c r="N17" s="566"/>
      <c r="O17" s="567"/>
      <c r="P17" s="568"/>
    </row>
    <row r="18" spans="2:16" ht="25.5" x14ac:dyDescent="0.2">
      <c r="B18" s="1256" t="s">
        <v>667</v>
      </c>
      <c r="C18" s="443" t="str">
        <f>IF($B18=$F$59,+$B$59,+IF($B18=$F$60,+$B$60,+IF($B18=$F$61,+$B$61,+IF($B18=$F$61,$B$61,+IF($B18=$F$62,+$B$62,+IF($B18=$F$63,+$B$63,+IF($B18=$F$64,+$B$64,+IF($B18=$F$65,+$B$65,+IF($B18=$F$66,+$B$66,+IF($B18=$F$67,+$B$67,+IF($B18=$F$68,+$B$68)))))))))))</f>
        <v>General Service &gt; 50 kW - 4999 kW - Excluding Wholesale Market Participant</v>
      </c>
      <c r="D18" s="87" t="s">
        <v>124</v>
      </c>
      <c r="E18" s="682">
        <f>IF($C18='4. Customer Growth'!$C$7,+'4. Customer Growth'!$C$9,+IF($C18='4. Customer Growth'!$E$7,+'4. Customer Growth'!$E$9,+IF($C18='4. Customer Growth'!$G$7,+'4. Customer Growth'!$G$9,+IF($C18='4. Customer Growth'!$I$7,+'4. Customer Growth'!$I$9,+IF($C18='4. Customer Growth'!$K$7,+'4. Customer Growth'!$K$9,+IF($C18='4. Customer Growth'!$M$7,+'4. Customer Growth'!$M$9,IF($C18='4. Customer Growth'!$O$7,+'4. Customer Growth'!$O$9)))))))</f>
        <v>42</v>
      </c>
      <c r="F18" s="682">
        <f>IF($C18='4. Customer Growth'!$C$7,+'4. Customer Growth'!$C$10,+IF($C18='4. Customer Growth'!$E$7,+'4. Customer Growth'!$E$10,+IF($C18='4. Customer Growth'!$G$7,+'4. Customer Growth'!$G$10,+IF($C18='4. Customer Growth'!$I$7,+'4. Customer Growth'!$I$10,+IF($C18='4. Customer Growth'!$K$7,+'4. Customer Growth'!$K$10,+IF($C18='4. Customer Growth'!$M$7,+'4. Customer Growth'!$M$10,IF($C18='4. Customer Growth'!$O$7,+'4. Customer Growth'!$O$10)))))))</f>
        <v>40.5</v>
      </c>
      <c r="G18" s="682">
        <f>IF($C18='4. Customer Growth'!$C$7,+'4. Customer Growth'!$C$11,+IF($C18='4. Customer Growth'!$E$7,+'4. Customer Growth'!$E$11,+IF($C18='4. Customer Growth'!$G$7,+'4. Customer Growth'!$G$11,+IF($C18='4. Customer Growth'!$I$7,+'4. Customer Growth'!$I$11,+IF($C18='4. Customer Growth'!$K$7,+'4. Customer Growth'!$K$11,+IF($C18='4. Customer Growth'!$M$7,+'4. Customer Growth'!$M$11,IF($C18='4. Customer Growth'!$O$7,+'4. Customer Growth'!$O$11)))))))</f>
        <v>36</v>
      </c>
      <c r="H18" s="682">
        <f>IF($C18='4. Customer Growth'!$C$7,+'4. Customer Growth'!$C$12,+IF($C18='4. Customer Growth'!$E$7,+'4. Customer Growth'!$E$12,+IF($C18='4. Customer Growth'!$G$7,+'4. Customer Growth'!$G$12,+IF($C18='4. Customer Growth'!$I$7,+'4. Customer Growth'!$I$12,+IF($C18='4. Customer Growth'!$K$7,+'4. Customer Growth'!$K$12,+IF($C18='4. Customer Growth'!$M$7,+'4. Customer Growth'!$M$12,IF($C18='4. Customer Growth'!$O$7,+'4. Customer Growth'!$O$12)))))))</f>
        <v>31</v>
      </c>
      <c r="I18" s="682">
        <f>IF($C18='4. Customer Growth'!$C$7,+'4. Customer Growth'!$C$13,+IF($C18='4. Customer Growth'!$E$7,+'4. Customer Growth'!$E$13,+IF($C18='4. Customer Growth'!$G$7,+'4. Customer Growth'!$G$13,+IF($C18='4. Customer Growth'!$I$7,+'4. Customer Growth'!$I$13,+IF($C18='4. Customer Growth'!$K$7,+'4. Customer Growth'!$K$13,+IF($C18='4. Customer Growth'!$M$7,+'4. Customer Growth'!$M$13,IF($C18='4. Customer Growth'!$O$7,+'4. Customer Growth'!$O$13)))))))</f>
        <v>30</v>
      </c>
      <c r="J18" s="682">
        <f>IF($C18='4. Customer Growth'!$C$7,+'4. Customer Growth'!$C$14,+IF($C18='4. Customer Growth'!$E$7,+'4. Customer Growth'!$E$14,+IF($C18='4. Customer Growth'!$G$7,+'4. Customer Growth'!$G$14,+IF($C18='4. Customer Growth'!$I$7,+'4. Customer Growth'!$I$14,+IF($C18='4. Customer Growth'!$K$7,+'4. Customer Growth'!$K$14,+IF($C18='4. Customer Growth'!$M$7,+'4. Customer Growth'!$M$14,IF($C18='4. Customer Growth'!$O$7,+'4. Customer Growth'!$O$14)))))))</f>
        <v>31</v>
      </c>
      <c r="K18" s="682">
        <f>IF($C18='4. Customer Growth'!$C$7,+'4. Customer Growth'!$C$15,+IF($C18='4. Customer Growth'!$E$7,+'4. Customer Growth'!$E$15,+IF($C18='4. Customer Growth'!$G$7,+'4. Customer Growth'!$G$15,+IF($C18='4. Customer Growth'!$I$7,+'4. Customer Growth'!$I$15,+IF($C18='4. Customer Growth'!$K$7,+'4. Customer Growth'!$K$15,+IF($C18='4. Customer Growth'!$M$7,+'4. Customer Growth'!$M$15,IF($C18='4. Customer Growth'!$O$7,+'4. Customer Growth'!$O$15)))))))</f>
        <v>32.5</v>
      </c>
      <c r="L18" s="682">
        <f>IF($C18='4. Customer Growth'!$C$7,+'4. Customer Growth'!$C$16,+IF($C18='4. Customer Growth'!$E$7,+'4. Customer Growth'!$E$16,+IF($C18='4. Customer Growth'!$G$7,+'4. Customer Growth'!$G$16,+IF($C18='4. Customer Growth'!$I$7,+'4. Customer Growth'!$I$16,+IF($C18='4. Customer Growth'!$K$7,+'4. Customer Growth'!$K$16,+IF($C18='4. Customer Growth'!$M$7,+'4. Customer Growth'!$M$16,IF($C18='4. Customer Growth'!$O$7,+'4. Customer Growth'!$O$16)))))))</f>
        <v>35</v>
      </c>
      <c r="M18" s="682">
        <f>IF($C18='4. Customer Growth'!$C$7,+'4. Customer Growth'!$C$17,+IF($C18='4. Customer Growth'!$E$7,+'4. Customer Growth'!$E$17,+IF($C18='4. Customer Growth'!$G$7,+'4. Customer Growth'!$G$17,+IF($C18='4. Customer Growth'!$I$7,+'4. Customer Growth'!$I$17,+IF($C18='4. Customer Growth'!$K$7,+'4. Customer Growth'!$K$17,+IF($C18='4. Customer Growth'!$M$7,+'4. Customer Growth'!$M$17,IF($C18='4. Customer Growth'!$O$7,+'4. Customer Growth'!$O$17)))))))</f>
        <v>35</v>
      </c>
      <c r="N18" s="682">
        <f>IF($C18='4. Customer Growth'!$C$7,+'4. Customer Growth'!$C$18,+IF($C18='4. Customer Growth'!$E$7,+'4. Customer Growth'!$E$18,+IF($C18='4. Customer Growth'!$G$7,+'4. Customer Growth'!$G$18,+IF($C18='4. Customer Growth'!$I$7,+'4. Customer Growth'!$I$18,+IF($C18='4. Customer Growth'!$K$7,+'4. Customer Growth'!$K$18,+IF($C18='4. Customer Growth'!$M$7,+'4. Customer Growth'!$M$18,IF($C18='4. Customer Growth'!$O$7,+'4. Customer Growth'!$O$18)))))))</f>
        <v>36</v>
      </c>
      <c r="O18" s="682">
        <f>IF($C18='4. Customer Growth'!$C$7,+'4. Customer Growth'!$C$34,+IF($C18='4. Customer Growth'!$E$7,+'4. Customer Growth'!$E$34,+IF($C18='4. Customer Growth'!$G$7,+'4. Customer Growth'!$G$34,+IF($C18='4. Customer Growth'!$I$7,+'4. Customer Growth'!$I$34,+IF($C18='4. Customer Growth'!$K$7,+'4. Customer Growth'!$K$34,+IF($C18='4. Customer Growth'!$M$7,+'4. Customer Growth'!$M$34,IF($C18='4. Customer Growth'!$O$7,+'4. Customer Growth'!$O$34)))))))</f>
        <v>37</v>
      </c>
      <c r="P18" s="683">
        <f>IF($C18='4. Customer Growth'!$C$7,+'4. Customer Growth'!$C$35,+IF($C18='4. Customer Growth'!$E$7,+'4. Customer Growth'!$E$35,+IF($C18='4. Customer Growth'!$G$7,+'4. Customer Growth'!$G$35,+IF($C18='4. Customer Growth'!$I$7,+'4. Customer Growth'!$I$35,+IF($C18='4. Customer Growth'!$K$7,+'4. Customer Growth'!$K$35,+IF($C18='4. Customer Growth'!$M$7,+'4. Customer Growth'!$M$35,IF($C18='4. Customer Growth'!$O$7,+'4. Customer Growth'!$O$35)))))))</f>
        <v>37</v>
      </c>
    </row>
    <row r="19" spans="2:16" x14ac:dyDescent="0.2">
      <c r="B19" s="1255"/>
      <c r="C19" s="52"/>
      <c r="D19" s="52" t="s">
        <v>36</v>
      </c>
      <c r="E19" s="682">
        <f>IF($B18=$F$59,+'7. Weather Normal kWh'!$C$16,IF($B18=$F$60,+'7. Weather Normal kWh'!$K$16,IF($B18=$F$61,+'7. Weather Normal kWh'!$S$16,IF($B18=$F$62,+'7. Weather Normal kWh'!$AA$16,IF($B18=$F$63,+'7. Weather Normal kWh'!$AI$16,IF($B18=$F$64,+'7.1. Weather Normal KW Customer'!$E$12,IF($B18=$F$65,+'7.1. Weather Normal KW Customer'!$P$12,IF($B18=$F$66,+'7.1. Weather Normal KW Customer'!$Z$12,IF($B18=$F$67,+'7.1. Weather Normal KW Customer'!$AJ$12,IF($B18=$F$68,+'7.1. Weather Normal KW Customer'!$AT$12))))))))))</f>
        <v>12388793.66</v>
      </c>
      <c r="F19" s="682">
        <f>IF($B18=$F$59,+'7. Weather Normal kWh'!$C$17,IF($B18=$F$60,+'7. Weather Normal kWh'!$K$17,IF($B18=$F$61,+'7. Weather Normal kWh'!$S$17,IF($B18=$F$62,+'7. Weather Normal kWh'!$AA$17,IF($B18=$F$63,+'7. Weather Normal kWh'!$AI$17,IF($B18=$F$64,+'7.1. Weather Normal KW Customer'!$E$13,IF($B18=$F$65,+'7.1. Weather Normal KW Customer'!$P$13,IF($B18=$F$66,+'7.1. Weather Normal KW Customer'!$Z$13,IF($B18=$F$67,+'7.1. Weather Normal KW Customer'!$AJ$13,IF($B18=$F$68,+'7.1. Weather Normal KW Customer'!$AT$13))))))))))</f>
        <v>12633563.929999998</v>
      </c>
      <c r="G19" s="682">
        <f>IF($B18=$F$59,+'7. Weather Normal kWh'!$C$18,IF($B18=$F$60,+'7. Weather Normal kWh'!$K$18,IF($B18=$F$61,+'7. Weather Normal kWh'!$S$18,IF($B18=$F$62,+'7. Weather Normal kWh'!$AA$18,IF($B18=$F$63,+'7. Weather Normal kWh'!$AI$18,IF($B18=$F$64,+'7.1. Weather Normal KW Customer'!$E$14,IF($B18=$F$65,+'7.1. Weather Normal KW Customer'!$P$14,IF($B18=$F$66,+'7.1. Weather Normal KW Customer'!$Z$14,IF($B18=$F$67,+'7.1. Weather Normal KW Customer'!$AJ$14,IF($B18=$F$68,+'7.1. Weather Normal KW Customer'!$AT$14))))))))))</f>
        <v>14970174.015999999</v>
      </c>
      <c r="H19" s="682">
        <f>IF($B18=$F$59,+'7. Weather Normal kWh'!$C$19,IF($B18=$F$60,+'7. Weather Normal kWh'!$K$19,IF($B18=$F$61,+'7. Weather Normal kWh'!$S$19,IF($B18=$F$62,+'7. Weather Normal kWh'!$AA$19,IF($B18=$F$63,+'7. Weather Normal kWh'!$AI$19,IF($B18=$F$64,+'7.1. Weather Normal KW Customer'!$E$15,IF($B18=$F$65,+'7.1. Weather Normal KW Customer'!$P$15,IF($B18=$F$66,+'7.1. Weather Normal KW Customer'!$Z$15,IF($B18=$F$67,+'7.1. Weather Normal KW Customer'!$AJ$15,IF($B18=$F$68,+'7.1. Weather Normal KW Customer'!$AT$15))))))))))</f>
        <v>17386048.783999998</v>
      </c>
      <c r="I19" s="682">
        <f>IF($B18=$F$59,+'7. Weather Normal kWh'!$C$20,IF($B18=$F$60,+'7. Weather Normal kWh'!$K$20,IF($B18=$F$61,+'7. Weather Normal kWh'!$S$20,IF($B18=$F$62,+'7. Weather Normal kWh'!$AA$20,IF($B18=$F$63,+'7. Weather Normal kWh'!$AI$20,IF($B18=$F$64,+'7.1. Weather Normal KW Customer'!$E$16,IF($B18=$F$65,+'7.1. Weather Normal KW Customer'!$P$16,IF($B18=$F$66,+'7.1. Weather Normal KW Customer'!$Z$16,IF($B18=$F$67,+'7.1. Weather Normal KW Customer'!$AJ$16,IF($B18=$F$68,+'7.1. Weather Normal KW Customer'!$AT$16))))))))))</f>
        <v>16872487.509999998</v>
      </c>
      <c r="J19" s="682">
        <f>IF($B18=$F$59,+'7. Weather Normal kWh'!$C$21,IF($B18=$F$60,+'7. Weather Normal kWh'!$K$21,IF($B18=$F$61,+'7. Weather Normal kWh'!$S$21,IF($B18=$F$62,+'7. Weather Normal kWh'!$AA$21,IF($B18=$F$63,+'7. Weather Normal kWh'!$AI$21,IF($B18=$F$64,+'7.1. Weather Normal KW Customer'!$E$17,IF($B18=$F$65,+'7.1. Weather Normal KW Customer'!$P$17,IF($B18=$F$66,+'7.1. Weather Normal KW Customer'!$Z$17,IF($B18=$F$67,+'7.1. Weather Normal KW Customer'!$AJ$17,IF($B18=$F$68,+'7.1. Weather Normal KW Customer'!$AT$17))))))))))</f>
        <v>17629407.020000003</v>
      </c>
      <c r="K19" s="682">
        <f>IF($B18=$F$59,+'7. Weather Normal kWh'!$C$22,IF($B18=$F$60,+'7. Weather Normal kWh'!$K$22,IF($B18=$F$61,+'7. Weather Normal kWh'!$S$22,IF($B18=$F$62,+'7. Weather Normal kWh'!$AA$22,IF($B18=$F$63,+'7. Weather Normal kWh'!$AI$22,IF($B18=$F$64,+'7.1. Weather Normal KW Customer'!$E$18,IF($B18=$F$65,+'7.1. Weather Normal KW Customer'!$P$18,IF($B18=$F$66,+'7.1. Weather Normal KW Customer'!$Z$18,IF($B18=$F$67,+'7.1. Weather Normal KW Customer'!$AJ$18,IF($B18=$F$68,+'7.1. Weather Normal KW Customer'!$AT$18))))))))))</f>
        <v>17073810.420000002</v>
      </c>
      <c r="L19" s="682">
        <f>IF($B18=$F$59,+'7. Weather Normal kWh'!$C$23,IF($B18=$F$60,+'7. Weather Normal kWh'!$K$23,IF($B18=$F$61,+'7. Weather Normal kWh'!$S$24,IF($B18=$F$62,+'7. Weather Normal kWh'!$AA$23,IF($B18=$F$63,+'7. Weather Normal kWh'!$AI$23,IF($B18=$F$64,+'7.1. Weather Normal KW Customer'!$E$19,IF($B18=$F$65,+'7.1. Weather Normal KW Customer'!$P$19,IF($B18=$F$66,+'7.1. Weather Normal KW Customer'!$Z$19,IF($B18=$F$67,+'7.1. Weather Normal KW Customer'!$AJ$19,IF($B18=$F$68,+'7.1. Weather Normal KW Customer'!$AT$19))))))))))</f>
        <v>17613527.535856102</v>
      </c>
      <c r="M19" s="682">
        <f>IF($B18=$F$59,+'7. Weather Normal kWh'!$C$24,IF($B18=$F$60,+'7. Weather Normal kWh'!$K$24,IF($B18=$F$61,+'7. Weather Normal kWh'!$S$25,IF($B18=$F$62,+'7. Weather Normal kWh'!$AA$24,IF($B18=$F$63,+'7. Weather Normal kWh'!$AI$24,IF($B18=$F$64,+'7.1. Weather Normal KW Customer'!$E$20,IF($B18=$F$65,+'7.1. Weather Normal KW Customer'!$P$20,IF($B18=$F$66,+'7.1. Weather Normal KW Customer'!$Z$20,IF($B18=$F$67,+'7.1. Weather Normal KW Customer'!$AJ$20,IF($B18=$F$68,+'7.1. Weather Normal KW Customer'!$AT$20))))))))))</f>
        <v>17691775.363432009</v>
      </c>
      <c r="N19" s="682">
        <f>IF($B18=$F$59,+'7. Weather Normal kWh'!$C$25,IF($B18=$F$60,+'7. Weather Normal kWh'!$K$25,IF($B18=$F$61,+'7. Weather Normal kWh'!$W$25,IF($B18=$F$62,+'7. Weather Normal kWh'!$AA$25,IF($B18=$F$63,+'7. Weather Normal kWh'!$AI$25,IF($B18=$F$64,+'7.1. Weather Normal KW Customer'!$E$21,IF($B18=$F$65,+'7.1. Weather Normal KW Customer'!$P$21,IF($B18=$F$66,+'7.1. Weather Normal KW Customer'!$Z$21,IF($B18=$F$67,+'7.1. Weather Normal KW Customer'!$AJ$21,IF($B18=$F$68,+'7.1. Weather Normal KW Customer'!$AT$21))))))))))</f>
        <v>17311423.283422757</v>
      </c>
      <c r="O19" s="682">
        <f>IF($B18=$F$59,+'7. Weather Normal kWh'!$H$37,IF($B18=$F$60,+'7. Weather Normal kWh'!$P$37,IF($B18=$F$61,+'7. Weather Normal kWh'!$X$37,IF($B18=$F$62,+'7. Weather Normal kWh'!$AF$37,IF($B18=$F$63,+'7. Weather Normal kWh'!$AN$37,IF($B18=$F$64,+'7.1. Weather Normal KW Customer'!$I$40,IF($B18=$F$65,+'7.1. Weather Normal KW Customer'!$T$40,IF($B18=$F$66,+'7.1. Weather Normal KW Customer'!$AD$40,IF($B18=$F$67,+'7.1. Weather Normal KW Customer'!$AN$40,IF($B18=$F$68,+'7.1. Weather Normal KW Customer'!$AX$40))))))))))</f>
        <v>17739175.385813881</v>
      </c>
      <c r="P19" s="683">
        <f>IF($B18=$F$59,+'7. Weather Normal kWh'!$H$38,IF($B18=$F$60,+'7. Weather Normal kWh'!$P$38,IF($B18=$F$61,+'7. Weather Normal kWh'!$X$38,IF($B18=$F$62,+'7. Weather Normal kWh'!$AF$38,IF($B18=$F$63,+'7. Weather Normal kWh'!$AN$38,IF($B18=$F$64,+'7.1. Weather Normal KW Customer'!$I$41,IF($B18=$F$65,+'7.1. Weather Normal KW Customer'!$T$41,IF($B18=$F$66,+'7.1. Weather Normal KW Customer'!$AD$41,IF($B18=$F$67,+'7.1. Weather Normal KW Customer'!$AN$41,IF($B18=$F$68,+'7.1. Weather Normal KW Customer'!$AX$41))))))))))</f>
        <v>17932615.503197044</v>
      </c>
    </row>
    <row r="20" spans="2:16" x14ac:dyDescent="0.2">
      <c r="B20" s="1255"/>
      <c r="C20" s="52"/>
      <c r="D20" s="52" t="s">
        <v>37</v>
      </c>
      <c r="E20" s="566">
        <f>IF(B$10=$F$64,+'7.1. Weather Normal KW Customer'!$F$12,IF($B18=$F$65,+'7.1. Weather Normal KW Customer'!$Q$12,IF($B18=$F$66,+'7.1. Weather Normal KW Customer'!$AA$12,IF($B18=$F$67,+'7.1. Weather Normal KW Customer'!$AK$12,+IF($B18=$F$68,+'7.1. Weather Normal KW Customer'!$AU$12,0)))))</f>
        <v>0</v>
      </c>
      <c r="F20" s="566">
        <f>IF($B18=$F$64,+'7.1. Weather Normal KW Customer'!$F$13,IF($B18=$F$65,+'7.1. Weather Normal KW Customer'!$Q$13,IF($B18=$F$66,+'7.1. Weather Normal KW Customer'!$AA$13,IF($B18=$F$67,+'7.1. Weather Normal KW Customer'!$AK$13,+IF($B18=$F$68,+'7.1. Weather Normal KW Customer'!$AU$13,0)))))</f>
        <v>0</v>
      </c>
      <c r="G20" s="566">
        <f>IF($B18=$F$64,+'7.1. Weather Normal KW Customer'!$F$14,IF($B18=$F$65,+'7.1. Weather Normal KW Customer'!$Q$14,IF($B18=$F$66,+'7.1. Weather Normal KW Customer'!$AA$14,IF($B18=$F$67,+'7.1. Weather Normal KW Customer'!$AK$14,+IF($B18=$F$68,+'7.1. Weather Normal KW Customer'!$AU$14,0)))))</f>
        <v>0</v>
      </c>
      <c r="H20" s="566">
        <f>IF($B18=$F$64,+'7.1. Weather Normal KW Customer'!$F$15,IF($B18=$F$65,+'7.1. Weather Normal KW Customer'!$Q$15,IF($B18=$F$66,+'7.1. Weather Normal KW Customer'!$AA$15,IF($B18=$F$67,+'7.1. Weather Normal KW Customer'!$AK$15,+IF($B18=$F$68,+'7.1. Weather Normal KW Customer'!$AU$15,0)))))</f>
        <v>0</v>
      </c>
      <c r="I20" s="566">
        <f>IF($B18=$F$64,+'7.1. Weather Normal KW Customer'!$F$16,IF($B18=$F$65,+'7.1. Weather Normal KW Customer'!$Q$16,IF($B18=$F$66,+'7.1. Weather Normal KW Customer'!$AA$16,IF($B18=$F$67,+'7.1. Weather Normal KW Customer'!$AK$16,+IF($B18=$F$68,+'7.1. Weather Normal KW Customer'!$AU$16,0)))))</f>
        <v>43811.69</v>
      </c>
      <c r="J20" s="566">
        <f>IF($B18=$F$64,+'7.1. Weather Normal KW Customer'!$F$17,IF($B18=$F$65,+'7.1. Weather Normal KW Customer'!$Q$17,IF($B18=$F$66,+'7.1. Weather Normal KW Customer'!$AA$17,IF($B18=$F$67,+'7.1. Weather Normal KW Customer'!$AK$17,+IF($B18=$F$68,+'7.1. Weather Normal KW Customer'!$AU$17,0)))))</f>
        <v>44115.7</v>
      </c>
      <c r="K20" s="566">
        <f>IF($B18=$F$64,+'7.1. Weather Normal KW Customer'!$F$18,IF($B18=$F$65,+'7.1. Weather Normal KW Customer'!$Q$18,IF($B18=$F$66,+'7.1. Weather Normal KW Customer'!$AA$18,IF($B18=$F$67,+'7.1. Weather Normal KW Customer'!$AK$18,+IF($B18=$F$68,+'7.1. Weather Normal KW Customer'!$AU$18,0)))))</f>
        <v>45358.5</v>
      </c>
      <c r="L20" s="566">
        <f>IF($B18=$F$64,+'7.1. Weather Normal KW Customer'!$F$19,IF($B18=$F$65,+'7.1. Weather Normal KW Customer'!$Q$19,IF($B18=$F$66,+'7.1. Weather Normal KW Customer'!$AA$19,IF($B18=$F$67,+'7.1. Weather Normal KW Customer'!$AK$19,+IF($B18=$F$68,+'7.1. Weather Normal KW Customer'!$AU$19,0)))))</f>
        <v>47594.97</v>
      </c>
      <c r="M20" s="566">
        <f>IF($B18=$F$64,+'7.1. Weather Normal KW Customer'!$F$20,IF($B18=$F$65,+'7.1. Weather Normal KW Customer'!$Q$20,IF($B18=$F$66,+'7.1. Weather Normal KW Customer'!$AA$20,IF($B18=$F$67,+'7.1. Weather Normal KW Customer'!$AK$20,+IF($B18=$F$68,+'7.1. Weather Normal KW Customer'!$AU$20,0)))))</f>
        <v>46866.61</v>
      </c>
      <c r="N20" s="566">
        <f>IF($B18=$F$64,+'7.1. Weather Normal KW Customer'!$F$21,IF($B18=$F$65,+'7.1. Weather Normal KW Customer'!$Q$21,IF($B18=$F$66,+'7.1. Weather Normal KW Customer'!$AA$21,IF($B18=$F$67,+'7.1. Weather Normal KW Customer'!$AK$21,+IF($B18=$F$68,+'7.1. Weather Normal KW Customer'!$AU$21,0)))))</f>
        <v>45989.17</v>
      </c>
      <c r="O20" s="566">
        <f>IF($B18=$F$64,+'7.1. Weather Normal KW Customer'!$J$40,IF($B18=$F$65,+'7.1. Weather Normal KW Customer'!$U$40,IF($B18=$F$66,+'7.1. Weather Normal KW Customer'!$AE$40,IF($B18=$F$67,+'7.1. Weather Normal KW Customer'!$AO$40,+IF($B18=$F$68,+'7.1. Weather Normal KW Customer'!$AY$40,0)))))</f>
        <v>46713.73939556734</v>
      </c>
      <c r="P20" s="684">
        <f>IF($B18=$F$64,+'7.1. Weather Normal KW Customer'!$J$41,IF($B18=$F$65,+'7.1. Weather Normal KW Customer'!$U$41,IF($B18=$F$66,+'7.1. Weather Normal KW Customer'!$AE$41,IF($B18=$F$67,+'7.1. Weather Normal KW Customer'!$AO$41,+IF($B18=$F$68,+'7.1. Weather Normal KW Customer'!$AY$41,0)))))</f>
        <v>47223.138002636268</v>
      </c>
    </row>
    <row r="21" spans="2:16" x14ac:dyDescent="0.2">
      <c r="B21" s="1255"/>
      <c r="C21" s="52"/>
      <c r="D21" s="52"/>
      <c r="E21" s="566"/>
      <c r="F21" s="566"/>
      <c r="G21" s="566"/>
      <c r="H21" s="566"/>
      <c r="I21" s="566"/>
      <c r="J21" s="566"/>
      <c r="K21" s="566"/>
      <c r="L21" s="566"/>
      <c r="M21" s="566"/>
      <c r="N21" s="566"/>
      <c r="O21" s="567"/>
      <c r="P21" s="568"/>
    </row>
    <row r="22" spans="2:16" ht="25.5" x14ac:dyDescent="0.2">
      <c r="B22" s="1256" t="s">
        <v>668</v>
      </c>
      <c r="C22" s="443" t="str">
        <f>IF($B22=$F$59,+$B$59,+IF($B22=$F$60,+$B$60,+IF($B22=$F$61,+$B$61,+IF($B22=$F$61,$B$61,+IF($B22=$F$62,+$B$62,+IF($B22=$F$63,+$B$63,+IF($B22=$F$64,+$B$64,+IF($B22=$F$65,+$B$65,+IF($B22=$F$66,+$B$66,+IF($B22=$F$67,+$B$67,+IF($B22=$F$68,+$B$68)))))))))))</f>
        <v>General Service &gt; 50 kW - 4999 kW - Wholesale Market Participant</v>
      </c>
      <c r="D22" s="52" t="s">
        <v>124</v>
      </c>
      <c r="E22" s="682">
        <f>IF($C22='4. Customer Growth'!$C$7,+'4. Customer Growth'!$C$9,+IF($C22='4. Customer Growth'!$E$7,+'4. Customer Growth'!$E$9,+IF($C22='4. Customer Growth'!$G$7,+'4. Customer Growth'!$G$9,+IF($C22='4. Customer Growth'!$I$7,+'4. Customer Growth'!$I$9,+IF($C22='4. Customer Growth'!$K$7,+'4. Customer Growth'!$K$9,+IF($C22='4. Customer Growth'!$M$7,+'4. Customer Growth'!$M$9,IF($C22='4. Customer Growth'!$O$7,+'4. Customer Growth'!$O$9)))))))</f>
        <v>1</v>
      </c>
      <c r="F22" s="682">
        <f>IF($C22='4. Customer Growth'!$C$7,+'4. Customer Growth'!$C$10,+IF($C22='4. Customer Growth'!$E$7,+'4. Customer Growth'!$E$10,+IF($C22='4. Customer Growth'!$G$7,+'4. Customer Growth'!$G$10,+IF($C22='4. Customer Growth'!$I$7,+'4. Customer Growth'!$I$10,+IF($C22='4. Customer Growth'!$K$7,+'4. Customer Growth'!$K$10,+IF($C22='4. Customer Growth'!$M$7,+'4. Customer Growth'!$M$10,IF($C22='4. Customer Growth'!$O$7,+'4. Customer Growth'!$O$10)))))))</f>
        <v>1</v>
      </c>
      <c r="G22" s="682">
        <f>IF($C22='4. Customer Growth'!$C$7,+'4. Customer Growth'!$C$11,+IF($C22='4. Customer Growth'!$E$7,+'4. Customer Growth'!$E$11,+IF($C22='4. Customer Growth'!$G$7,+'4. Customer Growth'!$G$11,+IF($C22='4. Customer Growth'!$I$7,+'4. Customer Growth'!$I$11,+IF($C22='4. Customer Growth'!$K$7,+'4. Customer Growth'!$K$11,+IF($C22='4. Customer Growth'!$M$7,+'4. Customer Growth'!$M$11,IF($C22='4. Customer Growth'!$O$7,+'4. Customer Growth'!$O$11)))))))</f>
        <v>1</v>
      </c>
      <c r="H22" s="682">
        <f>IF($C22='4. Customer Growth'!$C$7,+'4. Customer Growth'!$C$12,+IF($C22='4. Customer Growth'!$E$7,+'4. Customer Growth'!$E$12,+IF($C22='4. Customer Growth'!$G$7,+'4. Customer Growth'!$G$12,+IF($C22='4. Customer Growth'!$I$7,+'4. Customer Growth'!$I$12,+IF($C22='4. Customer Growth'!$K$7,+'4. Customer Growth'!$K$12,+IF($C22='4. Customer Growth'!$M$7,+'4. Customer Growth'!$M$12,IF($C22='4. Customer Growth'!$O$7,+'4. Customer Growth'!$O$12)))))))</f>
        <v>1</v>
      </c>
      <c r="I22" s="682">
        <f>IF($C22='4. Customer Growth'!$C$7,+'4. Customer Growth'!$C$13,+IF($C22='4. Customer Growth'!$E$7,+'4. Customer Growth'!$E$13,+IF($C22='4. Customer Growth'!$G$7,+'4. Customer Growth'!$G$13,+IF($C22='4. Customer Growth'!$I$7,+'4. Customer Growth'!$I$13,+IF($C22='4. Customer Growth'!$K$7,+'4. Customer Growth'!$K$13,+IF($C22='4. Customer Growth'!$M$7,+'4. Customer Growth'!$M$13,IF($C22='4. Customer Growth'!$O$7,+'4. Customer Growth'!$O$13)))))))</f>
        <v>1</v>
      </c>
      <c r="J22" s="682">
        <f>IF($C22='4. Customer Growth'!$C$7,+'4. Customer Growth'!$C$14,+IF($C22='4. Customer Growth'!$E$7,+'4. Customer Growth'!$E$14,+IF($C22='4. Customer Growth'!$G$7,+'4. Customer Growth'!$G$14,+IF($C22='4. Customer Growth'!$I$7,+'4. Customer Growth'!$I$14,+IF($C22='4. Customer Growth'!$K$7,+'4. Customer Growth'!$K$14,+IF($C22='4. Customer Growth'!$M$7,+'4. Customer Growth'!$M$14,IF($C22='4. Customer Growth'!$O$7,+'4. Customer Growth'!$O$14)))))))</f>
        <v>1</v>
      </c>
      <c r="K22" s="682">
        <f>IF($C22='4. Customer Growth'!$C$7,+'4. Customer Growth'!$C$15,+IF($C22='4. Customer Growth'!$E$7,+'4. Customer Growth'!$E$15,+IF($C22='4. Customer Growth'!$G$7,+'4. Customer Growth'!$G$15,+IF($C22='4. Customer Growth'!$I$7,+'4. Customer Growth'!$I$15,+IF($C22='4. Customer Growth'!$K$7,+'4. Customer Growth'!$K$15,+IF($C22='4. Customer Growth'!$M$7,+'4. Customer Growth'!$M$15,IF($C22='4. Customer Growth'!$O$7,+'4. Customer Growth'!$O$15)))))))</f>
        <v>1</v>
      </c>
      <c r="L22" s="682">
        <f>IF($C22='4. Customer Growth'!$C$7,+'4. Customer Growth'!$C$16,+IF($C22='4. Customer Growth'!$E$7,+'4. Customer Growth'!$E$16,+IF($C22='4. Customer Growth'!$G$7,+'4. Customer Growth'!$G$16,+IF($C22='4. Customer Growth'!$I$7,+'4. Customer Growth'!$I$16,+IF($C22='4. Customer Growth'!$K$7,+'4. Customer Growth'!$K$16,+IF($C22='4. Customer Growth'!$M$7,+'4. Customer Growth'!$M$16,IF($C22='4. Customer Growth'!$O$7,+'4. Customer Growth'!$O$16)))))))</f>
        <v>1</v>
      </c>
      <c r="M22" s="682">
        <f>IF($C22='4. Customer Growth'!$C$7,+'4. Customer Growth'!$C$17,+IF($C22='4. Customer Growth'!$E$7,+'4. Customer Growth'!$E$17,+IF($C22='4. Customer Growth'!$G$7,+'4. Customer Growth'!$G$17,+IF($C22='4. Customer Growth'!$I$7,+'4. Customer Growth'!$I$17,+IF($C22='4. Customer Growth'!$K$7,+'4. Customer Growth'!$K$17,+IF($C22='4. Customer Growth'!$M$7,+'4. Customer Growth'!$M$17,IF($C22='4. Customer Growth'!$O$7,+'4. Customer Growth'!$O$17)))))))</f>
        <v>1</v>
      </c>
      <c r="N22" s="682">
        <f>IF($C22='4. Customer Growth'!$C$7,+'4. Customer Growth'!$C$18,+IF($C22='4. Customer Growth'!$E$7,+'4. Customer Growth'!$E$18,+IF($C22='4. Customer Growth'!$G$7,+'4. Customer Growth'!$G$18,+IF($C22='4. Customer Growth'!$I$7,+'4. Customer Growth'!$I$18,+IF($C22='4. Customer Growth'!$K$7,+'4. Customer Growth'!$K$18,+IF($C22='4. Customer Growth'!$M$7,+'4. Customer Growth'!$M$18,IF($C22='4. Customer Growth'!$O$7,+'4. Customer Growth'!$O$18)))))))</f>
        <v>1</v>
      </c>
      <c r="O22" s="682">
        <f>IF($C22='4. Customer Growth'!$C$7,+'4. Customer Growth'!$C$34,+IF($C22='4. Customer Growth'!$E$7,+'4. Customer Growth'!$E$34,+IF($C22='4. Customer Growth'!$G$7,+'4. Customer Growth'!$G$34,+IF($C22='4. Customer Growth'!$I$7,+'4. Customer Growth'!$I$34,+IF($C22='4. Customer Growth'!$K$7,+'4. Customer Growth'!$K$34,+IF($C22='4. Customer Growth'!$M$7,+'4. Customer Growth'!$M$34,IF($C22='4. Customer Growth'!$O$7,+'4. Customer Growth'!$O$34)))))))</f>
        <v>1</v>
      </c>
      <c r="P22" s="683">
        <f>IF($C22='4. Customer Growth'!$C$7,+'4. Customer Growth'!$C$35,+IF($C22='4. Customer Growth'!$E$7,+'4. Customer Growth'!$E$35,+IF($C22='4. Customer Growth'!$G$7,+'4. Customer Growth'!$G$35,+IF($C22='4. Customer Growth'!$I$7,+'4. Customer Growth'!$I$35,+IF($C22='4. Customer Growth'!$K$7,+'4. Customer Growth'!$K$35,+IF($C22='4. Customer Growth'!$M$7,+'4. Customer Growth'!$M$35,IF($C22='4. Customer Growth'!$O$7,+'4. Customer Growth'!$O$35)))))))</f>
        <v>1</v>
      </c>
    </row>
    <row r="23" spans="2:16" x14ac:dyDescent="0.2">
      <c r="B23" s="1255"/>
      <c r="C23" s="52"/>
      <c r="D23" s="52" t="s">
        <v>36</v>
      </c>
      <c r="E23" s="682">
        <f>IF($B22=$F$59,+'7. Weather Normal kWh'!$C$16,IF($B22=$F$60,+'7. Weather Normal kWh'!$K$16,IF($B22=$F$61,+'7. Weather Normal kWh'!$S$16,IF($B22=$F$62,+'7. Weather Normal kWh'!$AA$16,IF($B22=$F$63,+'7. Weather Normal kWh'!$AI$16,IF($B22=$F$64,+'7.1. Weather Normal KW Customer'!$E$12,IF($B22=$F$65,+'7.1. Weather Normal KW Customer'!$P$12,IF($B22=$F$66,+'7.1. Weather Normal KW Customer'!$Z$12,IF($B22=$F$67,+'7.1. Weather Normal KW Customer'!$AJ$12,IF($B22=$F$68,+'7.1. Weather Normal KW Customer'!$AT$12))))))))))</f>
        <v>994198.57999999984</v>
      </c>
      <c r="F23" s="682">
        <f>IF($B22=$F$59,+'7. Weather Normal kWh'!$C$17,IF($B22=$F$60,+'7. Weather Normal kWh'!$K$17,IF($B22=$F$61,+'7. Weather Normal kWh'!$S$17,IF($B22=$F$62,+'7. Weather Normal kWh'!$AA$17,IF($B22=$F$63,+'7. Weather Normal kWh'!$AI$17,IF($B22=$F$64,+'7.1. Weather Normal KW Customer'!$E$13,IF($B22=$F$65,+'7.1. Weather Normal KW Customer'!$P$13,IF($B22=$F$66,+'7.1. Weather Normal KW Customer'!$Z$13,IF($B22=$F$67,+'7.1. Weather Normal KW Customer'!$AJ$13,IF($B22=$F$68,+'7.1. Weather Normal KW Customer'!$AT$13))))))))))</f>
        <v>4233263.5499999989</v>
      </c>
      <c r="G23" s="682">
        <f>IF($B22=$F$59,+'7. Weather Normal kWh'!$C$18,IF($B22=$F$60,+'7. Weather Normal kWh'!$K$18,IF($B22=$F$61,+'7. Weather Normal kWh'!$S$18,IF($B22=$F$62,+'7. Weather Normal kWh'!$AA$18,IF($B22=$F$63,+'7. Weather Normal kWh'!$AI$18,IF($B22=$F$64,+'7.1. Weather Normal KW Customer'!$E$14,IF($B22=$F$65,+'7.1. Weather Normal KW Customer'!$P$14,IF($B22=$F$66,+'7.1. Weather Normal KW Customer'!$Z$14,IF($B22=$F$67,+'7.1. Weather Normal KW Customer'!$AJ$14,IF($B22=$F$68,+'7.1. Weather Normal KW Customer'!$AT$14))))))))))</f>
        <v>4141943.8099999996</v>
      </c>
      <c r="H23" s="682">
        <f>IF($B22=$F$59,+'7. Weather Normal kWh'!$C$19,IF($B22=$F$60,+'7. Weather Normal kWh'!$K$19,IF($B22=$F$61,+'7. Weather Normal kWh'!$S$19,IF($B22=$F$62,+'7. Weather Normal kWh'!$AA$19,IF($B22=$F$63,+'7. Weather Normal kWh'!$AI$19,IF($B22=$F$64,+'7.1. Weather Normal KW Customer'!$E$15,IF($B22=$F$65,+'7.1. Weather Normal KW Customer'!$P$15,IF($B22=$F$66,+'7.1. Weather Normal KW Customer'!$Z$15,IF($B22=$F$67,+'7.1. Weather Normal KW Customer'!$AJ$15,IF($B22=$F$68,+'7.1. Weather Normal KW Customer'!$AT$15))))))))))</f>
        <v>4099392.6199999996</v>
      </c>
      <c r="I23" s="682">
        <f>IF($B22=$F$59,+'7. Weather Normal kWh'!$C$20,IF($B22=$F$60,+'7. Weather Normal kWh'!$K$20,IF($B22=$F$61,+'7. Weather Normal kWh'!$S$20,IF($B22=$F$62,+'7. Weather Normal kWh'!$AA$20,IF($B22=$F$63,+'7. Weather Normal kWh'!$AI$20,IF($B22=$F$64,+'7.1. Weather Normal KW Customer'!$E$16,IF($B22=$F$65,+'7.1. Weather Normal KW Customer'!$P$16,IF($B22=$F$66,+'7.1. Weather Normal KW Customer'!$Z$16,IF($B22=$F$67,+'7.1. Weather Normal KW Customer'!$AJ$16,IF($B22=$F$68,+'7.1. Weather Normal KW Customer'!$AT$16))))))))))</f>
        <v>4143210.3299999996</v>
      </c>
      <c r="J23" s="682">
        <f>IF($B22=$F$59,+'7. Weather Normal kWh'!$C$21,IF($B22=$F$60,+'7. Weather Normal kWh'!$K$21,IF($B22=$F$61,+'7. Weather Normal kWh'!$M$21,IF($B22=$F$62,+'7. Weather Normal kWh'!$AA$21,IF($B22=$F$63,+'7. Weather Normal kWh'!$AI$21,IF($B22=$F$64,+'7.1. Weather Normal KW Customer'!$E$17,IF($B22=$F$65,+'7.1. Weather Normal KW Customer'!$P$17,IF($B22=$F$66,+'7.1. Weather Normal KW Customer'!$Z$17,IF($B22=$F$67,+'7.1. Weather Normal KW Customer'!$AJ$17,IF($B22=$F$68,+'7.1. Weather Normal KW Customer'!$AT$17))))))))))</f>
        <v>4263662.9799999995</v>
      </c>
      <c r="K23" s="682">
        <f>IF($B22=$F$59,+'7. Weather Normal kWh'!$C$22,IF($B22=$F$60,+'7. Weather Normal kWh'!$K$22,IF($B22=$F$61,+'7. Weather Normal kWh'!$S$22,IF($B22=$F$62,+'7. Weather Normal kWh'!$AA$22,IF($B22=$F$63,+'7. Weather Normal kWh'!$AI$22,IF($B22=$F$64,+'7.1. Weather Normal KW Customer'!$E$18,IF($B22=$F$65,+'7.1. Weather Normal KW Customer'!$P$18,IF($B22=$F$66,+'7.1. Weather Normal KW Customer'!$Z$18,IF($B22=$F$67,+'7.1. Weather Normal KW Customer'!$AJ$18,IF($B22=$F$68,+'7.1. Weather Normal KW Customer'!$AT$18))))))))))</f>
        <v>4201222.58</v>
      </c>
      <c r="L23" s="682">
        <f>IF($B22=$F$59,+'7. Weather Normal kWh'!$C$23,IF($B22=$F$60,+'7. Weather Normal kWh'!$K$23,IF($B22=$F$61,+'7. Weather Normal kWh'!$S$24,IF($B22=$F$62,+'7. Weather Normal kWh'!$AA$23,IF($B22=$F$63,+'7. Weather Normal kWh'!$AI$23,IF($B22=$F$64,+'7.1. Weather Normal KW Customer'!$E$19,IF($B22=$F$65,+'7.1. Weather Normal KW Customer'!$P$19,IF($B22=$F$66,+'7.1. Weather Normal KW Customer'!$Z$19,IF($B22=$F$67,+'7.1. Weather Normal KW Customer'!$AJ$19,IF($B22=$F$68,+'7.1. Weather Normal KW Customer'!$AT$19))))))))))</f>
        <v>3761855.8131238185</v>
      </c>
      <c r="M23" s="682">
        <f>IF($B22=$F$59,+'7. Weather Normal kWh'!$C$24,IF($B22=$F$60,+'7. Weather Normal kWh'!$K$24,IF($B22=$F$61,+'7. Weather Normal kWh'!$S$25,IF($B22=$F$62,+'7. Weather Normal kWh'!$AA$24,IF($B22=$F$63,+'7. Weather Normal kWh'!$AI$24,IF($B22=$F$64,+'7.1. Weather Normal KW Customer'!$E$20,IF($B22=$F$65,+'7.1. Weather Normal KW Customer'!$P$20,IF($B22=$F$66,+'7.1. Weather Normal KW Customer'!$Z$20,IF($B22=$F$67,+'7.1. Weather Normal KW Customer'!$AJ$20,IF($B22=$F$68,+'7.1. Weather Normal KW Customer'!$AT$20))))))))))</f>
        <v>3594883.73</v>
      </c>
      <c r="N23" s="682">
        <f>IF($B22=$F$59,+'7. Weather Normal kWh'!$C$25,IF($B22=$F$60,+'7. Weather Normal kWh'!$K$25,IF($B22=$F$61,+'7. Weather Normal kWh'!$W$25,IF($B22=$F$62,+'7. Weather Normal kWh'!$AA$25,IF($B22=$F$63,+'7. Weather Normal kWh'!$AI$25,IF($B22=$F$64,+'7.1. Weather Normal KW Customer'!$E$21,IF($B22=$F$65,+'7.1. Weather Normal KW Customer'!$P$21,IF($B22=$F$66,+'7.1. Weather Normal KW Customer'!$Z$21,IF($B22=$F$67,+'7.1. Weather Normal KW Customer'!$AJ$21,IF($B22=$F$68,+'7.1. Weather Normal KW Customer'!$AT$21))))))))))</f>
        <v>3453199.0199999996</v>
      </c>
      <c r="O23" s="682">
        <f>IF($B22=$F$59,+'7. Weather Normal kWh'!$H$37,IF($B22=$F$60,+'7. Weather Normal kWh'!$P$37,IF($B22=$F$61,+'7. Weather Normal kWh'!$X$37,IF($B22=$F$62,+'7. Weather Normal kWh'!$AF$37,IF($B22=$F$63,+'7. Weather Normal kWh'!$AN$37,IF($B22=$F$64,+'7.1. Weather Normal KW Customer'!$I$40,IF($B22=$F$65,+'7.1. Weather Normal KW Customer'!$T$40,IF($B22=$F$66,+'7.1. Weather Normal KW Customer'!$AD$40,IF($B22=$F$67,+'7.1. Weather Normal KW Customer'!$AN$40,IF($B22=$F$68,+'7.1. Weather Normal KW Customer'!$AX$40))))))))))</f>
        <v>3824363.7837355831</v>
      </c>
      <c r="P23" s="683">
        <f>IF($B22=$F$59,+'7. Weather Normal kWh'!$H$38,IF($B22=$F$60,+'7. Weather Normal kWh'!$P$38,IF($B22=$F$61,+'7. Weather Normal kWh'!$X$38,IF($B22=$F$62,+'7. Weather Normal kWh'!$AF$38,IF($B22=$F$63,+'7. Weather Normal kWh'!$AN$38,IF($B22=$F$64,+'7.1. Weather Normal KW Customer'!$I$41,IF($B22=$F$65,+'7.1. Weather Normal KW Customer'!$T$41,IF($B22=$F$66,+'7.1. Weather Normal KW Customer'!$AD$41,IF($B22=$F$67,+'7.1. Weather Normal KW Customer'!$AN$41,IF($B22=$F$68,+'7.1. Weather Normal KW Customer'!$AX$41))))))))))</f>
        <v>3774173.6759822387</v>
      </c>
    </row>
    <row r="24" spans="2:16" x14ac:dyDescent="0.2">
      <c r="B24" s="1255"/>
      <c r="C24" s="52"/>
      <c r="D24" s="52" t="s">
        <v>37</v>
      </c>
      <c r="E24" s="566">
        <f>IF(B$10=$F$64,+'7.1. Weather Normal KW Customer'!$F$12,IF($B22=$F$65,+'7.1. Weather Normal KW Customer'!$Q$12,IF($B22=$F$66,+'7.1. Weather Normal KW Customer'!$AA$12,IF($B22=$F$67,+'7.1. Weather Normal KW Customer'!$AK$12,+IF($B22=$F$68,+'7.1. Weather Normal KW Customer'!$AU$12,0)))))</f>
        <v>0</v>
      </c>
      <c r="F24" s="566">
        <f>IF($B22=$F$64,+'7.1. Weather Normal KW Customer'!$F$13,IF($B22=$F$65,+'7.1. Weather Normal KW Customer'!$Q$13,IF($B22=$F$66,+'7.1. Weather Normal KW Customer'!$AA$13,IF($B22=$F$67,+'7.1. Weather Normal KW Customer'!$AK$13,+IF($B22=$F$68,+'7.1. Weather Normal KW Customer'!$AU$13,0)))))</f>
        <v>0</v>
      </c>
      <c r="G24" s="566">
        <f>IF($B22=$F$64,+'7.1. Weather Normal KW Customer'!$F$14,IF($B22=$F$65,+'7.1. Weather Normal KW Customer'!$Q$14,IF($B22=$F$66,+'7.1. Weather Normal KW Customer'!$AA$14,IF($B22=$F$67,+'7.1. Weather Normal KW Customer'!$AK$14,+IF($B22=$F$68,+'7.1. Weather Normal KW Customer'!$AU$14,0)))))</f>
        <v>0</v>
      </c>
      <c r="H24" s="566">
        <f>IF($B22=$F$64,+'7.1. Weather Normal KW Customer'!$F$15,IF($B22=$F$65,+'7.1. Weather Normal KW Customer'!$Q$15,IF($B22=$F$66,+'7.1. Weather Normal KW Customer'!$AA$15,IF($B22=$F$67,+'7.1. Weather Normal KW Customer'!$AK$15,+IF($B22=$F$68,+'7.1. Weather Normal KW Customer'!$AU$15,0)))))</f>
        <v>0</v>
      </c>
      <c r="I24" s="566">
        <f>IF($B22=$F$64,+'7.1. Weather Normal KW Customer'!$F$16,IF($B22=$F$65,+'7.1. Weather Normal KW Customer'!$Q$16,IF($B22=$F$66,+'7.1. Weather Normal KW Customer'!$AA$16,IF($B22=$F$67,+'7.1. Weather Normal KW Customer'!$AK$16,+IF($B22=$F$68,+'7.1. Weather Normal KW Customer'!$AU$16,0)))))</f>
        <v>7024.26</v>
      </c>
      <c r="J24" s="566">
        <f>IF($B22=$F$64,+'7.1. Weather Normal KW Customer'!$F$17,IF($B22=$F$65,+'7.1. Weather Normal KW Customer'!$Q$17,IF($B22=$F$66,+'7.1. Weather Normal KW Customer'!$AA$17,IF($B22=$F$67,+'7.1. Weather Normal KW Customer'!$AK$17,+IF($B22=$F$68,+'7.1. Weather Normal KW Customer'!$AU$17,0)))))</f>
        <v>7300.7999999999993</v>
      </c>
      <c r="K24" s="566">
        <f>IF($B22=$F$64,+'7.1. Weather Normal KW Customer'!$F$18,IF($B22=$F$65,+'7.1. Weather Normal KW Customer'!$Q$18,IF($B22=$F$66,+'7.1. Weather Normal KW Customer'!$AA$18,IF($B22=$F$67,+'7.1. Weather Normal KW Customer'!$AK$18,+IF($B22=$F$68,+'7.1. Weather Normal KW Customer'!$AU$18,0)))))</f>
        <v>7185.5999999999995</v>
      </c>
      <c r="L24" s="566">
        <f>IF($B22=$F$64,+'7.1. Weather Normal KW Customer'!$F$19,IF($B22=$F$65,+'7.1. Weather Normal KW Customer'!$Q$19,IF($B22=$F$66,+'7.1. Weather Normal KW Customer'!$AA$19,IF($B22=$F$67,+'7.1. Weather Normal KW Customer'!$AK$19,+IF($B22=$F$68,+'7.1. Weather Normal KW Customer'!$AU$19,0)))))</f>
        <v>6698.9100000000008</v>
      </c>
      <c r="M24" s="566">
        <f>IF($B22=$F$64,+'7.1. Weather Normal KW Customer'!$F$20,IF($B22=$F$65,+'7.1. Weather Normal KW Customer'!$Q$20,IF($B22=$F$66,+'7.1. Weather Normal KW Customer'!$AA$20,IF($B22=$F$67,+'7.1. Weather Normal KW Customer'!$AK$20,+IF($B22=$F$68,+'7.1. Weather Normal KW Customer'!$AU$20,0)))))</f>
        <v>6556.56</v>
      </c>
      <c r="N24" s="566">
        <f>IF($B22=$F$64,+'7.1. Weather Normal KW Customer'!$F$21,IF($B22=$F$65,+'7.1. Weather Normal KW Customer'!$Q$21,IF($B22=$F$66,+'7.1. Weather Normal KW Customer'!$AA$21,IF($B22=$F$67,+'7.1. Weather Normal KW Customer'!$AK$21,+IF($B22=$F$68,+'7.1. Weather Normal KW Customer'!$AU$21,0)))))</f>
        <v>6080.47</v>
      </c>
      <c r="O24" s="566">
        <f>IF($B22=$F$64,+'7.1. Weather Normal KW Customer'!$J$40,IF($B22=$F$65,+'7.1. Weather Normal KW Customer'!$U$40,IF($B22=$F$66,+'7.1. Weather Normal KW Customer'!$AE$40,IF($B22=$F$67,+'7.1. Weather Normal KW Customer'!$AO$40,+IF($B22=$F$68,+'7.1. Weather Normal KW Customer'!$AY$40,0)))))</f>
        <v>6721.7911791566266</v>
      </c>
      <c r="P24" s="684">
        <f>IF($B22=$F$64,+'7.1. Weather Normal KW Customer'!$J$41,IF($B22=$F$65,+'7.1. Weather Normal KW Customer'!$U$41,IF($B22=$F$66,+'7.1. Weather Normal KW Customer'!$AE$41,IF($B22=$F$67,+'7.1. Weather Normal KW Customer'!$AO$41,+IF($B22=$F$68,+'7.1. Weather Normal KW Customer'!$AY$41,0)))))</f>
        <v>6633.5758725971091</v>
      </c>
    </row>
    <row r="25" spans="2:16" x14ac:dyDescent="0.2">
      <c r="B25" s="1255"/>
      <c r="C25" s="52"/>
      <c r="D25" s="52"/>
      <c r="E25" s="566"/>
      <c r="F25" s="566"/>
      <c r="G25" s="566"/>
      <c r="H25" s="566"/>
      <c r="I25" s="566"/>
      <c r="J25" s="566"/>
      <c r="K25" s="566"/>
      <c r="L25" s="566"/>
      <c r="M25" s="566"/>
      <c r="N25" s="566"/>
      <c r="O25" s="567"/>
      <c r="P25" s="568"/>
    </row>
    <row r="26" spans="2:16" x14ac:dyDescent="0.2">
      <c r="B26" s="1256" t="s">
        <v>237</v>
      </c>
      <c r="C26" s="443" t="str">
        <f>IF($B26=$F$59,+$B$59,+IF($B26=$F$60,+$B$60,+IF($B26=$F$61,+$B$61,+IF($B26=$F$61,$B$61,+IF($B26=$F$62,+$B$62,+IF($B26=$F$63,+$B$63,+IF($B26=$F$64,+$B$64,+IF($B26=$F$65,+$B$65,+IF($B26=$F$66,+$B$66,+IF($B26=$F$67,+$B$67,+IF($B26=$F$68,+$B$68)))))))))))</f>
        <v>Streetlighting</v>
      </c>
      <c r="D26" s="52" t="s">
        <v>124</v>
      </c>
      <c r="E26" s="682">
        <f>IF($C26='4. Customer Growth'!$C$7,+'4. Customer Growth'!$C$9,+IF($C26='4. Customer Growth'!$E$7,+'4. Customer Growth'!$E$9,+IF($C26='4. Customer Growth'!$G$7,+'4. Customer Growth'!$G$9,+IF($C26='4. Customer Growth'!$I$7,+'4. Customer Growth'!$I$9,+IF($C26='4. Customer Growth'!$K$7,+'4. Customer Growth'!$K$9,+IF($C26='4. Customer Growth'!$M$7,+'4. Customer Growth'!$M$9,IF($C26='4. Customer Growth'!$O$7,+'4. Customer Growth'!$O$9)))))))</f>
        <v>2181.5</v>
      </c>
      <c r="F26" s="682">
        <f>IF($C26='4. Customer Growth'!$C$7,+'4. Customer Growth'!$C$10,+IF($C26='4. Customer Growth'!$E$7,+'4. Customer Growth'!$E$10,+IF($C26='4. Customer Growth'!$G$7,+'4. Customer Growth'!$G$10,+IF($C26='4. Customer Growth'!$I$7,+'4. Customer Growth'!$I$10,+IF($C26='4. Customer Growth'!$K$7,+'4. Customer Growth'!$K$10,+IF($C26='4. Customer Growth'!$M$7,+'4. Customer Growth'!$M$10,IF($C26='4. Customer Growth'!$O$7,+'4. Customer Growth'!$O$10)))))))</f>
        <v>2259.5</v>
      </c>
      <c r="G26" s="682">
        <f>IF($C26='4. Customer Growth'!$C$7,+'4. Customer Growth'!$C$11,+IF($C26='4. Customer Growth'!$E$7,+'4. Customer Growth'!$E$11,+IF($C26='4. Customer Growth'!$G$7,+'4. Customer Growth'!$G$11,+IF($C26='4. Customer Growth'!$I$7,+'4. Customer Growth'!$I$11,+IF($C26='4. Customer Growth'!$K$7,+'4. Customer Growth'!$K$11,+IF($C26='4. Customer Growth'!$M$7,+'4. Customer Growth'!$M$11,IF($C26='4. Customer Growth'!$O$7,+'4. Customer Growth'!$O$11)))))))</f>
        <v>2340</v>
      </c>
      <c r="H26" s="682">
        <f>IF($C26='4. Customer Growth'!$C$7,+'4. Customer Growth'!$C$12,+IF($C26='4. Customer Growth'!$E$7,+'4. Customer Growth'!$E$12,+IF($C26='4. Customer Growth'!$G$7,+'4. Customer Growth'!$G$12,+IF($C26='4. Customer Growth'!$I$7,+'4. Customer Growth'!$I$12,+IF($C26='4. Customer Growth'!$K$7,+'4. Customer Growth'!$K$12,+IF($C26='4. Customer Growth'!$M$7,+'4. Customer Growth'!$M$12,IF($C26='4. Customer Growth'!$O$7,+'4. Customer Growth'!$O$12)))))))</f>
        <v>2421.5</v>
      </c>
      <c r="I26" s="682">
        <f>IF($C26='4. Customer Growth'!$C$7,+'4. Customer Growth'!$C$13,+IF($C26='4. Customer Growth'!$E$7,+'4. Customer Growth'!$E$13,+IF($C26='4. Customer Growth'!$G$7,+'4. Customer Growth'!$G$13,+IF($C26='4. Customer Growth'!$I$7,+'4. Customer Growth'!$I$13,+IF($C26='4. Customer Growth'!$K$7,+'4. Customer Growth'!$K$13,+IF($C26='4. Customer Growth'!$M$7,+'4. Customer Growth'!$M$13,IF($C26='4. Customer Growth'!$O$7,+'4. Customer Growth'!$O$13)))))))</f>
        <v>2473</v>
      </c>
      <c r="J26" s="682">
        <f>IF($C26='4. Customer Growth'!$C$7,+'4. Customer Growth'!$C$14,+IF($C26='4. Customer Growth'!$E$7,+'4. Customer Growth'!$E$14,+IF($C26='4. Customer Growth'!$G$7,+'4. Customer Growth'!$G$14,+IF($C26='4. Customer Growth'!$I$7,+'4. Customer Growth'!$I$14,+IF($C26='4. Customer Growth'!$K$7,+'4. Customer Growth'!$K$14,+IF($C26='4. Customer Growth'!$M$7,+'4. Customer Growth'!$M$14,IF($C26='4. Customer Growth'!$O$7,+'4. Customer Growth'!$O$14)))))))</f>
        <v>2483</v>
      </c>
      <c r="K26" s="682">
        <f>IF($C26='4. Customer Growth'!$C$7,+'4. Customer Growth'!$C$15,+IF($C26='4. Customer Growth'!$E$7,+'4. Customer Growth'!$E$15,+IF($C26='4. Customer Growth'!$G$7,+'4. Customer Growth'!$G$15,+IF($C26='4. Customer Growth'!$I$7,+'4. Customer Growth'!$I$15,+IF($C26='4. Customer Growth'!$K$7,+'4. Customer Growth'!$K$15,+IF($C26='4. Customer Growth'!$M$7,+'4. Customer Growth'!$M$15,IF($C26='4. Customer Growth'!$O$7,+'4. Customer Growth'!$O$15)))))))</f>
        <v>2493.5</v>
      </c>
      <c r="L26" s="682">
        <f>IF($C26='4. Customer Growth'!$C$7,+'4. Customer Growth'!$C$16,+IF($C26='4. Customer Growth'!$E$7,+'4. Customer Growth'!$E$16,+IF($C26='4. Customer Growth'!$G$7,+'4. Customer Growth'!$G$16,+IF($C26='4. Customer Growth'!$I$7,+'4. Customer Growth'!$I$16,+IF($C26='4. Customer Growth'!$K$7,+'4. Customer Growth'!$K$16,+IF($C26='4. Customer Growth'!$M$7,+'4. Customer Growth'!$M$16,IF($C26='4. Customer Growth'!$O$7,+'4. Customer Growth'!$O$16)))))))</f>
        <v>2588</v>
      </c>
      <c r="M26" s="682">
        <f>IF($C26='4. Customer Growth'!$C$7,+'4. Customer Growth'!$C$17,+IF($C26='4. Customer Growth'!$E$7,+'4. Customer Growth'!$E$17,+IF($C26='4. Customer Growth'!$G$7,+'4. Customer Growth'!$G$17,+IF($C26='4. Customer Growth'!$I$7,+'4. Customer Growth'!$I$17,+IF($C26='4. Customer Growth'!$K$7,+'4. Customer Growth'!$K$17,+IF($C26='4. Customer Growth'!$M$7,+'4. Customer Growth'!$M$17,IF($C26='4. Customer Growth'!$O$7,+'4. Customer Growth'!$O$17)))))))</f>
        <v>2693.5</v>
      </c>
      <c r="N26" s="682">
        <f>IF($C26='4. Customer Growth'!$C$7,+'4. Customer Growth'!$C$18,+IF($C26='4. Customer Growth'!$E$7,+'4. Customer Growth'!$E$18,+IF($C26='4. Customer Growth'!$G$7,+'4. Customer Growth'!$G$18,+IF($C26='4. Customer Growth'!$I$7,+'4. Customer Growth'!$I$18,+IF($C26='4. Customer Growth'!$K$7,+'4. Customer Growth'!$K$18,+IF($C26='4. Customer Growth'!$M$7,+'4. Customer Growth'!$M$18,IF($C26='4. Customer Growth'!$O$7,+'4. Customer Growth'!$O$18)))))))</f>
        <v>2738</v>
      </c>
      <c r="O26" s="682">
        <f>IF($C26='4. Customer Growth'!$C$7,+'4. Customer Growth'!$C$34,+IF($C26='4. Customer Growth'!$E$7,+'4. Customer Growth'!$E$34,+IF($C26='4. Customer Growth'!$G$7,+'4. Customer Growth'!$G$34,+IF($C26='4. Customer Growth'!$I$7,+'4. Customer Growth'!$I$34,+IF($C26='4. Customer Growth'!$K$7,+'4. Customer Growth'!$K$34,+IF($C26='4. Customer Growth'!$M$7,+'4. Customer Growth'!$M$34,IF($C26='4. Customer Growth'!$O$7,+'4. Customer Growth'!$O$34)))))))</f>
        <v>2777.4</v>
      </c>
      <c r="P26" s="683">
        <f>IF($C26='4. Customer Growth'!$C$7,+'4. Customer Growth'!$C$35,+IF($C26='4. Customer Growth'!$E$7,+'4. Customer Growth'!$E$35,+IF($C26='4. Customer Growth'!$G$7,+'4. Customer Growth'!$G$35,+IF($C26='4. Customer Growth'!$I$7,+'4. Customer Growth'!$I$35,+IF($C26='4. Customer Growth'!$K$7,+'4. Customer Growth'!$K$35,+IF($C26='4. Customer Growth'!$M$7,+'4. Customer Growth'!$M$35,IF($C26='4. Customer Growth'!$O$7,+'4. Customer Growth'!$O$35)))))))</f>
        <v>2819</v>
      </c>
    </row>
    <row r="27" spans="2:16" x14ac:dyDescent="0.2">
      <c r="B27" s="1255"/>
      <c r="C27" s="52"/>
      <c r="D27" s="52" t="s">
        <v>36</v>
      </c>
      <c r="E27" s="682">
        <f>IF($B26=$F$59,+'7. Weather Normal kWh'!$C$16,IF($B26=$F$60,+'7. Weather Normal kWh'!$K$16,IF($B26=$F$61,+'7. Weather Normal kWh'!$S$16,IF($B26=$F$62,+'7. Weather Normal kWh'!$AA$16,IF($B26=$F$63,+'7. Weather Normal kWh'!$AI$16,IF($B26=$F$64,+'7.1. Weather Normal KW Customer'!$E$12,IF($B26=$F$65,+'7.1. Weather Normal KW Customer'!$P$12,IF($B26=$F$66,+'7.1. Weather Normal KW Customer'!$Z$12,IF($B26=$F$67,+'7.1. Weather Normal KW Customer'!$AJ$12,IF($B26=$F$68,+'7.1. Weather Normal KW Customer'!$AT$12))))))))))</f>
        <v>1506679.0199999998</v>
      </c>
      <c r="F27" s="682">
        <f>IF($B26=$F$59,+'7. Weather Normal kWh'!$C$17,IF($B26=$F$60,+'7. Weather Normal kWh'!$K$17,IF($B26=$F$61,+'7. Weather Normal kWh'!$S$17,IF($B26=$F$62,+'7. Weather Normal kWh'!$AA$17,IF($B26=$F$63,+'7. Weather Normal kWh'!$AI$17,IF($B26=$F$64,+'7.1. Weather Normal KW Customer'!$E$13,IF($B26=$F$65,+'7.1. Weather Normal KW Customer'!$P$13,IF($B26=$F$66,+'7.1. Weather Normal KW Customer'!$Z$13,IF($B26=$F$67,+'7.1. Weather Normal KW Customer'!$AJ$13,IF($B26=$F$68,+'7.1. Weather Normal KW Customer'!$AT$13))))))))))</f>
        <v>1581464.98</v>
      </c>
      <c r="G27" s="682">
        <f>IF($B26=$F$59,+'7. Weather Normal kWh'!$C$18,IF($B26=$F$60,+'7. Weather Normal kWh'!$K$18,IF($B26=$F$61,+'7. Weather Normal kWh'!$S$18,IF($B26=$F$62,+'7. Weather Normal kWh'!$AA$18,IF($B26=$F$63,+'7. Weather Normal kWh'!$AI$18,IF($B26=$F$64,+'7.1. Weather Normal KW Customer'!$E$14,IF($B26=$F$65,+'7.1. Weather Normal KW Customer'!$P$14,IF($B26=$F$66,+'7.1. Weather Normal KW Customer'!$Z$14,IF($B26=$F$67,+'7.1. Weather Normal KW Customer'!$AJ$14,IF($B26=$F$68,+'7.1. Weather Normal KW Customer'!$AT$14))))))))))</f>
        <v>1649562.9100000001</v>
      </c>
      <c r="H27" s="682">
        <f>IF($B26=$F$59,+'7. Weather Normal kWh'!$C$19,IF($B26=$F$60,+'7. Weather Normal kWh'!$K$19,IF($B26=$F$61,+'7. Weather Normal kWh'!$S$19,IF($B26=$F$62,+'7. Weather Normal kWh'!$AA$19,IF($B26=$F$63,+'7. Weather Normal kWh'!$AI$19,IF($B26=$F$64,+'7.1. Weather Normal KW Customer'!$E$15,IF($B26=$F$65,+'7.1. Weather Normal KW Customer'!$P$15,IF($B26=$F$66,+'7.1. Weather Normal KW Customer'!$Z$15,IF($B26=$F$67,+'7.1. Weather Normal KW Customer'!$AJ$15,IF($B26=$F$68,+'7.1. Weather Normal KW Customer'!$AT$15))))))))))</f>
        <v>1743399.895</v>
      </c>
      <c r="I27" s="682">
        <f>IF($B26=$F$59,+'7. Weather Normal kWh'!$C$20,IF($B26=$F$60,+'7. Weather Normal kWh'!$K$20,IF($B26=$F$61,+'7. Weather Normal kWh'!$S$20,IF($B26=$F$62,+'7. Weather Normal kWh'!$AA$20,IF($B26=$F$63,+'7. Weather Normal kWh'!$AI$20,IF($B26=$F$64,+'7.1. Weather Normal KW Customer'!$E$16,IF($B26=$F$65,+'7.1. Weather Normal KW Customer'!$P$16,IF($B26=$F$66,+'7.1. Weather Normal KW Customer'!$Z$16,IF($B26=$F$67,+'7.1. Weather Normal KW Customer'!$AJ$16,IF($B26=$F$68,+'7.1. Weather Normal KW Customer'!$AT$16))))))))))</f>
        <v>1723126.175</v>
      </c>
      <c r="J27" s="682">
        <f>IF($B26=$F$59,+'7. Weather Normal kWh'!$C$21,IF($B26=$F$60,+'7. Weather Normal kWh'!$K$21,IF($B26=$F$61,+'7. Weather Normal kWh'!$S$21,IF($B26=$F$62,+'7. Weather Normal kWh'!$AA$21,IF($B26=$F$63,+'7. Weather Normal kWh'!$AI$21,IF($B26=$F$64,+'7.1. Weather Normal KW Customer'!$E$17,IF($B26=$F$65,+'7.1. Weather Normal KW Customer'!$P$17,IF($B26=$F$66,+'7.1. Weather Normal KW Customer'!$Z$17,IF($B26=$F$67,+'7.1. Weather Normal KW Customer'!$AJ$17,IF($B26=$F$68,+'7.1. Weather Normal KW Customer'!$AT$17))))))))))</f>
        <v>1736181.47</v>
      </c>
      <c r="K27" s="682">
        <f>IF($B26=$F$59,+'7. Weather Normal kWh'!$C$22,IF($B26=$F$60,+'7. Weather Normal kWh'!$K$22,IF($B26=$F$61,+'7. Weather Normal kWh'!$S$22,IF($B26=$F$62,+'7. Weather Normal kWh'!$AA$22,IF($B26=$F$63,+'7. Weather Normal kWh'!$AI$22,IF($B26=$F$64,+'7.1. Weather Normal KW Customer'!$E$18,IF($B26=$F$65,+'7.1. Weather Normal KW Customer'!$P$18,IF($B26=$F$66,+'7.1. Weather Normal KW Customer'!$Z$18,IF($B26=$F$67,+'7.1. Weather Normal KW Customer'!$AJ$18,IF($B26=$F$68,+'7.1. Weather Normal KW Customer'!$AT$18))))))))))</f>
        <v>1695783</v>
      </c>
      <c r="L27" s="682">
        <f>IF($B26=$F$59,+'7. Weather Normal kWh'!$C$23,IF($B26=$F$60,+'7. Weather Normal kWh'!$K$23,IF($B26=$F$61,+'7. Weather Normal kWh'!$S$24,IF($B26=$F$62,+'7. Weather Normal kWh'!$AA$23,IF($B26=$F$63,+'7. Weather Normal kWh'!$AI$23,IF($B26=$F$64,+'7.1. Weather Normal KW Customer'!$E$19,IF($B26=$F$65,+'7.1. Weather Normal KW Customer'!$P$19,IF($B26=$F$66,+'7.1. Weather Normal KW Customer'!$Z$19,IF($B26=$F$67,+'7.1. Weather Normal KW Customer'!$AJ$19,IF($B26=$F$68,+'7.1. Weather Normal KW Customer'!$AT$19))))))))))</f>
        <v>1731441.9339870713</v>
      </c>
      <c r="M27" s="682">
        <f>IF($B26=$F$59,+'7. Weather Normal kWh'!$C$24,IF($B26=$F$60,+'7. Weather Normal kWh'!$K$24,IF($B26=$F$61,+'7. Weather Normal kWh'!$S$25,IF($B26=$F$62,+'7. Weather Normal kWh'!$AA$24,IF($B26=$F$63,+'7. Weather Normal kWh'!$AI$24,IF($B26=$F$64,+'7.1. Weather Normal KW Customer'!$E$20,IF($B26=$F$65,+'7.1. Weather Normal KW Customer'!$P$20,IF($B26=$F$66,+'7.1. Weather Normal KW Customer'!$Z$20,IF($B26=$F$67,+'7.1. Weather Normal KW Customer'!$AJ$20,IF($B26=$F$68,+'7.1. Weather Normal KW Customer'!$AT$20))))))))))</f>
        <v>1796174.3293246992</v>
      </c>
      <c r="N27" s="682">
        <f>IF($B26=$F$59,+'7. Weather Normal kWh'!$C$25,IF($B26=$F$60,+'7. Weather Normal kWh'!$K$25,IF($B26=$F$61,+'7. Weather Normal kWh'!$W$25,IF($B26=$F$62,+'7. Weather Normal kWh'!$AA$25,IF($B26=$F$63,+'7. Weather Normal kWh'!$AI$25,IF($B26=$F$64,+'7.1. Weather Normal KW Customer'!$E$21,IF($B26=$F$65,+'7.1. Weather Normal KW Customer'!$P$21,IF($B26=$F$66,+'7.1. Weather Normal KW Customer'!$Z$21,IF($B26=$F$67,+'7.1. Weather Normal KW Customer'!$AJ$21,IF($B26=$F$68,+'7.1. Weather Normal KW Customer'!$AT$21))))))))))</f>
        <v>1834663.3857539315</v>
      </c>
      <c r="O27" s="682">
        <f>IF($B26=$F$59,+'7. Weather Normal kWh'!$H$37,IF($B26=$F$60,+'7. Weather Normal kWh'!$P$37,IF($B26=$F$61,+'7. Weather Normal kWh'!$X$37,IF($B26=$F$62,+'7. Weather Normal kWh'!$AF$37,IF($B26=$F$63,+'7. Weather Normal kWh'!$AN$37,IF($B26=$F$64,+'7.1. Weather Normal KW Customer'!$I$40,IF($B26=$F$65,+'7.1. Weather Normal KW Customer'!$T$40,IF($B26=$F$66,+'7.1. Weather Normal KW Customer'!$AD$40,IF($B26=$F$67,+'7.1. Weather Normal KW Customer'!$AN$40,IF($B26=$F$68,+'7.1. Weather Normal KW Customer'!$AX$40))))))))))</f>
        <v>1854817.1178477965</v>
      </c>
      <c r="P27" s="683">
        <f>IF($B26=$F$59,+'7. Weather Normal kWh'!$H$38,IF($B26=$F$60,+'7. Weather Normal kWh'!$P$38,IF($B26=$F$61,+'7. Weather Normal kWh'!$X$38,IF($B26=$F$62,+'7. Weather Normal kWh'!$AF$38,IF($B26=$F$63,+'7. Weather Normal kWh'!$AN$38,IF($B26=$F$64,+'7.1. Weather Normal KW Customer'!$I$41,IF($B26=$F$65,+'7.1. Weather Normal KW Customer'!$T$41,IF($B26=$F$66,+'7.1. Weather Normal KW Customer'!$AD$41,IF($B26=$F$67,+'7.1. Weather Normal KW Customer'!$AN$41,IF($B26=$F$68,+'7.1. Weather Normal KW Customer'!$AX$41))))))))))</f>
        <v>1876279.1565306762</v>
      </c>
    </row>
    <row r="28" spans="2:16" x14ac:dyDescent="0.2">
      <c r="B28" s="1255"/>
      <c r="C28" s="52"/>
      <c r="D28" s="52" t="s">
        <v>37</v>
      </c>
      <c r="E28" s="566">
        <f>IF(B$10=$F$64,+'7.1. Weather Normal KW Customer'!$F$12,IF($B26=$F$65,+'7.1. Weather Normal KW Customer'!$Q$12,IF($B26=$F$66,+'7.1. Weather Normal KW Customer'!$AA$12,IF($B26=$F$67,+'7.1. Weather Normal KW Customer'!$AK$12,+IF($B26=$F$68,+'7.1. Weather Normal KW Customer'!$AU$12,0)))))</f>
        <v>0</v>
      </c>
      <c r="F28" s="566">
        <f>IF($B26=$F$64,+'7.1. Weather Normal KW Customer'!$F$13,IF($B26=$F$65,+'7.1. Weather Normal KW Customer'!$Q$13,IF($B26=$F$66,+'7.1. Weather Normal KW Customer'!$AA$13,IF($B26=$F$67,+'7.1. Weather Normal KW Customer'!$AK$13,+IF($B26=$F$68,+'7.1. Weather Normal KW Customer'!$AU$13,0)))))</f>
        <v>0</v>
      </c>
      <c r="G28" s="566">
        <f>IF($B26=$F$64,+'7.1. Weather Normal KW Customer'!$F$14,IF($B26=$F$65,+'7.1. Weather Normal KW Customer'!$Q$14,IF($B26=$F$66,+'7.1. Weather Normal KW Customer'!$AA$14,IF($B26=$F$67,+'7.1. Weather Normal KW Customer'!$AK$14,+IF($B26=$F$68,+'7.1. Weather Normal KW Customer'!$AU$14,0)))))</f>
        <v>0</v>
      </c>
      <c r="H28" s="566">
        <f>IF($B26=$F$64,+'7.1. Weather Normal KW Customer'!$F$15,IF($B26=$F$65,+'7.1. Weather Normal KW Customer'!$Q$15,IF($B26=$F$66,+'7.1. Weather Normal KW Customer'!$AA$15,IF($B26=$F$67,+'7.1. Weather Normal KW Customer'!$AK$15,+IF($B26=$F$68,+'7.1. Weather Normal KW Customer'!$AU$15,0)))))</f>
        <v>0</v>
      </c>
      <c r="I28" s="566">
        <f>IF($B26=$F$64,+'7.1. Weather Normal KW Customer'!$F$16,IF($B26=$F$65,+'7.1. Weather Normal KW Customer'!$Q$16,IF($B26=$F$66,+'7.1. Weather Normal KW Customer'!$AA$16,IF($B26=$F$67,+'7.1. Weather Normal KW Customer'!$AK$16,+IF($B26=$F$68,+'7.1. Weather Normal KW Customer'!$AU$16,0)))))</f>
        <v>4962.5399999999991</v>
      </c>
      <c r="J28" s="566">
        <f>IF($B26=$F$64,+'7.1. Weather Normal KW Customer'!$F$17,IF($B26=$F$65,+'7.1. Weather Normal KW Customer'!$Q$17,IF($B26=$F$66,+'7.1. Weather Normal KW Customer'!$AA$17,IF($B26=$F$67,+'7.1. Weather Normal KW Customer'!$AK$17,+IF($B26=$F$68,+'7.1. Weather Normal KW Customer'!$AU$17,0)))))</f>
        <v>4976.3099999999995</v>
      </c>
      <c r="K28" s="566">
        <f>IF($B26=$F$64,+'7.1. Weather Normal KW Customer'!$F$18,IF($B26=$F$65,+'7.1. Weather Normal KW Customer'!$Q$18,IF($B26=$F$66,+'7.1. Weather Normal KW Customer'!$AA$18,IF($B26=$F$67,+'7.1. Weather Normal KW Customer'!$AK$18,+IF($B26=$F$68,+'7.1. Weather Normal KW Customer'!$AU$18,0)))))</f>
        <v>5014.5</v>
      </c>
      <c r="L28" s="566">
        <f>IF($B26=$F$64,+'7.1. Weather Normal KW Customer'!$F$19,IF($B26=$F$65,+'7.1. Weather Normal KW Customer'!$Q$19,IF($B26=$F$66,+'7.1. Weather Normal KW Customer'!$AA$19,IF($B26=$F$67,+'7.1. Weather Normal KW Customer'!$AK$19,+IF($B26=$F$68,+'7.1. Weather Normal KW Customer'!$AU$19,0)))))</f>
        <v>5202.74</v>
      </c>
      <c r="M28" s="566">
        <f>IF($B26=$F$64,+'7.1. Weather Normal KW Customer'!$F$20,IF($B26=$F$65,+'7.1. Weather Normal KW Customer'!$Q$20,IF($B26=$F$66,+'7.1. Weather Normal KW Customer'!$AA$20,IF($B26=$F$67,+'7.1. Weather Normal KW Customer'!$AK$20,+IF($B26=$F$68,+'7.1. Weather Normal KW Customer'!$AU$20,0)))))</f>
        <v>5310.59</v>
      </c>
      <c r="N28" s="566">
        <f>IF($B26=$F$64,+'7.1. Weather Normal KW Customer'!$F$21,IF($B26=$F$65,+'7.1. Weather Normal KW Customer'!$Q$21,IF($B26=$F$66,+'7.1. Weather Normal KW Customer'!$AA$21,IF($B26=$F$67,+'7.1. Weather Normal KW Customer'!$AK$21,+IF($B26=$F$68,+'7.1. Weather Normal KW Customer'!$AU$21,0)))))</f>
        <v>5426.1900000000014</v>
      </c>
      <c r="O28" s="566">
        <f>IF($B26=$F$64,+'7.1. Weather Normal KW Customer'!$J$40,IF($B26=$F$65,+'7.1. Weather Normal KW Customer'!$U$40,IF($B26=$F$66,+'7.1. Weather Normal KW Customer'!$AE$40,IF($B26=$F$67,+'7.1. Weather Normal KW Customer'!$AO$40,+IF($B26=$F$68,+'7.1. Weather Normal KW Customer'!$AY$40,0)))))</f>
        <v>5468.8708196379039</v>
      </c>
      <c r="P28" s="684">
        <f>IF($B26=$F$64,+'7.1. Weather Normal KW Customer'!$J$41,IF($B26=$F$65,+'7.1. Weather Normal KW Customer'!$U$41,IF($B26=$F$66,+'7.1. Weather Normal KW Customer'!$AE$41,IF($B26=$F$67,+'7.1. Weather Normal KW Customer'!$AO$41,+IF($B26=$F$68,+'7.1. Weather Normal KW Customer'!$AY$41,0)))))</f>
        <v>5532.1509759149458</v>
      </c>
    </row>
    <row r="29" spans="2:16" x14ac:dyDescent="0.2">
      <c r="B29" s="1255"/>
      <c r="C29" s="52"/>
      <c r="D29" s="52"/>
      <c r="E29" s="566"/>
      <c r="F29" s="566"/>
      <c r="G29" s="566"/>
      <c r="H29" s="566"/>
      <c r="I29" s="566"/>
      <c r="J29" s="566"/>
      <c r="K29" s="566"/>
      <c r="L29" s="566"/>
      <c r="M29" s="566"/>
      <c r="N29" s="566"/>
      <c r="O29" s="567"/>
      <c r="P29" s="568"/>
    </row>
    <row r="30" spans="2:16" x14ac:dyDescent="0.2">
      <c r="B30" s="1256" t="s">
        <v>250</v>
      </c>
      <c r="C30" s="443" t="str">
        <f>IF($B30=$F$59,+$B$59,+IF($B30=$F$60,+$B$60,+IF($B30=$F$61,+$B$61,+IF($B30=$F$61,$B$61,+IF($B30=$F$62,+$B$62,+IF($B30=$F$63,+$B$63,+IF($B30=$F$64,+$B$64,+IF($B30=$F$65,+$B$65,+IF($B30=$F$66,+$B$66,+IF($B30=$F$67,+$B$67,+IF($B30=$F$68,+$B$68)))))))))))</f>
        <v>Unmetered Scattered Load</v>
      </c>
      <c r="D30" s="52" t="s">
        <v>124</v>
      </c>
      <c r="E30" s="682">
        <f>IF($C30='4. Customer Growth'!$C$7,+'4. Customer Growth'!$C$9,+IF($C30='4. Customer Growth'!$E$7,+'4. Customer Growth'!$E$9,+IF($C30='4. Customer Growth'!$G$7,+'4. Customer Growth'!$G$9,+IF($C30='4. Customer Growth'!$I$7,+'4. Customer Growth'!$I$9,+IF($C30='4. Customer Growth'!$K$7,+'4. Customer Growth'!$K$9,+IF($C30='4. Customer Growth'!$M$7,+'4. Customer Growth'!$M$9,IF($C30='4. Customer Growth'!$O$7,+'4. Customer Growth'!$O$9)))))))</f>
        <v>52.5</v>
      </c>
      <c r="F30" s="682">
        <f>IF($C30='4. Customer Growth'!$C$7,+'4. Customer Growth'!$C$10,+IF($C30='4. Customer Growth'!$E$7,+'4. Customer Growth'!$E$10,+IF($C30='4. Customer Growth'!$G$7,+'4. Customer Growth'!$G$10,+IF($C30='4. Customer Growth'!$I$7,+'4. Customer Growth'!$I$10,+IF($C30='4. Customer Growth'!$K$7,+'4. Customer Growth'!$K$10,+IF($C30='4. Customer Growth'!$M$7,+'4. Customer Growth'!$M$10,IF($C30='4. Customer Growth'!$O$7,+'4. Customer Growth'!$O$10)))))))</f>
        <v>46.5</v>
      </c>
      <c r="G30" s="682">
        <f>IF($C30='4. Customer Growth'!$C$7,+'4. Customer Growth'!$C$11,+IF($C30='4. Customer Growth'!$E$7,+'4. Customer Growth'!$E$11,+IF($C30='4. Customer Growth'!$G$7,+'4. Customer Growth'!$G$11,+IF($C30='4. Customer Growth'!$I$7,+'4. Customer Growth'!$I$11,+IF($C30='4. Customer Growth'!$K$7,+'4. Customer Growth'!$K$11,+IF($C30='4. Customer Growth'!$M$7,+'4. Customer Growth'!$M$11,IF($C30='4. Customer Growth'!$O$7,+'4. Customer Growth'!$O$11)))))))</f>
        <v>41.5</v>
      </c>
      <c r="H30" s="682">
        <f>IF($C30='4. Customer Growth'!$C$7,+'4. Customer Growth'!$C$12,+IF($C30='4. Customer Growth'!$E$7,+'4. Customer Growth'!$E$12,+IF($C30='4. Customer Growth'!$G$7,+'4. Customer Growth'!$G$12,+IF($C30='4. Customer Growth'!$I$7,+'4. Customer Growth'!$I$12,+IF($C30='4. Customer Growth'!$K$7,+'4. Customer Growth'!$K$12,+IF($C30='4. Customer Growth'!$M$7,+'4. Customer Growth'!$M$12,IF($C30='4. Customer Growth'!$O$7,+'4. Customer Growth'!$O$12)))))))</f>
        <v>40</v>
      </c>
      <c r="I30" s="682">
        <f>IF($C30='4. Customer Growth'!$C$7,+'4. Customer Growth'!$C$13,+IF($C30='4. Customer Growth'!$E$7,+'4. Customer Growth'!$E$13,+IF($C30='4. Customer Growth'!$G$7,+'4. Customer Growth'!$G$13,+IF($C30='4. Customer Growth'!$I$7,+'4. Customer Growth'!$I$13,+IF($C30='4. Customer Growth'!$K$7,+'4. Customer Growth'!$K$13,+IF($C30='4. Customer Growth'!$M$7,+'4. Customer Growth'!$M$13,IF($C30='4. Customer Growth'!$O$7,+'4. Customer Growth'!$O$13)))))))</f>
        <v>32.5</v>
      </c>
      <c r="J30" s="682">
        <f>IF($C30='4. Customer Growth'!$C$7,+'4. Customer Growth'!$C$14,+IF($C30='4. Customer Growth'!$E$7,+'4. Customer Growth'!$E$14,+IF($C30='4. Customer Growth'!$G$7,+'4. Customer Growth'!$G$14,+IF($C30='4. Customer Growth'!$I$7,+'4. Customer Growth'!$I$14,+IF($C30='4. Customer Growth'!$K$7,+'4. Customer Growth'!$K$14,+IF($C30='4. Customer Growth'!$M$7,+'4. Customer Growth'!$M$14,IF($C30='4. Customer Growth'!$O$7,+'4. Customer Growth'!$O$14)))))))</f>
        <v>36.5</v>
      </c>
      <c r="K30" s="682">
        <f>IF($C30='4. Customer Growth'!$C$7,+'4. Customer Growth'!$C$15,+IF($C30='4. Customer Growth'!$E$7,+'4. Customer Growth'!$E$15,+IF($C30='4. Customer Growth'!$G$7,+'4. Customer Growth'!$G$15,+IF($C30='4. Customer Growth'!$I$7,+'4. Customer Growth'!$I$15,+IF($C30='4. Customer Growth'!$K$7,+'4. Customer Growth'!$K$15,+IF($C30='4. Customer Growth'!$M$7,+'4. Customer Growth'!$M$15,IF($C30='4. Customer Growth'!$O$7,+'4. Customer Growth'!$O$15)))))))</f>
        <v>41.5</v>
      </c>
      <c r="L30" s="682">
        <f>IF($C30='4. Customer Growth'!$C$7,+'4. Customer Growth'!$C$16,+IF($C30='4. Customer Growth'!$E$7,+'4. Customer Growth'!$E$16,+IF($C30='4. Customer Growth'!$G$7,+'4. Customer Growth'!$G$16,+IF($C30='4. Customer Growth'!$I$7,+'4. Customer Growth'!$I$16,+IF($C30='4. Customer Growth'!$K$7,+'4. Customer Growth'!$K$16,+IF($C30='4. Customer Growth'!$M$7,+'4. Customer Growth'!$M$16,IF($C30='4. Customer Growth'!$O$7,+'4. Customer Growth'!$O$16)))))))</f>
        <v>39</v>
      </c>
      <c r="M30" s="682">
        <f>IF($C30='4. Customer Growth'!$C$7,+'4. Customer Growth'!$C$17,+IF($C30='4. Customer Growth'!$E$7,+'4. Customer Growth'!$E$17,+IF($C30='4. Customer Growth'!$G$7,+'4. Customer Growth'!$G$17,+IF($C30='4. Customer Growth'!$I$7,+'4. Customer Growth'!$I$17,+IF($C30='4. Customer Growth'!$K$7,+'4. Customer Growth'!$K$17,+IF($C30='4. Customer Growth'!$M$7,+'4. Customer Growth'!$M$17,IF($C30='4. Customer Growth'!$O$7,+'4. Customer Growth'!$O$17)))))))</f>
        <v>42.5</v>
      </c>
      <c r="N30" s="682">
        <f>IF($C30='4. Customer Growth'!$C$7,+'4. Customer Growth'!$C$18,+IF($C30='4. Customer Growth'!$E$7,+'4. Customer Growth'!$E$18,+IF($C30='4. Customer Growth'!$G$7,+'4. Customer Growth'!$G$18,+IF($C30='4. Customer Growth'!$I$7,+'4. Customer Growth'!$I$18,+IF($C30='4. Customer Growth'!$K$7,+'4. Customer Growth'!$K$18,+IF($C30='4. Customer Growth'!$M$7,+'4. Customer Growth'!$M$18,IF($C30='4. Customer Growth'!$O$7,+'4. Customer Growth'!$O$18)))))))</f>
        <v>41</v>
      </c>
      <c r="O30" s="682">
        <f>IF($C30='4. Customer Growth'!$C$7,+'4. Customer Growth'!$C$34,+IF($C30='4. Customer Growth'!$E$7,+'4. Customer Growth'!$E$34,+IF($C30='4. Customer Growth'!$G$7,+'4. Customer Growth'!$G$34,+IF($C30='4. Customer Growth'!$I$7,+'4. Customer Growth'!$I$34,+IF($C30='4. Customer Growth'!$K$7,+'4. Customer Growth'!$K$34,+IF($C30='4. Customer Growth'!$M$7,+'4. Customer Growth'!$M$34,IF($C30='4. Customer Growth'!$O$7,+'4. Customer Growth'!$O$34)))))))</f>
        <v>40</v>
      </c>
      <c r="P30" s="683">
        <f>IF($C30='4. Customer Growth'!$C$7,+'4. Customer Growth'!$C$35,+IF($C30='4. Customer Growth'!$E$7,+'4. Customer Growth'!$E$35,+IF($C30='4. Customer Growth'!$G$7,+'4. Customer Growth'!$G$35,+IF($C30='4. Customer Growth'!$I$7,+'4. Customer Growth'!$I$35,+IF($C30='4. Customer Growth'!$K$7,+'4. Customer Growth'!$K$35,+IF($C30='4. Customer Growth'!$M$7,+'4. Customer Growth'!$M$35,IF($C30='4. Customer Growth'!$O$7,+'4. Customer Growth'!$O$35)))))))</f>
        <v>40</v>
      </c>
    </row>
    <row r="31" spans="2:16" x14ac:dyDescent="0.2">
      <c r="B31" s="1255"/>
      <c r="C31" s="52"/>
      <c r="D31" s="52" t="s">
        <v>36</v>
      </c>
      <c r="E31" s="682">
        <f>IF($B30=$F$59,+'7. Weather Normal kWh'!$C$16,IF($B30=$F$60,+'7. Weather Normal kWh'!$K$16,IF($B30=$F$61,+'7. Weather Normal kWh'!$S$16,IF($B30=$F$62,+'7. Weather Normal kWh'!$AA$16,IF($B30=$F$63,+'7. Weather Normal kWh'!$AI$16,IF($B30=$F$64,+'7.1. Weather Normal KW Customer'!$E$12,IF($B30=$F$65,+'7.1. Weather Normal KW Customer'!$P$12,IF($B30=$F$66,+'7.1. Weather Normal KW Customer'!$Z$12,IF($B30=$F$67,+'7.1. Weather Normal KW Customer'!$AJ$12,IF($B30=$F$68,+'7.1. Weather Normal KW Customer'!$AT$12))))))))))</f>
        <v>264617</v>
      </c>
      <c r="F31" s="682">
        <f>IF($B30=$F$59,+'7. Weather Normal kWh'!$C$17,IF($B30=$F$60,+'7. Weather Normal kWh'!$K$17,IF($B30=$F$61,+'7. Weather Normal kWh'!$S$17,IF($B30=$F$62,+'7. Weather Normal kWh'!$AA$17,IF($B30=$F$63,+'7. Weather Normal kWh'!$AI$17,IF($B30=$F$64,+'7.1. Weather Normal KW Customer'!$E$13,IF($B30=$F$65,+'7.1. Weather Normal KW Customer'!$P$13,IF($B30=$F$66,+'7.1. Weather Normal KW Customer'!$Z$13,IF($B30=$F$67,+'7.1. Weather Normal KW Customer'!$AJ$13,IF($B30=$F$68,+'7.1. Weather Normal KW Customer'!$AT$13))))))))))</f>
        <v>255784</v>
      </c>
      <c r="G31" s="682">
        <f>IF($B30=$F$59,+'7. Weather Normal kWh'!$C$18,IF($B30=$F$60,+'7. Weather Normal kWh'!$K$18,IF($B30=$F$61,+'7. Weather Normal kWh'!$S$18,IF($B30=$F$62,+'7. Weather Normal kWh'!$AA$18,IF($B30=$F$63,+'7. Weather Normal kWh'!$AI$18,IF($B30=$F$64,+'7.1. Weather Normal KW Customer'!$E$14,IF($B30=$F$65,+'7.1. Weather Normal KW Customer'!$P$14,IF($B30=$F$66,+'7.1. Weather Normal KW Customer'!$Z$14,IF($B30=$F$67,+'7.1. Weather Normal KW Customer'!$AJ$14,IF($B30=$F$68,+'7.1. Weather Normal KW Customer'!$AT$14))))))))))</f>
        <v>220922</v>
      </c>
      <c r="H31" s="682">
        <f>IF($B30=$F$59,+'7. Weather Normal kWh'!$C$19,IF($B30=$F$60,+'7. Weather Normal kWh'!$K$19,IF($B30=$F$61,+'7. Weather Normal kWh'!$S$19,IF($B30=$F$62,+'7. Weather Normal kWh'!$AA$19,IF($B30=$F$63,+'7. Weather Normal kWh'!$AI$19,IF($B30=$F$64,+'7.1. Weather Normal KW Customer'!$E$15,IF($B30=$F$65,+'7.1. Weather Normal KW Customer'!$P$15,IF($B30=$F$66,+'7.1. Weather Normal KW Customer'!$Z$15,IF($B30=$F$67,+'7.1. Weather Normal KW Customer'!$AJ$15,IF($B30=$F$68,+'7.1. Weather Normal KW Customer'!$AT$15))))))))))</f>
        <v>173292</v>
      </c>
      <c r="I31" s="682">
        <f>IF($B30=$F$59,+'7. Weather Normal kWh'!$C$20,IF($B30=$F$60,+'7. Weather Normal kWh'!$K$20,IF($B30=$F$61,+'7. Weather Normal kWh'!$S$20,IF($B30=$F$62,+'7. Weather Normal kWh'!$AA$20,IF($B30=$F$63,+'7. Weather Normal kWh'!$AI$20,IF($B30=$F$64,+'7.1. Weather Normal KW Customer'!$E$16,IF($B30=$F$65,+'7.1. Weather Normal KW Customer'!$P$16,IF($B30=$F$66,+'7.1. Weather Normal KW Customer'!$Z$16,IF($B30=$F$67,+'7.1. Weather Normal KW Customer'!$AJ$16,IF($B30=$F$68,+'7.1. Weather Normal KW Customer'!$AT$16))))))))))</f>
        <v>255272</v>
      </c>
      <c r="J31" s="682">
        <f>IF($B30=$F$59,+'7. Weather Normal kWh'!$C$21,IF($B30=$F$60,+'7. Weather Normal kWh'!$K$21,IF($B30=$F$61,+'7. Weather Normal kWh'!$S$21,IF($B30=$F$62,+'7. Weather Normal kWh'!$AA$21,IF($B30=$F$63,+'7. Weather Normal kWh'!$AI$21,IF($B30=$F$64,+'7.1. Weather Normal KW Customer'!$E$17,IF($B30=$F$65,+'7.1. Weather Normal KW Customer'!$P$17,IF($B30=$F$66,+'7.1. Weather Normal KW Customer'!$Z$17,IF($B30=$F$67,+'7.1. Weather Normal KW Customer'!$AJ$17,IF($B30=$F$68,+'7.1. Weather Normal KW Customer'!$AT$17))))))))))</f>
        <v>322731</v>
      </c>
      <c r="K31" s="682">
        <f>IF($B30=$F$59,+'7. Weather Normal kWh'!$C$22,IF($B30=$F$60,+'7. Weather Normal kWh'!$K$22,IF($B30=$F$61,+'7. Weather Normal kWh'!$S$22,IF($B30=$F$62,+'7. Weather Normal kWh'!$AA$22,IF($B30=$F$63,+'7. Weather Normal kWh'!$AI$22,IF($B30=$F$64,+'7.1. Weather Normal KW Customer'!$E$18,IF($B30=$F$65,+'7.1. Weather Normal KW Customer'!$P$18,IF($B30=$F$66,+'7.1. Weather Normal KW Customer'!$Z$18,IF($B30=$F$67,+'7.1. Weather Normal KW Customer'!$AJ$18,IF($B30=$F$68,+'7.1. Weather Normal KW Customer'!$AT$18))))))))))</f>
        <v>310190</v>
      </c>
      <c r="L31" s="682">
        <f>IF($B30=$F$59,+'7. Weather Normal kWh'!$C$23,IF($B30=$F$60,+'7. Weather Normal kWh'!$K$23,IF($B30=$F$61,+'7. Weather Normal kWh'!$S$24,IF($B30=$F$62,+'7. Weather Normal kWh'!$AA$23,IF($B30=$F$63,+'7. Weather Normal kWh'!$AI$23,IF($B30=$F$64,+'7.1. Weather Normal KW Customer'!$E$19,IF($B30=$F$65,+'7.1. Weather Normal KW Customer'!$P$19,IF($B30=$F$66,+'7.1. Weather Normal KW Customer'!$Z$19,IF($B30=$F$67,+'7.1. Weather Normal KW Customer'!$AJ$19,IF($B30=$F$68,+'7.1. Weather Normal KW Customer'!$AT$19))))))))))</f>
        <v>264549.50046253472</v>
      </c>
      <c r="M31" s="682">
        <f>IF($B30=$F$59,+'7. Weather Normal kWh'!$C$24,IF($B30=$F$60,+'7. Weather Normal kWh'!$K$24,IF($B30=$F$61,+'7. Weather Normal kWh'!$S$25,IF($B30=$F$62,+'7. Weather Normal kWh'!$AA$24,IF($B30=$F$63,+'7. Weather Normal kWh'!$AI$24,IF($B30=$F$64,+'7.1. Weather Normal KW Customer'!$E$20,IF($B30=$F$65,+'7.1. Weather Normal KW Customer'!$P$20,IF($B30=$F$66,+'7.1. Weather Normal KW Customer'!$Z$20,IF($B30=$F$67,+'7.1. Weather Normal KW Customer'!$AJ$20,IF($B30=$F$68,+'7.1. Weather Normal KW Customer'!$AT$20))))))))))</f>
        <v>250495.81036077708</v>
      </c>
      <c r="N31" s="682">
        <f>IF($B30=$F$59,+'7. Weather Normal kWh'!$C$25,IF($B30=$F$60,+'7. Weather Normal kWh'!$K$25,IF($B30=$F$61,+'7. Weather Normal kWh'!$W$25,IF($B30=$F$62,+'7. Weather Normal kWh'!$AA$25,IF($B30=$F$63,+'7. Weather Normal kWh'!$AI$25,IF($B30=$F$64,+'7.1. Weather Normal KW Customer'!$E$21,IF($B30=$F$65,+'7.1. Weather Normal KW Customer'!$P$21,IF($B30=$F$66,+'7.1. Weather Normal KW Customer'!$Z$21,IF($B30=$F$67,+'7.1. Weather Normal KW Customer'!$AJ$21,IF($B30=$F$68,+'7.1. Weather Normal KW Customer'!$AT$21))))))))))</f>
        <v>248084.25158088063</v>
      </c>
      <c r="O31" s="682">
        <f>IF($B30=$F$59,+'7. Weather Normal kWh'!$H$37,IF($B30=$F$60,+'7. Weather Normal kWh'!$P$37,IF($B30=$F$61,+'7. Weather Normal kWh'!$X$37,IF($B30=$F$62,+'7. Weather Normal kWh'!$AF$37,IF($B30=$F$63,+'7. Weather Normal kWh'!$AN$37,IF($B30=$F$64,+'7.1. Weather Normal KW Customer'!$I$40,IF($B30=$F$65,+'7.1. Weather Normal KW Customer'!$T$40,IF($B30=$F$66,+'7.1. Weather Normal KW Customer'!$AD$40,IF($B30=$F$67,+'7.1. Weather Normal KW Customer'!$AN$40,IF($B30=$F$68,+'7.1. Weather Normal KW Customer'!$AX$40))))))))))</f>
        <v>232410.61456023974</v>
      </c>
      <c r="P31" s="683">
        <f>IF($B30=$F$59,+'7. Weather Normal kWh'!$H$38,IF($B30=$F$60,+'7. Weather Normal kWh'!$P$38,IF($B30=$F$61,+'7. Weather Normal kWh'!$X$38,IF($B30=$F$62,+'7. Weather Normal kWh'!$AF$38,IF($B30=$F$63,+'7. Weather Normal kWh'!$AN$38,IF($B30=$F$64,+'7.1. Weather Normal KW Customer'!$I$41,IF($B30=$F$65,+'7.1. Weather Normal KW Customer'!$T$41,IF($B30=$F$66,+'7.1. Weather Normal KW Customer'!$AD$41,IF($B30=$F$67,+'7.1. Weather Normal KW Customer'!$AN$41,IF($B30=$F$68,+'7.1. Weather Normal KW Customer'!$AX$41))))))))))</f>
        <v>221021.90461603086</v>
      </c>
    </row>
    <row r="32" spans="2:16" x14ac:dyDescent="0.2">
      <c r="B32" s="1255"/>
      <c r="C32" s="52"/>
      <c r="D32" s="52" t="s">
        <v>37</v>
      </c>
      <c r="E32" s="566">
        <f>IF(B$10=$F$64,+'7.1. Weather Normal KW Customer'!$F$12,IF($B30=$F$65,+'7.1. Weather Normal KW Customer'!$Q$12,IF($B30=$F$66,+'7.1. Weather Normal KW Customer'!$AA$12,IF($B30=$F$67,+'7.1. Weather Normal KW Customer'!$AK$12,+IF($B30=$F$68,+'7.1. Weather Normal KW Customer'!$AU$12,0)))))</f>
        <v>0</v>
      </c>
      <c r="F32" s="566">
        <f>IF($B30=$F$64,+'7.1. Weather Normal KW Customer'!$F$13,IF($B30=$F$65,+'7.1. Weather Normal KW Customer'!$Q$13,IF($B30=$F$66,+'7.1. Weather Normal KW Customer'!$AA$13,IF($B30=$F$67,+'7.1. Weather Normal KW Customer'!$AK$13,+IF($B30=$F$68,+'7.1. Weather Normal KW Customer'!$AU$13,0)))))</f>
        <v>0</v>
      </c>
      <c r="G32" s="566">
        <f>IF($B30=$F$64,+'7.1. Weather Normal KW Customer'!$F$14,IF($B30=$F$65,+'7.1. Weather Normal KW Customer'!$Q$14,IF($B30=$F$66,+'7.1. Weather Normal KW Customer'!$AA$14,IF($B30=$F$67,+'7.1. Weather Normal KW Customer'!$AK$14,+IF($B30=$F$68,+'7.1. Weather Normal KW Customer'!$AU$14,0)))))</f>
        <v>0</v>
      </c>
      <c r="H32" s="566">
        <f>IF($B30=$F$64,+'7.1. Weather Normal KW Customer'!$F$15,IF($B30=$F$65,+'7.1. Weather Normal KW Customer'!$Q$15,IF($B30=$F$66,+'7.1. Weather Normal KW Customer'!$AA$15,IF($B30=$F$67,+'7.1. Weather Normal KW Customer'!$AK$15,+IF($B30=$F$68,+'7.1. Weather Normal KW Customer'!$AU$15,0)))))</f>
        <v>0</v>
      </c>
      <c r="I32" s="566">
        <f>IF($B30=$F$64,+'7.1. Weather Normal KW Customer'!$F$16,IF($B30=$F$65,+'7.1. Weather Normal KW Customer'!$Q$16,IF($B30=$F$66,+'7.1. Weather Normal KW Customer'!$AA$16,IF($B30=$F$67,+'7.1. Weather Normal KW Customer'!$AK$16,+IF($B30=$F$68,+'7.1. Weather Normal KW Customer'!$AU$16,0)))))</f>
        <v>0</v>
      </c>
      <c r="J32" s="566">
        <f>IF($B30=$F$64,+'7.1. Weather Normal KW Customer'!$F$17,IF($B30=$F$65,+'7.1. Weather Normal KW Customer'!$Q$17,IF($B30=$F$66,+'7.1. Weather Normal KW Customer'!$AA$17,IF($B30=$F$67,+'7.1. Weather Normal KW Customer'!$AK$17,+IF($B30=$F$68,+'7.1. Weather Normal KW Customer'!$AU$17,0)))))</f>
        <v>0</v>
      </c>
      <c r="K32" s="566">
        <f>IF($B30=$F$64,+'7.1. Weather Normal KW Customer'!$F$18,IF($B30=$F$65,+'7.1. Weather Normal KW Customer'!$Q$18,IF($B30=$F$66,+'7.1. Weather Normal KW Customer'!$AA$18,IF($B30=$F$67,+'7.1. Weather Normal KW Customer'!$AK$18,+IF($B30=$F$68,+'7.1. Weather Normal KW Customer'!$AU$18,0)))))</f>
        <v>0</v>
      </c>
      <c r="L32" s="566">
        <f>IF($B30=$F$64,+'7.1. Weather Normal KW Customer'!$F$19,IF($B30=$F$65,+'7.1. Weather Normal KW Customer'!$Q$19,IF($B30=$F$66,+'7.1. Weather Normal KW Customer'!$AA$19,IF($B30=$F$67,+'7.1. Weather Normal KW Customer'!$AK$19,+IF($B30=$F$68,+'7.1. Weather Normal KW Customer'!$AU$19,0)))))</f>
        <v>0</v>
      </c>
      <c r="M32" s="566">
        <f>IF($B30=$F$64,+'7.1. Weather Normal KW Customer'!$F$20,IF($B30=$F$65,+'7.1. Weather Normal KW Customer'!$Q$20,IF($B30=$F$66,+'7.1. Weather Normal KW Customer'!$AA$20,IF($B30=$F$67,+'7.1. Weather Normal KW Customer'!$AK$20,+IF($B30=$F$68,+'7.1. Weather Normal KW Customer'!$AU$20,0)))))</f>
        <v>0</v>
      </c>
      <c r="N32" s="566">
        <f>IF($B30=$F$64,+'7.1. Weather Normal KW Customer'!$F$21,IF($B30=$F$65,+'7.1. Weather Normal KW Customer'!$Q$21,IF($B30=$F$66,+'7.1. Weather Normal KW Customer'!$AA$21,IF($B30=$F$67,+'7.1. Weather Normal KW Customer'!$AK$21,+IF($B30=$F$68,+'7.1. Weather Normal KW Customer'!$AU$21,0)))))</f>
        <v>0</v>
      </c>
      <c r="O32" s="566">
        <f>IF($B30=$F$64,+'7.1. Weather Normal KW Customer'!$J$40,IF($B30=$F$65,+'7.1. Weather Normal KW Customer'!$U$40,IF($B30=$F$66,+'7.1. Weather Normal KW Customer'!$AE$40,IF($B30=$F$67,+'7.1. Weather Normal KW Customer'!$AO$40,+IF($B30=$F$68,+'7.1. Weather Normal KW Customer'!$AY$40,0)))))</f>
        <v>0</v>
      </c>
      <c r="P32" s="684">
        <f>IF($B30=$F$64,+'7.1. Weather Normal KW Customer'!$J$41,IF($B30=$F$65,+'7.1. Weather Normal KW Customer'!$U$41,IF($B30=$F$66,+'7.1. Weather Normal KW Customer'!$AE$41,IF($B30=$F$67,+'7.1. Weather Normal KW Customer'!$AO$41,+IF($B30=$F$68,+'7.1. Weather Normal KW Customer'!$AY$41,0)))))</f>
        <v>0</v>
      </c>
    </row>
    <row r="33" spans="2:16" x14ac:dyDescent="0.2">
      <c r="B33" s="1255"/>
      <c r="C33" s="52"/>
      <c r="D33" s="52"/>
      <c r="E33" s="566"/>
      <c r="F33" s="566"/>
      <c r="G33" s="566"/>
      <c r="H33" s="566"/>
      <c r="I33" s="566"/>
      <c r="J33" s="566"/>
      <c r="K33" s="566"/>
      <c r="L33" s="566"/>
      <c r="M33" s="566"/>
      <c r="N33" s="566"/>
      <c r="O33" s="567"/>
      <c r="P33" s="568"/>
    </row>
    <row r="34" spans="2:16" hidden="1" x14ac:dyDescent="0.2">
      <c r="B34" s="1256" t="s">
        <v>245</v>
      </c>
      <c r="C34" s="443" t="str">
        <f>IF($B34=$F$59,+$B$59,+IF($B34=$F$60,+$B$60,+IF($B34=$F$61,+$B$61,+IF($B34=$F$61,$B$61,+IF($B34=$F$62,+$B$62,+IF($B34=$F$63,+$B$63,+IF($B34=$F$64,+$B$64,+IF($B34=$F$65,+$B$65,+IF($B34=$F$66,+$B$66,+IF($B34=$F$67,+$B$67,+IF($B34=$F$68,+$B$68)))))))))))</f>
        <v>N/A</v>
      </c>
      <c r="D34" s="52" t="s">
        <v>124</v>
      </c>
      <c r="E34" s="685" t="b">
        <f>IF($C34='4. Customer Growth'!$C$7,+'4. Customer Growth'!$C$9,+IF($C34='4. Customer Growth'!$E$7,+'4. Customer Growth'!$E$9,+IF($C34='4. Customer Growth'!$G$7,+'4. Customer Growth'!$G$9,+IF($C34='4. Customer Growth'!$I$7,+'4. Customer Growth'!$I$9,+IF($C34='4. Customer Growth'!$K$7,+'4. Customer Growth'!$K$9,+IF($C34='4. Customer Growth'!$M$7,+'4. Customer Growth'!$M$9,IF($C34='4. Customer Growth'!$O$7,+'4. Customer Growth'!$O$9)))))))</f>
        <v>0</v>
      </c>
      <c r="F34" s="685" t="b">
        <f>IF($C34='4. Customer Growth'!$C$7,+'4. Customer Growth'!$C$10,+IF($C34='4. Customer Growth'!$E$7,+'4. Customer Growth'!$E$10,+IF($C34='4. Customer Growth'!$G$7,+'4. Customer Growth'!$G$10,+IF($C34='4. Customer Growth'!$I$7,+'4. Customer Growth'!$I$10,+IF($C34='4. Customer Growth'!$K$7,+'4. Customer Growth'!$K$10,+IF($C34='4. Customer Growth'!$M$7,+'4. Customer Growth'!$M$10,IF($C34='4. Customer Growth'!$O$7,+'4. Customer Growth'!$O$10)))))))</f>
        <v>0</v>
      </c>
      <c r="G34" s="685" t="b">
        <f>IF($C34='4. Customer Growth'!$C$7,+'4. Customer Growth'!$C$11,+IF($C34='4. Customer Growth'!$E$7,+'4. Customer Growth'!$E$11,+IF($C34='4. Customer Growth'!$G$7,+'4. Customer Growth'!$G$11,+IF($C34='4. Customer Growth'!$I$7,+'4. Customer Growth'!$I$11,+IF($C34='4. Customer Growth'!$K$7,+'4. Customer Growth'!$K$11,+IF($C34='4. Customer Growth'!$M$7,+'4. Customer Growth'!$M$11,IF($C34='4. Customer Growth'!$O$7,+'4. Customer Growth'!$O$11)))))))</f>
        <v>0</v>
      </c>
      <c r="H34" s="685" t="b">
        <f>IF($C34='4. Customer Growth'!$C$7,+'4. Customer Growth'!$C$12,+IF($C34='4. Customer Growth'!$E$7,+'4. Customer Growth'!$E$12,+IF($C34='4. Customer Growth'!$G$7,+'4. Customer Growth'!$G$12,+IF($C34='4. Customer Growth'!$I$7,+'4. Customer Growth'!$I$12,+IF($C34='4. Customer Growth'!$K$7,+'4. Customer Growth'!$K$12,+IF($C34='4. Customer Growth'!$M$7,+'4. Customer Growth'!$M$12,IF($C34='4. Customer Growth'!$O$7,+'4. Customer Growth'!$O$12)))))))</f>
        <v>0</v>
      </c>
      <c r="I34" s="685" t="b">
        <f>IF($C34='4. Customer Growth'!$C$7,+'4. Customer Growth'!$C$13,+IF($C34='4. Customer Growth'!$E$7,+'4. Customer Growth'!$E$13,+IF($C34='4. Customer Growth'!$G$7,+'4. Customer Growth'!$G$13,+IF($C34='4. Customer Growth'!$I$7,+'4. Customer Growth'!$I$13,+IF($C34='4. Customer Growth'!$K$7,+'4. Customer Growth'!$K$13,+IF($C34='4. Customer Growth'!$M$7,+'4. Customer Growth'!$M$13,IF($C34='4. Customer Growth'!$O$7,+'4. Customer Growth'!$O$13)))))))</f>
        <v>0</v>
      </c>
      <c r="J34" s="685" t="b">
        <f>IF($C34='4. Customer Growth'!$C$7,+'4. Customer Growth'!$C$14,+IF($C34='4. Customer Growth'!$E$7,+'4. Customer Growth'!$E$14,+IF($C34='4. Customer Growth'!$G$7,+'4. Customer Growth'!$G$14,+IF($C34='4. Customer Growth'!$I$7,+'4. Customer Growth'!$I$14,+IF($C34='4. Customer Growth'!$K$7,+'4. Customer Growth'!$K$14,+IF($C34='4. Customer Growth'!$M$7,+'4. Customer Growth'!$M$14,IF($C34='4. Customer Growth'!$O$7,+'4. Customer Growth'!$O$14)))))))</f>
        <v>0</v>
      </c>
      <c r="K34" s="685" t="b">
        <f>IF($C34='4. Customer Growth'!$C$7,+'4. Customer Growth'!$C$15,+IF($C34='4. Customer Growth'!$E$7,+'4. Customer Growth'!$E$15,+IF($C34='4. Customer Growth'!$G$7,+'4. Customer Growth'!$G$15,+IF($C34='4. Customer Growth'!$I$7,+'4. Customer Growth'!$I$15,+IF($C34='4. Customer Growth'!$K$7,+'4. Customer Growth'!$K$15,+IF($C34='4. Customer Growth'!$M$7,+'4. Customer Growth'!$M$15,IF($C34='4. Customer Growth'!$O$7,+'4. Customer Growth'!$O$15)))))))</f>
        <v>0</v>
      </c>
      <c r="L34" s="685" t="b">
        <f>IF($C34='4. Customer Growth'!$C$7,+'4. Customer Growth'!$C$16,+IF($C34='4. Customer Growth'!$E$7,+'4. Customer Growth'!$E$16,+IF($C34='4. Customer Growth'!$G$7,+'4. Customer Growth'!$G$16,+IF($C34='4. Customer Growth'!$I$7,+'4. Customer Growth'!$I$16,+IF($C34='4. Customer Growth'!$K$7,+'4. Customer Growth'!$K$16,+IF($C34='4. Customer Growth'!$M$7,+'4. Customer Growth'!$M$16,IF($C34='4. Customer Growth'!$O$7,+'4. Customer Growth'!$O$16)))))))</f>
        <v>0</v>
      </c>
      <c r="M34" s="685" t="b">
        <f>IF($C34='4. Customer Growth'!$C$7,+'4. Customer Growth'!$C$17,+IF($C34='4. Customer Growth'!$E$7,+'4. Customer Growth'!$E$17,+IF($C34='4. Customer Growth'!$G$7,+'4. Customer Growth'!$G$17,+IF($C34='4. Customer Growth'!$I$7,+'4. Customer Growth'!$I$17,+IF($C34='4. Customer Growth'!$K$7,+'4. Customer Growth'!$K$17,+IF($C34='4. Customer Growth'!$M$7,+'4. Customer Growth'!$M$17,IF($C34='4. Customer Growth'!$O$7,+'4. Customer Growth'!$O$17)))))))</f>
        <v>0</v>
      </c>
      <c r="N34" s="685" t="b">
        <f>IF($C34='4. Customer Growth'!$C$7,+'4. Customer Growth'!$C$18,+IF($C34='4. Customer Growth'!$E$7,+'4. Customer Growth'!$E$18,+IF($C34='4. Customer Growth'!$G$7,+'4. Customer Growth'!$G$18,+IF($C34='4. Customer Growth'!$I$7,+'4. Customer Growth'!$I$18,+IF($C34='4. Customer Growth'!$K$7,+'4. Customer Growth'!$K$18,+IF($C34='4. Customer Growth'!$M$7,+'4. Customer Growth'!$M$18,IF($C34='4. Customer Growth'!$O$7,+'4. Customer Growth'!$O$18)))))))</f>
        <v>0</v>
      </c>
      <c r="O34" s="685" t="b">
        <f>IF($C34='4. Customer Growth'!$C$7,+'4. Customer Growth'!$C$34,+IF($C34='4. Customer Growth'!$E$7,+'4. Customer Growth'!$E$34,+IF($C34='4. Customer Growth'!$G$7,+'4. Customer Growth'!$G$34,+IF($C34='4. Customer Growth'!$I$7,+'4. Customer Growth'!$I$34,+IF($C34='4. Customer Growth'!$K$7,+'4. Customer Growth'!$K$34,+IF($C34='4. Customer Growth'!$M$7,+'4. Customer Growth'!$M$34,IF($C34='4. Customer Growth'!$O$7,+'4. Customer Growth'!$O$34)))))))</f>
        <v>0</v>
      </c>
      <c r="P34" s="686" t="b">
        <f>IF($C34='4. Customer Growth'!$C$7,+'4. Customer Growth'!$C$35,+IF($C34='4. Customer Growth'!$E$7,+'4. Customer Growth'!$E$35,+IF($C34='4. Customer Growth'!$G$7,+'4. Customer Growth'!$G$35,+IF($C34='4. Customer Growth'!$I$7,+'4. Customer Growth'!$I$35,+IF($C34='4. Customer Growth'!$K$7,+'4. Customer Growth'!$K$35,+IF($C34='4. Customer Growth'!$M$7,+'4. Customer Growth'!$M$35,IF($C34='4. Customer Growth'!$O$7,+'4. Customer Growth'!$O$35)))))))</f>
        <v>0</v>
      </c>
    </row>
    <row r="35" spans="2:16" hidden="1" x14ac:dyDescent="0.2">
      <c r="B35" s="1255"/>
      <c r="C35" s="52"/>
      <c r="D35" s="52" t="s">
        <v>36</v>
      </c>
      <c r="E35" s="682">
        <f>IF($B34=$F$59,+'7. Weather Normal kWh'!$C$16,IF($B34=$F$60,+'7. Weather Normal kWh'!$K$16,IF($B34=$F$61,+'7. Weather Normal kWh'!$S$16,IF($B34=$F$62,+'7. Weather Normal kWh'!$AA$16,IF($B34=$F$63,+'7. Weather Normal kWh'!$AI$16,IF($B34=$F$64,+'7.1. Weather Normal KW Customer'!$E$12,IF($B34=$F$65,+'7.1. Weather Normal KW Customer'!$P$12,IF($B34=$F$66,+'7.1. Weather Normal KW Customer'!$Z$12,IF($B34=$F$67,+'7.1. Weather Normal KW Customer'!$AJ$12,IF($B34=$F$68,+'7.1. Weather Normal KW Customer'!$AT$12))))))))))</f>
        <v>0</v>
      </c>
      <c r="F35" s="682">
        <f>IF($B34=$F$59,+'7. Weather Normal kWh'!$C$17,IF($B34=$F$60,+'7. Weather Normal kWh'!$K$17,IF($B34=$F$61,+'7. Weather Normal kWh'!$S$17,IF($B34=$F$62,+'7. Weather Normal kWh'!$AA$17,IF($B34=$F$63,+'7. Weather Normal kWh'!$AI$17,IF($B34=$F$64,+'7.1. Weather Normal KW Customer'!$E$13,IF($B34=$F$65,+'7.1. Weather Normal KW Customer'!$P$13,IF($B34=$F$66,+'7.1. Weather Normal KW Customer'!$Z$13,IF($B34=$F$67,+'7.1. Weather Normal KW Customer'!$AJ$13,IF($B34=$F$68,+'7.1. Weather Normal KW Customer'!$AT$13))))))))))</f>
        <v>0</v>
      </c>
      <c r="G35" s="682">
        <f>IF($B34=$F$59,+'7. Weather Normal kWh'!$C$18,IF($B34=$F$60,+'7. Weather Normal kWh'!$K$18,IF($B34=$F$61,+'7. Weather Normal kWh'!$S$18,IF($B34=$F$62,+'7. Weather Normal kWh'!$AA$18,IF($B34=$F$63,+'7. Weather Normal kWh'!$AI$18,IF($B34=$F$64,+'7.1. Weather Normal KW Customer'!$E$14,IF($B34=$F$65,+'7.1. Weather Normal KW Customer'!$P$14,IF($B34=$F$66,+'7.1. Weather Normal KW Customer'!$Z$14,IF($B34=$F$67,+'7.1. Weather Normal KW Customer'!$AJ$14,IF($B34=$F$68,+'7.1. Weather Normal KW Customer'!$AT$14))))))))))</f>
        <v>0</v>
      </c>
      <c r="H35" s="682">
        <f>IF($B34=$F$59,+'7. Weather Normal kWh'!$C$19,IF($B34=$F$60,+'7. Weather Normal kWh'!$K$19,IF($B34=$F$61,+'7. Weather Normal kWh'!$S$19,IF($B34=$F$62,+'7. Weather Normal kWh'!$AA$19,IF($B34=$F$63,+'7. Weather Normal kWh'!$AI$19,IF($B34=$F$64,+'7.1. Weather Normal KW Customer'!$E$15,IF($B34=$F$65,+'7.1. Weather Normal KW Customer'!$P$15,IF($B34=$F$66,+'7.1. Weather Normal KW Customer'!$Z$15,IF($B34=$F$67,+'7.1. Weather Normal KW Customer'!$AJ$15,IF($B34=$F$68,+'7.1. Weather Normal KW Customer'!$AT$15))))))))))</f>
        <v>0</v>
      </c>
      <c r="I35" s="682">
        <f>IF($B34=$F$59,+'7. Weather Normal kWh'!$C$20,IF($B34=$F$60,+'7. Weather Normal kWh'!$K$20,IF($B34=$F$61,+'7. Weather Normal kWh'!$S$20,IF($B34=$F$62,+'7. Weather Normal kWh'!$AA$20,IF($B34=$F$63,+'7. Weather Normal kWh'!$AI$20,IF($B34=$F$64,+'7.1. Weather Normal KW Customer'!$E$16,IF($B34=$F$65,+'7.1. Weather Normal KW Customer'!$P$16,IF($B34=$F$66,+'7.1. Weather Normal KW Customer'!$Z$16,IF($B34=$F$67,+'7.1. Weather Normal KW Customer'!$AJ$16,IF($B34=$F$68,+'7.1. Weather Normal KW Customer'!$AT$16))))))))))</f>
        <v>0</v>
      </c>
      <c r="J35" s="682">
        <f>IF($B34=$F$59,+'7. Weather Normal kWh'!$C$21,IF($B34=$F$60,+'7. Weather Normal kWh'!$K$21,IF($B34=$F$61,+'7. Weather Normal kWh'!$M$21,IF($B34=$F$62,+'7. Weather Normal kWh'!$AA$21,IF($B34=$F$63,+'7. Weather Normal kWh'!$AI$21,IF($B34=$F$64,+'7.1. Weather Normal KW Customer'!$E$17,IF($B34=$F$65,+'7.1. Weather Normal KW Customer'!$P$17,IF($B34=$F$66,+'7.1. Weather Normal KW Customer'!$Z$17,IF($B34=$F$67,+'7.1. Weather Normal KW Customer'!$AJ$17,IF($B34=$F$68,+'7.1. Weather Normal KW Customer'!$AT$17))))))))))</f>
        <v>0</v>
      </c>
      <c r="K35" s="682">
        <f>IF($B34=$F$59,+'7. Weather Normal kWh'!$C$22,IF($B34=$F$60,+'7. Weather Normal kWh'!$K$22,IF($B34=$F$61,+'7. Weather Normal kWh'!$S$22,IF($B34=$F$62,+'7. Weather Normal kWh'!$AA$22,IF($B34=$F$63,+'7. Weather Normal kWh'!$AI$22,IF($B34=$F$64,+'7.1. Weather Normal KW Customer'!$E$18,IF($B34=$F$65,+'7.1. Weather Normal KW Customer'!$P$18,IF($B34=$F$66,+'7.1. Weather Normal KW Customer'!$Z$18,IF($B34=$F$67,+'7.1. Weather Normal KW Customer'!$AJ$18,IF($B34=$F$68,+'7.1. Weather Normal KW Customer'!$AT$18))))))))))</f>
        <v>0</v>
      </c>
      <c r="L35" s="682">
        <f>IF($B34=$F$59,+'7. Weather Normal kWh'!$C$23,IF($B34=$F$60,+'7. Weather Normal kWh'!$K$23,IF($B34=$F$61,+'7. Weather Normal kWh'!$S$24,IF($B34=$F$62,+'7. Weather Normal kWh'!$AA$23,IF($B34=$F$63,+'7. Weather Normal kWh'!$AI$23,IF($B34=$F$64,+'7.1. Weather Normal KW Customer'!$E$19,IF($B34=$F$65,+'7.1. Weather Normal KW Customer'!$P$19,IF($B34=$F$66,+'7.1. Weather Normal KW Customer'!$Z$19,IF($B34=$F$67,+'7.1. Weather Normal KW Customer'!$AJ$19,IF($B34=$F$68,+'7.1. Weather Normal KW Customer'!$AT$19))))))))))</f>
        <v>0</v>
      </c>
      <c r="M35" s="682">
        <f>IF($B34=$F$59,+'7. Weather Normal kWh'!$C$24,IF($B34=$F$60,+'7. Weather Normal kWh'!$K$24,IF($B34=$F$61,+'7. Weather Normal kWh'!$S$25,IF($B34=$F$62,+'7. Weather Normal kWh'!$AA$24,IF($B34=$F$63,+'7. Weather Normal kWh'!$AI$24,IF($B34=$F$64,+'7.1. Weather Normal KW Customer'!$E$20,IF($B34=$F$65,+'7.1. Weather Normal KW Customer'!$P$20,IF($B34=$F$66,+'7.1. Weather Normal KW Customer'!$Z$20,IF($B34=$F$67,+'7.1. Weather Normal KW Customer'!$AJ$20,IF($B34=$F$68,+'7.1. Weather Normal KW Customer'!$AT$20))))))))))</f>
        <v>0</v>
      </c>
      <c r="N35" s="682">
        <f>IF($B34=$F$59,+'7. Weather Normal kWh'!$C$25,IF($B34=$F$60,+'7. Weather Normal kWh'!$K$25,IF($B34=$F$61,+'7. Weather Normal kWh'!$W$25,IF($B34=$F$62,+'7. Weather Normal kWh'!$AA$25,IF($B34=$F$63,+'7. Weather Normal kWh'!$AI$25,IF($B34=$F$64,+'7.1. Weather Normal KW Customer'!$E$21,IF($B34=$F$65,+'7.1. Weather Normal KW Customer'!$P$21,IF($B34=$F$66,+'7.1. Weather Normal KW Customer'!$Z$21,IF($B34=$F$67,+'7.1. Weather Normal KW Customer'!$AJ$21,IF($B34=$F$68,+'7.1. Weather Normal KW Customer'!$AT$21))))))))))</f>
        <v>0</v>
      </c>
      <c r="O35" s="685">
        <f>IF($B34=$F$59,+'7. Weather Normal kWh'!$H$37,IF($B34=$F$60,+'7. Weather Normal kWh'!$P$37,IF($B34=$F$61,+'7. Weather Normal kWh'!$X$37,IF($B34=$F$62,+'7. Weather Normal kWh'!$AF$37,IF($B34=$F$63,+'7. Weather Normal kWh'!$AN$37,IF($B34=$F$64,+'7.1. Weather Normal KW Customer'!$I$40,IF($B34=$F$65,+'7.1. Weather Normal KW Customer'!$T$40,IF($B34=$F$66,+'7.1. Weather Normal KW Customer'!$AD$40,IF($B34=$F$67,+'7.1. Weather Normal KW Customer'!$AN$40,IF($B34=$F$68,+'7.1. Weather Normal KW Customer'!$AX$40))))))))))</f>
        <v>0</v>
      </c>
      <c r="P35" s="686">
        <f>IF($B34=$F$59,+'7. Weather Normal kWh'!$H$38,IF($B34=$F$60,+'7. Weather Normal kWh'!$P$38,IF($B34=$F$61,+'7. Weather Normal kWh'!$X$38,IF($B34=$F$62,+'7. Weather Normal kWh'!$AF$38,IF($B34=$F$63,+'7. Weather Normal kWh'!$AN$38,IF($B34=$F$64,+'7.1. Weather Normal KW Customer'!$I$41,IF($B34=$F$65,+'7.1. Weather Normal KW Customer'!$T$41,IF($B34=$F$66,+'7.1. Weather Normal KW Customer'!$AD$41,IF($B34=$F$67,+'7.1. Weather Normal KW Customer'!$AN$41,IF($B34=$F$68,+'7.1. Weather Normal KW Customer'!$AX$41))))))))))</f>
        <v>0</v>
      </c>
    </row>
    <row r="36" spans="2:16" hidden="1" x14ac:dyDescent="0.2">
      <c r="B36" s="1255"/>
      <c r="C36" s="52"/>
      <c r="D36" s="52" t="s">
        <v>37</v>
      </c>
      <c r="E36" s="566">
        <f>IF(B$10=$F$64,+'7.1. Weather Normal KW Customer'!$F$12,IF($B34=$F$65,+'7.1. Weather Normal KW Customer'!$Q$12,IF($B34=$F$66,+'7.1. Weather Normal KW Customer'!$AA$12,IF($B34=$F$67,+'7.1. Weather Normal KW Customer'!$AK$12,+IF($B34=$F$68,+'7.1. Weather Normal KW Customer'!$AU$12,0)))))</f>
        <v>0</v>
      </c>
      <c r="F36" s="566">
        <f>IF($B34=$F$64,+'7.1. Weather Normal KW Customer'!$F$13,IF($B34=$F$65,+'7.1. Weather Normal KW Customer'!$Q$13,IF($B34=$F$66,+'7.1. Weather Normal KW Customer'!$AA$13,IF($B34=$F$67,+'7.1. Weather Normal KW Customer'!$AK$13,+IF($B34=$F$68,+'7.1. Weather Normal KW Customer'!$AU$13,0)))))</f>
        <v>0</v>
      </c>
      <c r="G36" s="566">
        <f>IF($B34=$F$64,+'7.1. Weather Normal KW Customer'!$F$14,IF($B34=$F$65,+'7.1. Weather Normal KW Customer'!$Q$14,IF($B34=$F$66,+'7.1. Weather Normal KW Customer'!$AA$14,IF($B34=$F$67,+'7.1. Weather Normal KW Customer'!$AK$14,+IF($B34=$F$68,+'7.1. Weather Normal KW Customer'!$AU$14,0)))))</f>
        <v>0</v>
      </c>
      <c r="H36" s="566">
        <f>IF($B34=$F$64,+'7.1. Weather Normal KW Customer'!$F$15,IF($B34=$F$65,+'7.1. Weather Normal KW Customer'!$Q$15,IF($B34=$F$66,+'7.1. Weather Normal KW Customer'!$AA$15,IF($B34=$F$67,+'7.1. Weather Normal KW Customer'!$AK$15,+IF($B34=$F$68,+'7.1. Weather Normal KW Customer'!$AU$15,0)))))</f>
        <v>0</v>
      </c>
      <c r="I36" s="566">
        <f>IF($B34=$F$64,+'7.1. Weather Normal KW Customer'!$F$16,IF($B34=$F$65,+'7.1. Weather Normal KW Customer'!$Q$16,IF($B34=$F$66,+'7.1. Weather Normal KW Customer'!$AA$16,IF($B34=$F$67,+'7.1. Weather Normal KW Customer'!$AK$16,+IF($B34=$F$68,+'7.1. Weather Normal KW Customer'!$AU$16,0)))))</f>
        <v>0</v>
      </c>
      <c r="J36" s="566">
        <f>IF($B34=$F$64,+'7.1. Weather Normal KW Customer'!$F$17,IF($B34=$F$65,+'7.1. Weather Normal KW Customer'!$Q$17,IF($B34=$F$66,+'7.1. Weather Normal KW Customer'!$AA$17,IF($B34=$F$67,+'7.1. Weather Normal KW Customer'!$AK$17,+IF($B34=$F$68,+'7.1. Weather Normal KW Customer'!$AU$17,0)))))</f>
        <v>0</v>
      </c>
      <c r="K36" s="566">
        <f>IF($B34=$F$64,+'7.1. Weather Normal KW Customer'!$F$18,IF($B34=$F$65,+'7.1. Weather Normal KW Customer'!$Q$18,IF($B34=$F$66,+'7.1. Weather Normal KW Customer'!$AA$18,IF($B34=$F$67,+'7.1. Weather Normal KW Customer'!$AK$18,+IF($B34=$F$68,+'7.1. Weather Normal KW Customer'!$AU$18,0)))))</f>
        <v>0</v>
      </c>
      <c r="L36" s="566">
        <f>IF($B34=$F$64,+'7.1. Weather Normal KW Customer'!$F$19,IF($B34=$F$65,+'7.1. Weather Normal KW Customer'!$Q$19,IF($B34=$F$66,+'7.1. Weather Normal KW Customer'!$AA$19,IF($B34=$F$67,+'7.1. Weather Normal KW Customer'!$AK$19,+IF($B34=$F$68,+'7.1. Weather Normal KW Customer'!$AU$19,0)))))</f>
        <v>0</v>
      </c>
      <c r="M36" s="566">
        <f>IF($B34=$F$64,+'7.1. Weather Normal KW Customer'!$F$20,IF($B34=$F$65,+'7.1. Weather Normal KW Customer'!$Q$20,IF($B34=$F$66,+'7.1. Weather Normal KW Customer'!$AA$20,IF($B34=$F$67,+'7.1. Weather Normal KW Customer'!$AK$20,+IF($B34=$F$68,+'7.1. Weather Normal KW Customer'!$AU$20,0)))))</f>
        <v>0</v>
      </c>
      <c r="N36" s="566">
        <f>IF($B34=$F$64,+'7.1. Weather Normal KW Customer'!$F$21,IF($B34=$F$65,+'7.1. Weather Normal KW Customer'!$Q$21,IF($B34=$F$66,+'7.1. Weather Normal KW Customer'!$AA$21,IF($B34=$F$67,+'7.1. Weather Normal KW Customer'!$AK$21,+IF($B34=$F$68,+'7.1. Weather Normal KW Customer'!$AU$21,0)))))</f>
        <v>0</v>
      </c>
      <c r="O36" s="566">
        <f>IF($B34=$F$64,+'7.1. Weather Normal KW Customer'!$J$40,IF($B34=$F$65,+'7.1. Weather Normal KW Customer'!$U$40,IF($B34=$F$66,+'7.1. Weather Normal KW Customer'!$AE$40,IF($B34=$F$67,+'7.1. Weather Normal KW Customer'!$AO$40,+IF($B34=$F$68,+'7.1. Weather Normal KW Customer'!$AY$40,0)))))</f>
        <v>0</v>
      </c>
      <c r="P36" s="684">
        <f>IF($B34=$F$64,+'7.1. Weather Normal KW Customer'!$J$41,IF($B34=$F$65,+'7.1. Weather Normal KW Customer'!$U$41,IF($B34=$F$66,+'7.1. Weather Normal KW Customer'!$AE$41,IF($B34=$F$67,+'7.1. Weather Normal KW Customer'!$AO$41,+IF($B34=$F$68,+'7.1. Weather Normal KW Customer'!$AY$41,0)))))</f>
        <v>0</v>
      </c>
    </row>
    <row r="37" spans="2:16" hidden="1" x14ac:dyDescent="0.2">
      <c r="B37" s="1255"/>
      <c r="C37" s="52"/>
      <c r="D37" s="52"/>
      <c r="E37" s="569"/>
      <c r="F37" s="569"/>
      <c r="G37" s="569"/>
      <c r="H37" s="569"/>
      <c r="I37" s="569"/>
      <c r="J37" s="569"/>
      <c r="K37" s="569"/>
      <c r="L37" s="569"/>
      <c r="M37" s="569"/>
      <c r="N37" s="569"/>
      <c r="O37" s="570"/>
      <c r="P37" s="571"/>
    </row>
    <row r="38" spans="2:16" hidden="1" x14ac:dyDescent="0.2">
      <c r="B38" s="1257" t="str">
        <f>'2. Customer Classes'!B12</f>
        <v>N/A</v>
      </c>
      <c r="C38" s="562"/>
      <c r="D38" s="52" t="s">
        <v>124</v>
      </c>
      <c r="E38" s="569"/>
      <c r="F38" s="569"/>
      <c r="G38" s="569"/>
      <c r="H38" s="569"/>
      <c r="I38" s="569"/>
      <c r="J38" s="569"/>
      <c r="K38" s="569"/>
      <c r="L38" s="569"/>
      <c r="M38" s="569"/>
      <c r="N38" s="569"/>
      <c r="O38" s="570"/>
      <c r="P38" s="571"/>
    </row>
    <row r="39" spans="2:16" hidden="1" x14ac:dyDescent="0.2">
      <c r="B39" s="1258"/>
      <c r="C39" s="563"/>
      <c r="D39" s="52" t="s">
        <v>36</v>
      </c>
      <c r="E39" s="569"/>
      <c r="F39" s="569"/>
      <c r="G39" s="569"/>
      <c r="H39" s="569"/>
      <c r="I39" s="569"/>
      <c r="J39" s="569"/>
      <c r="K39" s="569"/>
      <c r="L39" s="569"/>
      <c r="M39" s="569"/>
      <c r="N39" s="569"/>
      <c r="O39" s="570"/>
      <c r="P39" s="571"/>
    </row>
    <row r="40" spans="2:16" hidden="1" x14ac:dyDescent="0.2">
      <c r="B40" s="1258"/>
      <c r="C40" s="563"/>
      <c r="D40" s="52" t="s">
        <v>37</v>
      </c>
      <c r="E40" s="569"/>
      <c r="F40" s="569"/>
      <c r="G40" s="569"/>
      <c r="H40" s="569"/>
      <c r="I40" s="569"/>
      <c r="J40" s="569"/>
      <c r="K40" s="569"/>
      <c r="L40" s="569"/>
      <c r="M40" s="569"/>
      <c r="N40" s="569"/>
      <c r="O40" s="570"/>
      <c r="P40" s="571"/>
    </row>
    <row r="41" spans="2:16" hidden="1" x14ac:dyDescent="0.2">
      <c r="B41" s="1258"/>
      <c r="C41" s="563"/>
      <c r="D41" s="52"/>
      <c r="E41" s="569"/>
      <c r="F41" s="569"/>
      <c r="G41" s="569"/>
      <c r="H41" s="569"/>
      <c r="I41" s="569"/>
      <c r="J41" s="569"/>
      <c r="K41" s="569"/>
      <c r="L41" s="569"/>
      <c r="M41" s="569"/>
      <c r="N41" s="569"/>
      <c r="O41" s="570"/>
      <c r="P41" s="571"/>
    </row>
    <row r="42" spans="2:16" hidden="1" x14ac:dyDescent="0.2">
      <c r="B42" s="1257" t="str">
        <f>'2. Customer Classes'!B13</f>
        <v>other</v>
      </c>
      <c r="C42" s="562"/>
      <c r="D42" s="52" t="s">
        <v>124</v>
      </c>
      <c r="E42" s="569"/>
      <c r="F42" s="569"/>
      <c r="G42" s="569"/>
      <c r="H42" s="569"/>
      <c r="I42" s="569"/>
      <c r="J42" s="569"/>
      <c r="K42" s="569"/>
      <c r="L42" s="569"/>
      <c r="M42" s="569"/>
      <c r="N42" s="569"/>
      <c r="O42" s="570"/>
      <c r="P42" s="571"/>
    </row>
    <row r="43" spans="2:16" hidden="1" x14ac:dyDescent="0.2">
      <c r="B43" s="1258"/>
      <c r="C43" s="563"/>
      <c r="D43" s="52" t="s">
        <v>36</v>
      </c>
      <c r="E43" s="569"/>
      <c r="F43" s="569"/>
      <c r="G43" s="569"/>
      <c r="H43" s="569"/>
      <c r="I43" s="569"/>
      <c r="J43" s="569"/>
      <c r="K43" s="569"/>
      <c r="L43" s="569"/>
      <c r="M43" s="569"/>
      <c r="N43" s="569"/>
      <c r="O43" s="570"/>
      <c r="P43" s="571"/>
    </row>
    <row r="44" spans="2:16" hidden="1" x14ac:dyDescent="0.2">
      <c r="B44" s="1258"/>
      <c r="C44" s="563"/>
      <c r="D44" s="52" t="s">
        <v>37</v>
      </c>
      <c r="E44" s="569"/>
      <c r="F44" s="569"/>
      <c r="G44" s="569"/>
      <c r="H44" s="569"/>
      <c r="I44" s="569"/>
      <c r="J44" s="569"/>
      <c r="K44" s="569"/>
      <c r="L44" s="569"/>
      <c r="M44" s="569"/>
      <c r="N44" s="569"/>
      <c r="O44" s="570"/>
      <c r="P44" s="571"/>
    </row>
    <row r="45" spans="2:16" hidden="1" x14ac:dyDescent="0.2">
      <c r="B45" s="1258"/>
      <c r="C45" s="563"/>
      <c r="D45" s="52"/>
      <c r="E45" s="569"/>
      <c r="F45" s="569"/>
      <c r="G45" s="569"/>
      <c r="H45" s="569"/>
      <c r="I45" s="569"/>
      <c r="J45" s="569"/>
      <c r="K45" s="569"/>
      <c r="L45" s="569"/>
      <c r="M45" s="569"/>
      <c r="N45" s="569"/>
      <c r="O45" s="570"/>
      <c r="P45" s="571"/>
    </row>
    <row r="46" spans="2:16" hidden="1" x14ac:dyDescent="0.2">
      <c r="B46" s="1257" t="str">
        <f>'2. Customer Classes'!B14</f>
        <v>other</v>
      </c>
      <c r="C46" s="562"/>
      <c r="D46" s="52" t="s">
        <v>124</v>
      </c>
      <c r="E46" s="569"/>
      <c r="F46" s="569"/>
      <c r="G46" s="569"/>
      <c r="H46" s="569"/>
      <c r="I46" s="569"/>
      <c r="J46" s="569"/>
      <c r="K46" s="569"/>
      <c r="L46" s="569"/>
      <c r="M46" s="569"/>
      <c r="N46" s="569"/>
      <c r="O46" s="570"/>
      <c r="P46" s="571"/>
    </row>
    <row r="47" spans="2:16" hidden="1" x14ac:dyDescent="0.2">
      <c r="B47" s="1258"/>
      <c r="C47" s="563"/>
      <c r="D47" s="52" t="s">
        <v>36</v>
      </c>
      <c r="E47" s="566"/>
      <c r="F47" s="566"/>
      <c r="G47" s="566"/>
      <c r="H47" s="566"/>
      <c r="I47" s="566"/>
      <c r="J47" s="566"/>
      <c r="K47" s="566"/>
      <c r="L47" s="566"/>
      <c r="M47" s="566"/>
      <c r="N47" s="566"/>
      <c r="O47" s="567"/>
      <c r="P47" s="568"/>
    </row>
    <row r="48" spans="2:16" hidden="1" x14ac:dyDescent="0.2">
      <c r="B48" s="1258"/>
      <c r="C48" s="563"/>
      <c r="D48" s="52" t="s">
        <v>37</v>
      </c>
      <c r="E48" s="569"/>
      <c r="F48" s="569"/>
      <c r="G48" s="569"/>
      <c r="H48" s="569"/>
      <c r="I48" s="569"/>
      <c r="J48" s="569"/>
      <c r="K48" s="569"/>
      <c r="L48" s="569"/>
      <c r="M48" s="569"/>
      <c r="N48" s="569"/>
      <c r="O48" s="570"/>
      <c r="P48" s="571"/>
    </row>
    <row r="49" spans="2:16" ht="13.5" hidden="1" thickBot="1" x14ac:dyDescent="0.25">
      <c r="B49" s="1259"/>
      <c r="C49" s="643"/>
      <c r="D49" s="90"/>
      <c r="E49" s="644"/>
      <c r="F49" s="644"/>
      <c r="G49" s="644"/>
      <c r="H49" s="644"/>
      <c r="I49" s="644"/>
      <c r="J49" s="644"/>
      <c r="K49" s="644"/>
      <c r="L49" s="644"/>
      <c r="M49" s="644"/>
      <c r="N49" s="644"/>
      <c r="O49" s="645"/>
      <c r="P49" s="646"/>
    </row>
    <row r="50" spans="2:16" x14ac:dyDescent="0.2">
      <c r="B50" s="1260" t="s">
        <v>16</v>
      </c>
      <c r="C50" s="639"/>
      <c r="D50" s="640" t="s">
        <v>124</v>
      </c>
      <c r="E50" s="641">
        <f>E10+E14+E18+E22+E26+E30+E34+E38+E42+E46</f>
        <v>12460</v>
      </c>
      <c r="F50" s="641">
        <f t="shared" ref="F50:P50" si="0">F10+F14+F18+F22+F26+F30+F34+F38+F42+F46</f>
        <v>12952</v>
      </c>
      <c r="G50" s="641">
        <f t="shared" si="0"/>
        <v>13446</v>
      </c>
      <c r="H50" s="641">
        <f t="shared" si="0"/>
        <v>13908.5</v>
      </c>
      <c r="I50" s="641">
        <f t="shared" si="0"/>
        <v>14222</v>
      </c>
      <c r="J50" s="641">
        <f t="shared" si="0"/>
        <v>14447.5</v>
      </c>
      <c r="K50" s="641">
        <f t="shared" si="0"/>
        <v>14720</v>
      </c>
      <c r="L50" s="641">
        <f t="shared" si="0"/>
        <v>15058</v>
      </c>
      <c r="M50" s="641">
        <f t="shared" si="0"/>
        <v>15413</v>
      </c>
      <c r="N50" s="641">
        <f t="shared" si="0"/>
        <v>15681</v>
      </c>
      <c r="O50" s="641">
        <f t="shared" si="0"/>
        <v>15908.4</v>
      </c>
      <c r="P50" s="642">
        <f t="shared" si="0"/>
        <v>16157.858899999999</v>
      </c>
    </row>
    <row r="51" spans="2:16" x14ac:dyDescent="0.2">
      <c r="B51" s="1261"/>
      <c r="C51" s="564"/>
      <c r="D51" s="211" t="s">
        <v>36</v>
      </c>
      <c r="E51" s="574">
        <f>E11+E15+E19+E23+E27+E31+E35+E39+E43+E47</f>
        <v>104361983.96000001</v>
      </c>
      <c r="F51" s="572">
        <f t="shared" ref="F51:M51" si="1">F11+F15+F19+F23+F27+F31+F35+F39+F43+F47</f>
        <v>106422351.35000001</v>
      </c>
      <c r="G51" s="572">
        <f t="shared" si="1"/>
        <v>109546147.41600001</v>
      </c>
      <c r="H51" s="572">
        <f t="shared" si="1"/>
        <v>117173371.772</v>
      </c>
      <c r="I51" s="572">
        <f t="shared" si="1"/>
        <v>121083045.91800001</v>
      </c>
      <c r="J51" s="572">
        <f t="shared" si="1"/>
        <v>125814571.27</v>
      </c>
      <c r="K51" s="572">
        <f t="shared" si="1"/>
        <v>124253328</v>
      </c>
      <c r="L51" s="572">
        <f t="shared" si="1"/>
        <v>121706363.46424992</v>
      </c>
      <c r="M51" s="572">
        <f t="shared" si="1"/>
        <v>126042209.27012025</v>
      </c>
      <c r="N51" s="572">
        <f>N11+N15+N19+N23+N27+N31+N35+N39+N43+N47</f>
        <v>127011198.77517015</v>
      </c>
      <c r="O51" s="572">
        <f>O11+O15+O19+O23+O27+O31+O35+O39+O43+O47</f>
        <v>131337664.93972415</v>
      </c>
      <c r="P51" s="573">
        <f>P11+P15+P19+P23+P27+P31+P35+P39+P43+P47</f>
        <v>132401926.57688464</v>
      </c>
    </row>
    <row r="52" spans="2:16" ht="13.5" thickBot="1" x14ac:dyDescent="0.25">
      <c r="B52" s="212"/>
      <c r="C52" s="565"/>
      <c r="D52" s="213" t="s">
        <v>37</v>
      </c>
      <c r="E52" s="575">
        <f>E12+E16+E20+E24+E28+E32+E36+E40+E44+E48</f>
        <v>0</v>
      </c>
      <c r="F52" s="575">
        <f t="shared" ref="F52:O52" si="2">F12+F16+F20+F24+F28+F32+F36+F40+F44+F48</f>
        <v>0</v>
      </c>
      <c r="G52" s="575">
        <f t="shared" si="2"/>
        <v>0</v>
      </c>
      <c r="H52" s="575">
        <f t="shared" si="2"/>
        <v>0</v>
      </c>
      <c r="I52" s="575">
        <f t="shared" si="2"/>
        <v>55798.490000000005</v>
      </c>
      <c r="J52" s="575">
        <f>J12+J16+J20+J24+J28+J32+J36+J40+J44+J48</f>
        <v>56392.81</v>
      </c>
      <c r="K52" s="575">
        <f t="shared" si="2"/>
        <v>57558.6</v>
      </c>
      <c r="L52" s="575">
        <f t="shared" si="2"/>
        <v>59496.62</v>
      </c>
      <c r="M52" s="575">
        <f t="shared" si="2"/>
        <v>58733.759999999995</v>
      </c>
      <c r="N52" s="575">
        <f t="shared" si="2"/>
        <v>57495.83</v>
      </c>
      <c r="O52" s="575">
        <f t="shared" si="2"/>
        <v>58904.40139436187</v>
      </c>
      <c r="P52" s="576">
        <f>P12+P16+P20+P24+P28+P32+P36+P40+P44+P48</f>
        <v>59388.864851148326</v>
      </c>
    </row>
    <row r="54" spans="2:16" x14ac:dyDescent="0.2">
      <c r="E54" s="329"/>
      <c r="K54" s="782"/>
      <c r="L54" s="782"/>
      <c r="M54" s="782"/>
      <c r="N54" s="782"/>
      <c r="O54" s="782"/>
      <c r="P54" s="782"/>
    </row>
    <row r="55" spans="2:16" hidden="1" x14ac:dyDescent="0.2">
      <c r="M55" s="781"/>
      <c r="P55" s="782"/>
    </row>
    <row r="56" spans="2:16" hidden="1" x14ac:dyDescent="0.2"/>
    <row r="57" spans="2:16" hidden="1" x14ac:dyDescent="0.2"/>
    <row r="58" spans="2:16" hidden="1" x14ac:dyDescent="0.2">
      <c r="B58" s="1395" t="s">
        <v>194</v>
      </c>
      <c r="C58" s="1396"/>
      <c r="D58" s="1396"/>
      <c r="E58" s="1396"/>
      <c r="F58" s="1396"/>
      <c r="G58" s="1396"/>
      <c r="H58" s="1397"/>
    </row>
    <row r="59" spans="2:16" hidden="1" x14ac:dyDescent="0.2">
      <c r="B59" s="401" t="str">
        <f>+'7. Weather Normal kWh'!B14</f>
        <v>Residential</v>
      </c>
      <c r="C59" s="403"/>
      <c r="D59" s="402" t="s">
        <v>193</v>
      </c>
      <c r="E59" s="403" t="s">
        <v>192</v>
      </c>
      <c r="F59" s="403" t="str">
        <f t="shared" ref="F59:F67" si="3">+CONCATENATE(B59,D59,E59)</f>
        <v>Residential-WN</v>
      </c>
      <c r="G59" s="404"/>
      <c r="H59" s="405"/>
    </row>
    <row r="60" spans="2:16" hidden="1" x14ac:dyDescent="0.2">
      <c r="B60" s="406" t="str">
        <f>+'7. Weather Normal kWh'!J14</f>
        <v>General Service &lt; 50 kW</v>
      </c>
      <c r="C60" s="408"/>
      <c r="D60" s="407" t="s">
        <v>193</v>
      </c>
      <c r="E60" s="408" t="s">
        <v>192</v>
      </c>
      <c r="F60" s="408" t="str">
        <f t="shared" si="3"/>
        <v>General Service &lt; 50 kW-WN</v>
      </c>
      <c r="G60" s="409"/>
      <c r="H60" s="410"/>
    </row>
    <row r="61" spans="2:16" hidden="1" x14ac:dyDescent="0.2">
      <c r="B61" s="406" t="str">
        <f>+'7. Weather Normal kWh'!R14</f>
        <v>Unmetered Scattered Load</v>
      </c>
      <c r="C61" s="408"/>
      <c r="D61" s="407" t="s">
        <v>193</v>
      </c>
      <c r="E61" s="408" t="s">
        <v>192</v>
      </c>
      <c r="F61" s="408" t="str">
        <f t="shared" si="3"/>
        <v>Unmetered Scattered Load-WN</v>
      </c>
      <c r="G61" s="409"/>
      <c r="H61" s="410"/>
    </row>
    <row r="62" spans="2:16" hidden="1" x14ac:dyDescent="0.2">
      <c r="B62" s="406" t="str">
        <f>+'7. Weather Normal kWh'!Z14</f>
        <v>N/A</v>
      </c>
      <c r="C62" s="408"/>
      <c r="D62" s="407" t="s">
        <v>193</v>
      </c>
      <c r="E62" s="408" t="s">
        <v>192</v>
      </c>
      <c r="F62" s="408" t="str">
        <f t="shared" si="3"/>
        <v>N/A-WN</v>
      </c>
      <c r="G62" s="409"/>
      <c r="H62" s="410"/>
    </row>
    <row r="63" spans="2:16" hidden="1" x14ac:dyDescent="0.2">
      <c r="B63" s="406" t="str">
        <f>+'7. Weather Normal kWh'!AH14</f>
        <v>N/A</v>
      </c>
      <c r="C63" s="408"/>
      <c r="D63" s="407" t="s">
        <v>193</v>
      </c>
      <c r="E63" s="408" t="s">
        <v>192</v>
      </c>
      <c r="F63" s="408" t="str">
        <f t="shared" si="3"/>
        <v>N/A-WN</v>
      </c>
      <c r="G63" s="409"/>
      <c r="H63" s="410"/>
    </row>
    <row r="64" spans="2:16" hidden="1" x14ac:dyDescent="0.2">
      <c r="B64" s="406" t="str">
        <f>+'7.1. Weather Normal KW Customer'!B9</f>
        <v>General Service &gt; 50 kW - 4999 kW - Excluding Wholesale Market Participant</v>
      </c>
      <c r="C64" s="408"/>
      <c r="D64" s="407" t="s">
        <v>193</v>
      </c>
      <c r="E64" s="408" t="s">
        <v>236</v>
      </c>
      <c r="F64" s="408" t="str">
        <f t="shared" si="3"/>
        <v>General Service &gt; 50 kW - 4999 kW - Excluding Wholesale Market Participant-Non-WN/kW</v>
      </c>
      <c r="G64" s="409"/>
      <c r="H64" s="410"/>
    </row>
    <row r="65" spans="2:8" hidden="1" x14ac:dyDescent="0.2">
      <c r="B65" s="406" t="str">
        <f>+'7.1. Weather Normal KW Customer'!M9</f>
        <v>General Service &gt; 50 kW - 4999 kW - Wholesale Market Participant</v>
      </c>
      <c r="C65" s="408"/>
      <c r="D65" s="407" t="s">
        <v>193</v>
      </c>
      <c r="E65" s="408" t="s">
        <v>236</v>
      </c>
      <c r="F65" s="408" t="str">
        <f t="shared" si="3"/>
        <v>General Service &gt; 50 kW - 4999 kW - Wholesale Market Participant-Non-WN/kW</v>
      </c>
      <c r="G65" s="409"/>
      <c r="H65" s="410"/>
    </row>
    <row r="66" spans="2:8" hidden="1" x14ac:dyDescent="0.2">
      <c r="B66" s="406" t="str">
        <f>+'7.1. Weather Normal KW Customer'!W9</f>
        <v>Streetlighting</v>
      </c>
      <c r="C66" s="408"/>
      <c r="D66" s="407" t="s">
        <v>193</v>
      </c>
      <c r="E66" s="408" t="s">
        <v>236</v>
      </c>
      <c r="F66" s="408" t="str">
        <f t="shared" si="3"/>
        <v>Streetlighting-Non-WN/kW</v>
      </c>
      <c r="G66" s="409"/>
      <c r="H66" s="410"/>
    </row>
    <row r="67" spans="2:8" hidden="1" x14ac:dyDescent="0.2">
      <c r="B67" s="406" t="str">
        <f>+'7.1. Weather Normal KW Customer'!AG9</f>
        <v>N/A</v>
      </c>
      <c r="C67" s="408"/>
      <c r="D67" s="407" t="s">
        <v>193</v>
      </c>
      <c r="E67" s="408" t="s">
        <v>236</v>
      </c>
      <c r="F67" s="408" t="str">
        <f t="shared" si="3"/>
        <v>N/A-Non-WN/kW</v>
      </c>
      <c r="G67" s="409"/>
      <c r="H67" s="410"/>
    </row>
    <row r="68" spans="2:8" hidden="1" x14ac:dyDescent="0.2">
      <c r="B68" s="411" t="str">
        <f>+'7.1. Weather Normal KW Customer'!AQ9</f>
        <v>N/A</v>
      </c>
      <c r="C68" s="413"/>
      <c r="D68" s="412" t="s">
        <v>193</v>
      </c>
      <c r="E68" s="413" t="s">
        <v>236</v>
      </c>
      <c r="F68" s="413" t="str">
        <f t="shared" ref="F68" si="4">+CONCATENATE(B68,D68,E68)</f>
        <v>N/A-Non-WN/kW</v>
      </c>
      <c r="G68" s="414"/>
      <c r="H68" s="415"/>
    </row>
    <row r="69" spans="2:8" hidden="1" x14ac:dyDescent="0.2"/>
    <row r="70" spans="2:8" hidden="1" x14ac:dyDescent="0.2"/>
    <row r="71" spans="2:8" hidden="1" x14ac:dyDescent="0.2"/>
  </sheetData>
  <mergeCells count="1">
    <mergeCell ref="B58:H58"/>
  </mergeCells>
  <dataValidations count="1">
    <dataValidation type="list" allowBlank="1" showInputMessage="1" showErrorMessage="1" sqref="B10 B30 B26 B22 B18 B14 B34">
      <formula1>$F$59:$F$68</formula1>
    </dataValidation>
  </dataValidations>
  <pageMargins left="0.7" right="0.7" top="0.75" bottom="0.75" header="0.3" footer="0.3"/>
  <pageSetup scale="50" orientation="landscape" horizontalDpi="4294967293" r:id="rId1"/>
  <colBreaks count="1" manualBreakCount="1">
    <brk id="16" max="1048575" man="1"/>
  </colBreaks>
  <ignoredErrors>
    <ignoredError sqref="C10" unlockedFormula="1"/>
  </ignoredError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0"/>
  <sheetViews>
    <sheetView showGridLines="0" zoomScaleNormal="100" workbookViewId="0"/>
  </sheetViews>
  <sheetFormatPr defaultColWidth="17.5" defaultRowHeight="12.75" x14ac:dyDescent="0.2"/>
  <cols>
    <col min="1" max="1" width="17.5" style="104" customWidth="1"/>
    <col min="2" max="2" width="36.1640625" style="104" customWidth="1"/>
    <col min="3" max="3" width="34.1640625" style="104" customWidth="1"/>
    <col min="4" max="7" width="25.83203125" style="104" customWidth="1"/>
    <col min="8" max="8" width="19.83203125" style="104" customWidth="1"/>
    <col min="9" max="9" width="23.33203125" style="104" bestFit="1" customWidth="1"/>
    <col min="10" max="10" width="27.1640625" style="104" customWidth="1"/>
    <col min="11" max="12" width="21.83203125" style="104" bestFit="1" customWidth="1"/>
    <col min="13" max="13" width="17.5" style="104"/>
    <col min="14" max="14" width="21" style="104" bestFit="1" customWidth="1"/>
    <col min="15" max="16384" width="17.5" style="104"/>
  </cols>
  <sheetData>
    <row r="1" spans="1:13" s="101" customFormat="1" ht="15.75" x14ac:dyDescent="0.25">
      <c r="A1" s="104"/>
      <c r="B1" s="1018"/>
      <c r="C1" s="1019"/>
      <c r="D1" s="1019"/>
      <c r="E1" s="1019"/>
      <c r="H1" s="103"/>
    </row>
    <row r="2" spans="1:13" ht="18" hidden="1" x14ac:dyDescent="0.25">
      <c r="B2" s="1416" t="s">
        <v>415</v>
      </c>
      <c r="C2" s="1416"/>
      <c r="D2" s="1416"/>
      <c r="E2" s="1416"/>
      <c r="F2" s="1416"/>
      <c r="G2" s="1416"/>
      <c r="H2" s="1416"/>
      <c r="I2" s="1416"/>
    </row>
    <row r="3" spans="1:13" ht="15" hidden="1" x14ac:dyDescent="0.25">
      <c r="B3" s="451"/>
      <c r="C3" s="451"/>
      <c r="D3" s="451"/>
      <c r="E3" s="451"/>
      <c r="F3" s="451"/>
      <c r="G3" s="451"/>
      <c r="H3" s="451"/>
      <c r="I3" s="451"/>
    </row>
    <row r="4" spans="1:13" ht="15" hidden="1" x14ac:dyDescent="0.25">
      <c r="B4" s="451"/>
      <c r="C4" s="451"/>
      <c r="D4" s="451"/>
      <c r="E4" s="451"/>
      <c r="F4" s="451"/>
      <c r="G4" s="451"/>
      <c r="H4" s="451"/>
      <c r="I4" s="451"/>
    </row>
    <row r="5" spans="1:13" ht="66.75" hidden="1" customHeight="1" x14ac:dyDescent="0.2">
      <c r="B5" s="1417" t="s">
        <v>223</v>
      </c>
      <c r="C5" s="1418"/>
      <c r="D5" s="1418"/>
      <c r="E5" s="1418"/>
      <c r="F5" s="1418"/>
      <c r="G5" s="1418"/>
      <c r="H5" s="1418"/>
      <c r="I5" s="1418"/>
      <c r="J5" s="105"/>
      <c r="K5" s="106"/>
      <c r="L5" s="107"/>
      <c r="M5" s="107"/>
    </row>
    <row r="6" spans="1:13" ht="15" hidden="1" x14ac:dyDescent="0.25">
      <c r="B6" s="451"/>
      <c r="C6" s="451"/>
      <c r="D6" s="451"/>
      <c r="E6" s="451"/>
      <c r="F6" s="451"/>
      <c r="G6" s="451"/>
      <c r="H6" s="451"/>
      <c r="I6" s="451"/>
      <c r="J6" s="102"/>
      <c r="K6" s="106"/>
      <c r="L6" s="107"/>
      <c r="M6" s="107"/>
    </row>
    <row r="7" spans="1:13" ht="15" hidden="1" x14ac:dyDescent="0.25">
      <c r="B7" s="451"/>
      <c r="C7" s="451"/>
      <c r="D7" s="451"/>
      <c r="E7" s="451"/>
      <c r="F7" s="451"/>
      <c r="G7" s="451"/>
      <c r="H7" s="451"/>
      <c r="I7" s="451"/>
    </row>
    <row r="8" spans="1:13" ht="18.75" hidden="1" x14ac:dyDescent="0.2">
      <c r="B8" s="1399" t="s">
        <v>212</v>
      </c>
      <c r="C8" s="1399"/>
      <c r="D8" s="1399"/>
      <c r="E8" s="1399"/>
      <c r="F8" s="1399"/>
      <c r="G8" s="1399"/>
      <c r="H8" s="1399"/>
      <c r="I8" s="1399"/>
    </row>
    <row r="9" spans="1:13" ht="15" x14ac:dyDescent="0.25">
      <c r="B9" s="451"/>
      <c r="C9" s="451"/>
      <c r="D9" s="451"/>
      <c r="E9" s="451"/>
      <c r="F9" s="451"/>
      <c r="G9" s="451"/>
      <c r="H9" s="451"/>
      <c r="I9" s="451"/>
    </row>
    <row r="10" spans="1:13" ht="15" x14ac:dyDescent="0.25">
      <c r="B10" s="452"/>
      <c r="C10" s="523"/>
      <c r="D10" s="523"/>
      <c r="E10" s="523"/>
      <c r="F10" s="523"/>
      <c r="G10" s="523"/>
      <c r="H10" s="451"/>
      <c r="I10" s="451"/>
    </row>
    <row r="11" spans="1:13" ht="15" hidden="1" x14ac:dyDescent="0.25">
      <c r="B11" s="1406" t="s">
        <v>47</v>
      </c>
      <c r="C11" s="1407"/>
      <c r="D11" s="1407"/>
      <c r="E11" s="1407"/>
      <c r="F11" s="1407"/>
      <c r="G11" s="1408"/>
      <c r="H11" s="1412" t="s">
        <v>606</v>
      </c>
      <c r="I11" s="1413"/>
    </row>
    <row r="12" spans="1:13" ht="12.75" hidden="1" customHeight="1" x14ac:dyDescent="0.25">
      <c r="B12" s="1403">
        <v>4010000</v>
      </c>
      <c r="C12" s="1404"/>
      <c r="D12" s="1404"/>
      <c r="E12" s="1404"/>
      <c r="F12" s="1404"/>
      <c r="G12" s="1405"/>
      <c r="H12" s="1414"/>
      <c r="I12" s="1415"/>
    </row>
    <row r="13" spans="1:13" ht="15" hidden="1" x14ac:dyDescent="0.25">
      <c r="B13" s="453"/>
      <c r="C13" s="454">
        <v>2011</v>
      </c>
      <c r="D13" s="454">
        <v>2012</v>
      </c>
      <c r="E13" s="454">
        <v>2013</v>
      </c>
      <c r="F13" s="454">
        <v>2014</v>
      </c>
      <c r="G13" s="455" t="s">
        <v>16</v>
      </c>
      <c r="H13" s="1023">
        <v>2015</v>
      </c>
      <c r="I13" s="1022">
        <v>2016</v>
      </c>
    </row>
    <row r="14" spans="1:13" ht="15" hidden="1" x14ac:dyDescent="0.25">
      <c r="B14" s="524" t="s">
        <v>48</v>
      </c>
      <c r="C14" s="771">
        <f>C20/$G$24</f>
        <v>7.3350650775999532E-2</v>
      </c>
      <c r="D14" s="456">
        <f>D20/$G$24</f>
        <v>7.2744697824319957E-2</v>
      </c>
      <c r="E14" s="456">
        <f>E20/$G$24</f>
        <v>7.2744697824319957E-2</v>
      </c>
      <c r="F14" s="457">
        <f>F20/$G$24</f>
        <v>7.2744697824319957E-2</v>
      </c>
      <c r="G14" s="458">
        <f>SUM(C14:F14)</f>
        <v>0.29158474424895942</v>
      </c>
      <c r="H14" s="1024"/>
      <c r="I14" s="1020"/>
    </row>
    <row r="15" spans="1:13" ht="15" hidden="1" x14ac:dyDescent="0.25">
      <c r="B15" s="524" t="s">
        <v>49</v>
      </c>
      <c r="C15" s="525"/>
      <c r="D15" s="456">
        <f>D21/$G$24</f>
        <v>0.14187873441494067</v>
      </c>
      <c r="E15" s="456">
        <f>E21/$G$24</f>
        <v>0.14165261925508099</v>
      </c>
      <c r="F15" s="457">
        <f>F21/$G$24</f>
        <v>0.14165261925508099</v>
      </c>
      <c r="G15" s="458">
        <f>SUM(C15:F15)</f>
        <v>0.42518397292510268</v>
      </c>
      <c r="H15" s="1024"/>
      <c r="I15" s="1020"/>
    </row>
    <row r="16" spans="1:13" ht="15" hidden="1" x14ac:dyDescent="0.25">
      <c r="B16" s="524" t="s">
        <v>50</v>
      </c>
      <c r="C16" s="525"/>
      <c r="D16" s="525"/>
      <c r="E16" s="456">
        <f>E22/$G$24</f>
        <v>5.1424165061657603E-2</v>
      </c>
      <c r="F16" s="457">
        <f>F22/$G$24</f>
        <v>5.2255856176671535E-2</v>
      </c>
      <c r="G16" s="458">
        <f>SUM(C16:F16)</f>
        <v>0.10368002123832915</v>
      </c>
      <c r="H16" s="1024"/>
      <c r="I16" s="1020"/>
    </row>
    <row r="17" spans="2:9" ht="15.75" hidden="1" thickBot="1" x14ac:dyDescent="0.3">
      <c r="B17" s="526" t="s">
        <v>51</v>
      </c>
      <c r="C17" s="527"/>
      <c r="D17" s="527"/>
      <c r="E17" s="527"/>
      <c r="F17" s="459">
        <f>F23/$G$24</f>
        <v>0.17955126158760887</v>
      </c>
      <c r="G17" s="460">
        <f>SUM(C17:F17)</f>
        <v>0.17955126158760887</v>
      </c>
      <c r="H17" s="1024"/>
      <c r="I17" s="1020"/>
    </row>
    <row r="18" spans="2:9" ht="19.5" hidden="1" customHeight="1" thickTop="1" x14ac:dyDescent="0.25">
      <c r="B18" s="461" t="s">
        <v>52</v>
      </c>
      <c r="C18" s="462">
        <f>SUM(C14:C17)</f>
        <v>7.3350650775999532E-2</v>
      </c>
      <c r="D18" s="462">
        <f t="shared" ref="D18:F18" si="0">SUM(D14:D17)</f>
        <v>0.21462343223926061</v>
      </c>
      <c r="E18" s="462">
        <f t="shared" si="0"/>
        <v>0.26582148214105855</v>
      </c>
      <c r="F18" s="463">
        <f t="shared" si="0"/>
        <v>0.44620443484368139</v>
      </c>
      <c r="G18" s="464">
        <f>SUM(C18:F18)</f>
        <v>1</v>
      </c>
      <c r="H18" s="1024"/>
      <c r="I18" s="1020"/>
    </row>
    <row r="19" spans="2:9" ht="12.75" hidden="1" customHeight="1" x14ac:dyDescent="0.25">
      <c r="B19" s="1409" t="s">
        <v>36</v>
      </c>
      <c r="C19" s="1410"/>
      <c r="D19" s="1410"/>
      <c r="E19" s="1410"/>
      <c r="F19" s="1410"/>
      <c r="G19" s="1411"/>
      <c r="H19" s="1024"/>
      <c r="I19" s="1020"/>
    </row>
    <row r="20" spans="2:9" ht="15" hidden="1" x14ac:dyDescent="0.25">
      <c r="B20" s="524" t="s">
        <v>48</v>
      </c>
      <c r="C20" s="465">
        <f>293578+25510</f>
        <v>319088</v>
      </c>
      <c r="D20" s="465">
        <f>293578+25510-2636</f>
        <v>316452</v>
      </c>
      <c r="E20" s="465">
        <f>+D20</f>
        <v>316452</v>
      </c>
      <c r="F20" s="449">
        <f>+E20</f>
        <v>316452</v>
      </c>
      <c r="G20" s="466">
        <f>SUM(C20:F20)</f>
        <v>1268444</v>
      </c>
      <c r="H20" s="1024"/>
      <c r="I20" s="1020"/>
    </row>
    <row r="21" spans="2:9" ht="15" hidden="1" x14ac:dyDescent="0.25">
      <c r="B21" s="524" t="s">
        <v>49</v>
      </c>
      <c r="C21" s="467"/>
      <c r="D21" s="468">
        <f>599530+984+2342+14341</f>
        <v>617197</v>
      </c>
      <c r="E21" s="468">
        <f>600514+2342.36-984+14341</f>
        <v>616213.36</v>
      </c>
      <c r="F21" s="450">
        <f>E21</f>
        <v>616213.36</v>
      </c>
      <c r="G21" s="466">
        <f t="shared" ref="G21:G23" si="1">SUM(C21:F21)</f>
        <v>1849623.7199999997</v>
      </c>
      <c r="H21" s="1024"/>
      <c r="I21" s="1020"/>
    </row>
    <row r="22" spans="2:9" ht="15" hidden="1" x14ac:dyDescent="0.25">
      <c r="B22" s="524" t="s">
        <v>50</v>
      </c>
      <c r="C22" s="467"/>
      <c r="D22" s="467"/>
      <c r="E22" s="468">
        <f>222787+917</f>
        <v>223704</v>
      </c>
      <c r="F22" s="450">
        <f>+E22-917+4535</f>
        <v>227322</v>
      </c>
      <c r="G22" s="466">
        <f t="shared" si="1"/>
        <v>451026</v>
      </c>
      <c r="H22" s="1024"/>
      <c r="I22" s="1020"/>
    </row>
    <row r="23" spans="2:9" ht="15.75" hidden="1" thickBot="1" x14ac:dyDescent="0.3">
      <c r="B23" s="526" t="s">
        <v>51</v>
      </c>
      <c r="C23" s="469"/>
      <c r="D23" s="469"/>
      <c r="E23" s="469"/>
      <c r="F23" s="772">
        <f>781079</f>
        <v>781079</v>
      </c>
      <c r="G23" s="470">
        <f t="shared" si="1"/>
        <v>781079</v>
      </c>
      <c r="H23" s="1230">
        <f>'X.2.CDM Data Extraction'!L40</f>
        <v>786429.53201280301</v>
      </c>
      <c r="I23" s="1231">
        <f>'X.2.CDM Data Extraction'!M40</f>
        <v>688331.92743635143</v>
      </c>
    </row>
    <row r="24" spans="2:9" ht="16.5" hidden="1" thickTop="1" thickBot="1" x14ac:dyDescent="0.3">
      <c r="B24" s="471" t="s">
        <v>52</v>
      </c>
      <c r="C24" s="472">
        <f>SUM(C20:C23)</f>
        <v>319088</v>
      </c>
      <c r="D24" s="472">
        <f t="shared" ref="D24:E24" si="2">SUM(D20:D23)</f>
        <v>933649</v>
      </c>
      <c r="E24" s="472">
        <f t="shared" si="2"/>
        <v>1156369.3599999999</v>
      </c>
      <c r="F24" s="473">
        <f>SUM(F20:F23)</f>
        <v>1941066.3599999999</v>
      </c>
      <c r="G24" s="474">
        <f>SUM(G20:G23)</f>
        <v>4350172.72</v>
      </c>
      <c r="H24" s="1025"/>
      <c r="I24" s="1021"/>
    </row>
    <row r="25" spans="2:9" ht="15" x14ac:dyDescent="0.25">
      <c r="B25" s="475"/>
      <c r="C25" s="476"/>
      <c r="D25" s="476"/>
      <c r="E25" s="476"/>
      <c r="F25" s="476"/>
      <c r="G25" s="476"/>
      <c r="H25" s="451"/>
      <c r="I25" s="451"/>
    </row>
    <row r="26" spans="2:9" s="426" customFormat="1" ht="18.75" x14ac:dyDescent="0.25">
      <c r="B26" s="1399" t="s">
        <v>197</v>
      </c>
      <c r="C26" s="1399"/>
      <c r="D26" s="1399"/>
      <c r="E26" s="1399"/>
      <c r="F26" s="1399"/>
      <c r="G26" s="1399"/>
      <c r="H26" s="451"/>
      <c r="I26" s="451"/>
    </row>
    <row r="27" spans="2:9" s="426" customFormat="1" ht="15" x14ac:dyDescent="0.25">
      <c r="B27" s="475"/>
      <c r="C27" s="476"/>
      <c r="D27" s="476"/>
      <c r="E27" s="476"/>
      <c r="F27" s="476"/>
      <c r="G27" s="476"/>
      <c r="H27" s="451"/>
      <c r="I27" s="451"/>
    </row>
    <row r="28" spans="2:9" s="426" customFormat="1" ht="15" customHeight="1" x14ac:dyDescent="0.2">
      <c r="B28" s="1398" t="s">
        <v>198</v>
      </c>
      <c r="C28" s="1398"/>
      <c r="D28" s="1398"/>
      <c r="E28" s="1398"/>
      <c r="F28" s="1398"/>
      <c r="G28" s="1398"/>
      <c r="H28" s="1398"/>
      <c r="I28" s="1398"/>
    </row>
    <row r="29" spans="2:9" s="426" customFormat="1" ht="15.75" thickBot="1" x14ac:dyDescent="0.3">
      <c r="B29" s="475"/>
      <c r="C29" s="476"/>
      <c r="D29" s="476"/>
      <c r="E29" s="476"/>
      <c r="F29" s="476"/>
      <c r="G29" s="476"/>
      <c r="H29" s="451"/>
      <c r="I29" s="451"/>
    </row>
    <row r="30" spans="2:9" s="426" customFormat="1" ht="15" x14ac:dyDescent="0.2">
      <c r="B30" s="1400" t="s">
        <v>199</v>
      </c>
      <c r="C30" s="1401"/>
      <c r="D30" s="1401"/>
      <c r="E30" s="1401"/>
      <c r="F30" s="1401"/>
      <c r="G30" s="1401"/>
      <c r="H30" s="1401"/>
      <c r="I30" s="1402"/>
    </row>
    <row r="31" spans="2:9" s="426" customFormat="1" ht="15" x14ac:dyDescent="0.2">
      <c r="B31" s="1431">
        <f>6300000</f>
        <v>6300000</v>
      </c>
      <c r="C31" s="1432"/>
      <c r="D31" s="1432"/>
      <c r="E31" s="1432"/>
      <c r="F31" s="1432"/>
      <c r="G31" s="1432"/>
      <c r="H31" s="1432"/>
      <c r="I31" s="1433"/>
    </row>
    <row r="32" spans="2:9" s="426" customFormat="1" ht="15" x14ac:dyDescent="0.25">
      <c r="B32" s="477"/>
      <c r="C32" s="478">
        <v>2015</v>
      </c>
      <c r="D32" s="478">
        <v>2016</v>
      </c>
      <c r="E32" s="478">
        <v>2017</v>
      </c>
      <c r="F32" s="478">
        <v>2018</v>
      </c>
      <c r="G32" s="478">
        <v>2019</v>
      </c>
      <c r="H32" s="478">
        <v>2020</v>
      </c>
      <c r="I32" s="479" t="s">
        <v>16</v>
      </c>
    </row>
    <row r="33" spans="2:12" s="426" customFormat="1" ht="15" customHeight="1" x14ac:dyDescent="0.2">
      <c r="B33" s="1420" t="s">
        <v>200</v>
      </c>
      <c r="C33" s="1421"/>
      <c r="D33" s="1421"/>
      <c r="E33" s="1421"/>
      <c r="F33" s="1421"/>
      <c r="G33" s="1421"/>
      <c r="H33" s="1421"/>
      <c r="I33" s="1422"/>
    </row>
    <row r="34" spans="2:12" s="426" customFormat="1" ht="15" x14ac:dyDescent="0.25">
      <c r="B34" s="524" t="s">
        <v>201</v>
      </c>
      <c r="C34" s="456">
        <f>C42/$I$48</f>
        <v>0.1852265895678995</v>
      </c>
      <c r="D34" s="528"/>
      <c r="E34" s="528"/>
      <c r="F34" s="528"/>
      <c r="G34" s="528"/>
      <c r="H34" s="529"/>
      <c r="I34" s="458">
        <f>SUM(C34:H34)</f>
        <v>0.1852265895678995</v>
      </c>
    </row>
    <row r="35" spans="2:12" s="426" customFormat="1" ht="15" customHeight="1" x14ac:dyDescent="0.25">
      <c r="B35" s="524" t="s">
        <v>202</v>
      </c>
      <c r="C35" s="525"/>
      <c r="D35" s="456">
        <f>D43/$I$48</f>
        <v>7.3867052160502517E-2</v>
      </c>
      <c r="E35" s="528"/>
      <c r="F35" s="528"/>
      <c r="G35" s="528"/>
      <c r="H35" s="529"/>
      <c r="I35" s="458">
        <f>SUM(C35:H35)</f>
        <v>7.3867052160502517E-2</v>
      </c>
    </row>
    <row r="36" spans="2:12" s="426" customFormat="1" ht="15" x14ac:dyDescent="0.25">
      <c r="B36" s="524" t="s">
        <v>203</v>
      </c>
      <c r="C36" s="525"/>
      <c r="D36" s="525"/>
      <c r="E36" s="456">
        <f>E44/$I$48</f>
        <v>0.1852265895678995</v>
      </c>
      <c r="F36" s="528"/>
      <c r="G36" s="528"/>
      <c r="H36" s="529"/>
      <c r="I36" s="458">
        <f>SUM(C36:H36)</f>
        <v>0.1852265895678995</v>
      </c>
    </row>
    <row r="37" spans="2:12" s="426" customFormat="1" ht="15" x14ac:dyDescent="0.25">
      <c r="B37" s="524" t="s">
        <v>204</v>
      </c>
      <c r="C37" s="525"/>
      <c r="D37" s="525"/>
      <c r="E37" s="456"/>
      <c r="F37" s="456">
        <f>F45/$I$48</f>
        <v>0.1852265895678995</v>
      </c>
      <c r="G37" s="528"/>
      <c r="H37" s="529"/>
      <c r="I37" s="458">
        <f>SUM(F37:H37)</f>
        <v>0.1852265895678995</v>
      </c>
    </row>
    <row r="38" spans="2:12" s="426" customFormat="1" ht="15" x14ac:dyDescent="0.25">
      <c r="B38" s="524" t="s">
        <v>205</v>
      </c>
      <c r="C38" s="525"/>
      <c r="D38" s="525"/>
      <c r="E38" s="456"/>
      <c r="F38" s="456"/>
      <c r="G38" s="456">
        <f>G46/$I$48</f>
        <v>0.1852265895678995</v>
      </c>
      <c r="H38" s="529"/>
      <c r="I38" s="458">
        <f>SUM(G38:H38)</f>
        <v>0.1852265895678995</v>
      </c>
    </row>
    <row r="39" spans="2:12" s="426" customFormat="1" ht="15.75" thickBot="1" x14ac:dyDescent="0.3">
      <c r="B39" s="526" t="s">
        <v>206</v>
      </c>
      <c r="C39" s="527"/>
      <c r="D39" s="527"/>
      <c r="E39" s="527"/>
      <c r="F39" s="527"/>
      <c r="G39" s="527"/>
      <c r="H39" s="459">
        <f>H47/$I$48</f>
        <v>0.1852265895678995</v>
      </c>
      <c r="I39" s="460">
        <f>SUM(C39:H39)</f>
        <v>0.1852265895678995</v>
      </c>
    </row>
    <row r="40" spans="2:12" s="426" customFormat="1" ht="15.75" thickTop="1" x14ac:dyDescent="0.25">
      <c r="B40" s="480" t="s">
        <v>52</v>
      </c>
      <c r="C40" s="481">
        <f>SUM(C34:C39)</f>
        <v>0.1852265895678995</v>
      </c>
      <c r="D40" s="481">
        <f>SUM(D34:D39)</f>
        <v>7.3867052160502517E-2</v>
      </c>
      <c r="E40" s="481">
        <f>SUM(E34:E39)</f>
        <v>0.1852265895678995</v>
      </c>
      <c r="F40" s="481">
        <f>SUM(F34:F37)</f>
        <v>0.1852265895678995</v>
      </c>
      <c r="G40" s="481">
        <f>SUM(G34:G38)</f>
        <v>0.1852265895678995</v>
      </c>
      <c r="H40" s="482">
        <f>SUM(H34:H39)</f>
        <v>0.1852265895678995</v>
      </c>
      <c r="I40" s="483">
        <f>SUM(C40:H40)</f>
        <v>1</v>
      </c>
    </row>
    <row r="41" spans="2:12" s="426" customFormat="1" ht="15" x14ac:dyDescent="0.2">
      <c r="B41" s="1409" t="s">
        <v>36</v>
      </c>
      <c r="C41" s="1410"/>
      <c r="D41" s="1410"/>
      <c r="E41" s="1410"/>
      <c r="F41" s="1410"/>
      <c r="G41" s="1410"/>
      <c r="H41" s="1410"/>
      <c r="I41" s="1411"/>
      <c r="K41" s="1229"/>
    </row>
    <row r="42" spans="2:12" s="426" customFormat="1" ht="15" customHeight="1" x14ac:dyDescent="0.25">
      <c r="B42" s="524" t="str">
        <f t="shared" ref="B42:B47" si="3">B34</f>
        <v>2015 CDM Programs</v>
      </c>
      <c r="C42" s="1211">
        <f>839153.33+1265080</f>
        <v>2104233.33</v>
      </c>
      <c r="D42" s="1236"/>
      <c r="E42" s="1235"/>
      <c r="F42" s="1236"/>
      <c r="G42" s="1236"/>
      <c r="H42" s="1216"/>
      <c r="I42" s="466">
        <f>SUM(C42:H42)</f>
        <v>2104233.33</v>
      </c>
      <c r="K42" s="1228"/>
      <c r="L42" s="1227"/>
    </row>
    <row r="43" spans="2:12" s="426" customFormat="1" ht="15.75" x14ac:dyDescent="0.25">
      <c r="B43" s="524" t="str">
        <f t="shared" si="3"/>
        <v>2016 CDM Programs</v>
      </c>
      <c r="C43" s="1215"/>
      <c r="D43" s="1214">
        <f>839153.35</f>
        <v>839153.35</v>
      </c>
      <c r="E43" s="1226"/>
      <c r="F43" s="1226"/>
      <c r="G43" s="1226"/>
      <c r="H43" s="1225"/>
      <c r="I43" s="466">
        <f>SUM(C43:H43)</f>
        <v>839153.35</v>
      </c>
      <c r="K43" s="1228"/>
      <c r="L43" s="1212"/>
    </row>
    <row r="44" spans="2:12" s="426" customFormat="1" ht="15.75" x14ac:dyDescent="0.25">
      <c r="B44" s="524" t="str">
        <f t="shared" si="3"/>
        <v>2017 CDM Programs</v>
      </c>
      <c r="C44" s="1215"/>
      <c r="D44" s="1215"/>
      <c r="E44" s="1214">
        <f>C42</f>
        <v>2104233.33</v>
      </c>
      <c r="F44" s="1226"/>
      <c r="G44" s="1226"/>
      <c r="H44" s="1225"/>
      <c r="I44" s="466">
        <f>SUM(C44:H44)</f>
        <v>2104233.33</v>
      </c>
      <c r="K44" s="1228"/>
      <c r="L44" s="1227"/>
    </row>
    <row r="45" spans="2:12" s="426" customFormat="1" ht="15.75" x14ac:dyDescent="0.25">
      <c r="B45" s="524" t="str">
        <f t="shared" si="3"/>
        <v>2018 CDM Programs</v>
      </c>
      <c r="C45" s="1215"/>
      <c r="D45" s="1215"/>
      <c r="E45" s="1224"/>
      <c r="F45" s="1211">
        <f>E44</f>
        <v>2104233.33</v>
      </c>
      <c r="G45" s="1236"/>
      <c r="H45" s="1216"/>
      <c r="I45" s="466">
        <f>SUM(F45:H45)</f>
        <v>2104233.33</v>
      </c>
      <c r="K45" s="1228"/>
      <c r="L45" s="1227"/>
    </row>
    <row r="46" spans="2:12" s="426" customFormat="1" ht="15" x14ac:dyDescent="0.25">
      <c r="B46" s="524" t="str">
        <f t="shared" si="3"/>
        <v>2019 CDM Programs</v>
      </c>
      <c r="C46" s="1215"/>
      <c r="D46" s="1215"/>
      <c r="E46" s="1224"/>
      <c r="F46" s="1224"/>
      <c r="G46" s="1211">
        <f>F45</f>
        <v>2104233.33</v>
      </c>
      <c r="H46" s="1216"/>
      <c r="I46" s="466">
        <f>SUM(G46:H46)</f>
        <v>2104233.33</v>
      </c>
      <c r="K46" s="1229"/>
    </row>
    <row r="47" spans="2:12" s="426" customFormat="1" ht="16.5" customHeight="1" thickBot="1" x14ac:dyDescent="0.3">
      <c r="B47" s="526" t="str">
        <f t="shared" si="3"/>
        <v>2020 CDM Programs</v>
      </c>
      <c r="C47" s="1213"/>
      <c r="D47" s="1213"/>
      <c r="E47" s="1213"/>
      <c r="F47" s="1213"/>
      <c r="G47" s="1213"/>
      <c r="H47" s="1237">
        <f>G46</f>
        <v>2104233.33</v>
      </c>
      <c r="I47" s="470">
        <f>SUM(C47:H47)</f>
        <v>2104233.33</v>
      </c>
      <c r="K47" s="1229"/>
    </row>
    <row r="48" spans="2:12" s="426" customFormat="1" ht="16.5" thickTop="1" thickBot="1" x14ac:dyDescent="0.3">
      <c r="B48" s="471" t="s">
        <v>52</v>
      </c>
      <c r="C48" s="472">
        <f>SUM(C42:C47)</f>
        <v>2104233.33</v>
      </c>
      <c r="D48" s="472">
        <f t="shared" ref="D48:E48" si="4">SUM(D42:D47)</f>
        <v>839153.35</v>
      </c>
      <c r="E48" s="472">
        <f t="shared" si="4"/>
        <v>2104233.33</v>
      </c>
      <c r="F48" s="472">
        <f>SUM(F42:F45)</f>
        <v>2104233.33</v>
      </c>
      <c r="G48" s="472">
        <f>SUM(G42:G46)</f>
        <v>2104233.33</v>
      </c>
      <c r="H48" s="473">
        <f>SUM(H42:H47)</f>
        <v>2104233.33</v>
      </c>
      <c r="I48" s="474">
        <f>SUM(I42:I47)</f>
        <v>11360320</v>
      </c>
      <c r="J48" s="1197"/>
    </row>
    <row r="49" spans="2:9" s="426" customFormat="1" ht="15" x14ac:dyDescent="0.25">
      <c r="B49" s="1049"/>
      <c r="C49" s="476"/>
      <c r="D49" s="476"/>
      <c r="E49" s="476"/>
      <c r="F49" s="476"/>
      <c r="G49" s="476"/>
      <c r="H49" s="451"/>
      <c r="I49" s="451"/>
    </row>
    <row r="50" spans="2:9" s="426" customFormat="1" ht="18.75" x14ac:dyDescent="0.3">
      <c r="B50" s="1423" t="s">
        <v>207</v>
      </c>
      <c r="C50" s="1423"/>
      <c r="D50" s="1423"/>
      <c r="E50" s="1423"/>
      <c r="F50" s="1423"/>
      <c r="G50" s="1423"/>
      <c r="H50" s="1423"/>
      <c r="I50" s="1423"/>
    </row>
    <row r="51" spans="2:9" s="426" customFormat="1" ht="15" x14ac:dyDescent="0.25">
      <c r="B51" s="475"/>
      <c r="C51" s="476"/>
      <c r="D51" s="476"/>
      <c r="E51" s="476"/>
      <c r="F51" s="476"/>
      <c r="G51" s="476"/>
      <c r="H51" s="451"/>
      <c r="I51" s="451"/>
    </row>
    <row r="52" spans="2:9" s="426" customFormat="1" ht="60" customHeight="1" x14ac:dyDescent="0.2">
      <c r="B52" s="1398" t="s">
        <v>208</v>
      </c>
      <c r="C52" s="1398"/>
      <c r="D52" s="1398"/>
      <c r="E52" s="1398"/>
      <c r="F52" s="1398"/>
      <c r="G52" s="1398"/>
      <c r="H52" s="1398"/>
      <c r="I52" s="1398"/>
    </row>
    <row r="53" spans="2:9" s="426" customFormat="1" ht="15" x14ac:dyDescent="0.25">
      <c r="B53" s="475"/>
      <c r="C53" s="476"/>
      <c r="D53" s="476"/>
      <c r="E53" s="476"/>
      <c r="F53" s="476"/>
      <c r="G53" s="476"/>
      <c r="H53" s="451"/>
      <c r="I53" s="451"/>
    </row>
    <row r="54" spans="2:9" s="426" customFormat="1" ht="15" customHeight="1" x14ac:dyDescent="0.2">
      <c r="B54" s="1398" t="s">
        <v>209</v>
      </c>
      <c r="C54" s="1398"/>
      <c r="D54" s="1398"/>
      <c r="E54" s="1398"/>
      <c r="F54" s="1398"/>
      <c r="G54" s="1398"/>
      <c r="H54" s="1398"/>
      <c r="I54" s="1398"/>
    </row>
    <row r="55" spans="2:9" s="426" customFormat="1" ht="15.75" thickBot="1" x14ac:dyDescent="0.3">
      <c r="B55" s="530"/>
      <c r="C55" s="531"/>
      <c r="D55" s="531"/>
      <c r="E55" s="531"/>
      <c r="F55" s="531"/>
      <c r="G55" s="531"/>
      <c r="H55" s="451"/>
      <c r="I55" s="451"/>
    </row>
    <row r="56" spans="2:9" s="426" customFormat="1" ht="15" x14ac:dyDescent="0.25">
      <c r="B56" s="1406" t="s">
        <v>67</v>
      </c>
      <c r="C56" s="1407"/>
      <c r="D56" s="1407"/>
      <c r="E56" s="1407"/>
      <c r="F56" s="1407"/>
      <c r="G56" s="1408"/>
      <c r="H56" s="451"/>
      <c r="I56" s="451"/>
    </row>
    <row r="57" spans="2:9" s="426" customFormat="1" ht="15" x14ac:dyDescent="0.25">
      <c r="B57" s="484"/>
      <c r="C57" s="485"/>
      <c r="D57" s="485"/>
      <c r="E57" s="485"/>
      <c r="F57" s="485"/>
      <c r="G57" s="486"/>
      <c r="H57" s="451"/>
      <c r="I57" s="451"/>
    </row>
    <row r="58" spans="2:9" s="426" customFormat="1" ht="15" x14ac:dyDescent="0.25">
      <c r="B58" s="1425" t="s">
        <v>68</v>
      </c>
      <c r="C58" s="1426"/>
      <c r="D58" s="1426"/>
      <c r="E58" s="1426"/>
      <c r="F58" s="1426"/>
      <c r="G58" s="487" t="s">
        <v>69</v>
      </c>
      <c r="H58" s="451"/>
      <c r="I58" s="451"/>
    </row>
    <row r="59" spans="2:9" s="426" customFormat="1" ht="15" x14ac:dyDescent="0.25">
      <c r="B59" s="488"/>
      <c r="C59" s="489"/>
      <c r="D59" s="489"/>
      <c r="E59" s="489"/>
      <c r="F59" s="489"/>
      <c r="G59" s="490"/>
      <c r="H59" s="451"/>
      <c r="I59" s="451"/>
    </row>
    <row r="60" spans="2:9" s="426" customFormat="1" ht="30" x14ac:dyDescent="0.25">
      <c r="B60" s="532"/>
      <c r="C60" s="533"/>
      <c r="D60" s="485" t="s">
        <v>53</v>
      </c>
      <c r="E60" s="485" t="s">
        <v>54</v>
      </c>
      <c r="F60" s="485" t="s">
        <v>55</v>
      </c>
      <c r="G60" s="491" t="s">
        <v>70</v>
      </c>
      <c r="H60" s="451"/>
      <c r="I60" s="451"/>
    </row>
    <row r="61" spans="2:9" s="426" customFormat="1" ht="15" customHeight="1" x14ac:dyDescent="0.25">
      <c r="B61" s="1427" t="s">
        <v>71</v>
      </c>
      <c r="C61" s="1428"/>
      <c r="D61" s="492" t="s">
        <v>36</v>
      </c>
      <c r="E61" s="492" t="s">
        <v>36</v>
      </c>
      <c r="F61" s="492" t="s">
        <v>36</v>
      </c>
      <c r="G61" s="493" t="s">
        <v>72</v>
      </c>
      <c r="H61" s="451"/>
      <c r="I61" s="451"/>
    </row>
    <row r="62" spans="2:9" s="426" customFormat="1" ht="15" x14ac:dyDescent="0.25">
      <c r="B62" s="534" t="s">
        <v>73</v>
      </c>
      <c r="C62" s="535"/>
      <c r="D62" s="494">
        <v>10000</v>
      </c>
      <c r="E62" s="494">
        <v>10000</v>
      </c>
      <c r="F62" s="495"/>
      <c r="G62" s="496"/>
      <c r="H62" s="451"/>
      <c r="I62" s="451"/>
    </row>
    <row r="63" spans="2:9" s="426" customFormat="1" ht="15" x14ac:dyDescent="0.25">
      <c r="B63" s="534" t="s">
        <v>74</v>
      </c>
      <c r="C63" s="535"/>
      <c r="D63" s="494">
        <v>10000</v>
      </c>
      <c r="E63" s="494">
        <v>10000</v>
      </c>
      <c r="F63" s="495"/>
      <c r="G63" s="496"/>
      <c r="H63" s="451"/>
      <c r="I63" s="451"/>
    </row>
    <row r="64" spans="2:9" s="426" customFormat="1" ht="15" x14ac:dyDescent="0.25">
      <c r="B64" s="534" t="s">
        <v>75</v>
      </c>
      <c r="C64" s="535"/>
      <c r="D64" s="494">
        <v>10000</v>
      </c>
      <c r="E64" s="494">
        <v>10000</v>
      </c>
      <c r="F64" s="495"/>
      <c r="G64" s="496"/>
      <c r="H64" s="451"/>
      <c r="I64" s="451"/>
    </row>
    <row r="65" spans="2:9" s="426" customFormat="1" ht="15.75" thickBot="1" x14ac:dyDescent="0.3">
      <c r="B65" s="536" t="s">
        <v>210</v>
      </c>
      <c r="C65" s="537"/>
      <c r="D65" s="497">
        <v>10000</v>
      </c>
      <c r="E65" s="497">
        <v>10000</v>
      </c>
      <c r="F65" s="495"/>
      <c r="G65" s="496"/>
      <c r="H65" s="451"/>
      <c r="I65" s="451"/>
    </row>
    <row r="66" spans="2:9" s="426" customFormat="1" ht="16.5" customHeight="1" thickTop="1" thickBot="1" x14ac:dyDescent="0.3">
      <c r="B66" s="1429" t="s">
        <v>211</v>
      </c>
      <c r="C66" s="1430"/>
      <c r="D66" s="538">
        <f>SUM(D62:D65)</f>
        <v>40000</v>
      </c>
      <c r="E66" s="538">
        <f>SUM(E62:E65)</f>
        <v>40000</v>
      </c>
      <c r="F66" s="539">
        <f>D66-E66</f>
        <v>0</v>
      </c>
      <c r="G66" s="498">
        <f>IF(E66=0,0,IF(G58="net",0,F66/E66))</f>
        <v>0</v>
      </c>
      <c r="H66" s="451"/>
      <c r="I66" s="451"/>
    </row>
    <row r="67" spans="2:9" s="426" customFormat="1" ht="15" x14ac:dyDescent="0.25">
      <c r="B67" s="499"/>
      <c r="C67" s="499"/>
      <c r="D67" s="540"/>
      <c r="E67" s="540"/>
      <c r="F67" s="525"/>
      <c r="G67" s="500"/>
      <c r="H67" s="451"/>
      <c r="I67" s="451"/>
    </row>
    <row r="68" spans="2:9" s="426" customFormat="1" ht="38.25" customHeight="1" x14ac:dyDescent="0.2">
      <c r="B68" s="1398" t="s">
        <v>76</v>
      </c>
      <c r="C68" s="1398"/>
      <c r="D68" s="1398"/>
      <c r="E68" s="1398"/>
      <c r="F68" s="1398"/>
      <c r="G68" s="1398"/>
      <c r="H68" s="1398"/>
      <c r="I68" s="1398"/>
    </row>
    <row r="69" spans="2:9" s="426" customFormat="1" ht="8.25" customHeight="1" x14ac:dyDescent="0.2">
      <c r="B69" s="541"/>
      <c r="C69" s="541"/>
      <c r="D69" s="541"/>
      <c r="E69" s="541"/>
      <c r="F69" s="541"/>
      <c r="G69" s="541"/>
      <c r="H69" s="541"/>
      <c r="I69" s="541"/>
    </row>
    <row r="70" spans="2:9" s="426" customFormat="1" ht="33.75" customHeight="1" x14ac:dyDescent="0.2">
      <c r="B70" s="1398" t="s">
        <v>77</v>
      </c>
      <c r="C70" s="1398"/>
      <c r="D70" s="1398"/>
      <c r="E70" s="1398"/>
      <c r="F70" s="1398"/>
      <c r="G70" s="1398"/>
      <c r="H70" s="1398"/>
      <c r="I70" s="1398"/>
    </row>
    <row r="71" spans="2:9" s="426" customFormat="1" ht="15" x14ac:dyDescent="0.25">
      <c r="B71" s="499"/>
      <c r="C71" s="501"/>
      <c r="D71" s="540"/>
      <c r="E71" s="540"/>
      <c r="F71" s="540"/>
      <c r="G71" s="500"/>
      <c r="H71" s="451"/>
      <c r="I71" s="451"/>
    </row>
    <row r="72" spans="2:9" s="426" customFormat="1" ht="15.75" customHeight="1" thickBot="1" x14ac:dyDescent="0.3">
      <c r="B72" s="1424" t="s">
        <v>615</v>
      </c>
      <c r="C72" s="1424"/>
      <c r="D72" s="1424"/>
      <c r="E72" s="1424"/>
      <c r="F72" s="1424"/>
      <c r="G72" s="1424"/>
      <c r="H72" s="502"/>
      <c r="I72" s="451"/>
    </row>
    <row r="73" spans="2:9" s="426" customFormat="1" ht="15" x14ac:dyDescent="0.25">
      <c r="B73" s="503"/>
      <c r="C73" s="504">
        <v>2012</v>
      </c>
      <c r="D73" s="504">
        <v>2013</v>
      </c>
      <c r="E73" s="504">
        <v>2014</v>
      </c>
      <c r="F73" s="504">
        <v>2015</v>
      </c>
      <c r="G73" s="505">
        <v>2016</v>
      </c>
      <c r="H73" s="506"/>
      <c r="I73" s="451"/>
    </row>
    <row r="74" spans="2:9" s="426" customFormat="1" ht="51" x14ac:dyDescent="0.25">
      <c r="B74" s="507" t="s">
        <v>78</v>
      </c>
      <c r="C74" s="508">
        <v>0</v>
      </c>
      <c r="D74" s="508">
        <v>0</v>
      </c>
      <c r="E74" s="508">
        <v>0</v>
      </c>
      <c r="F74" s="508">
        <v>1</v>
      </c>
      <c r="G74" s="508">
        <v>0.5</v>
      </c>
      <c r="H74" s="509" t="s">
        <v>213</v>
      </c>
      <c r="I74" s="451"/>
    </row>
    <row r="75" spans="2:9" s="426" customFormat="1" ht="165.75" thickBot="1" x14ac:dyDescent="0.3">
      <c r="B75" s="510" t="s">
        <v>79</v>
      </c>
      <c r="C75" s="511" t="s">
        <v>214</v>
      </c>
      <c r="D75" s="511" t="s">
        <v>215</v>
      </c>
      <c r="E75" s="511" t="s">
        <v>216</v>
      </c>
      <c r="F75" s="511" t="s">
        <v>217</v>
      </c>
      <c r="G75" s="511" t="s">
        <v>218</v>
      </c>
      <c r="H75" s="498"/>
      <c r="I75" s="451"/>
    </row>
    <row r="76" spans="2:9" s="426" customFormat="1" ht="15" x14ac:dyDescent="0.25">
      <c r="B76" s="512"/>
      <c r="C76" s="513"/>
      <c r="D76" s="513"/>
      <c r="E76" s="513"/>
      <c r="F76" s="513"/>
      <c r="G76" s="513"/>
      <c r="H76" s="500"/>
      <c r="I76" s="451"/>
    </row>
    <row r="77" spans="2:9" s="426" customFormat="1" ht="18.75" customHeight="1" x14ac:dyDescent="0.2">
      <c r="B77" s="1419" t="s">
        <v>219</v>
      </c>
      <c r="C77" s="1419"/>
      <c r="D77" s="1419"/>
      <c r="E77" s="1419"/>
      <c r="F77" s="1419"/>
      <c r="G77" s="1419"/>
      <c r="H77" s="1419"/>
      <c r="I77" s="1419"/>
    </row>
    <row r="78" spans="2:9" s="426" customFormat="1" ht="18.75" x14ac:dyDescent="0.2">
      <c r="B78" s="521"/>
      <c r="C78" s="521"/>
      <c r="D78" s="521"/>
      <c r="E78" s="521"/>
      <c r="F78" s="521"/>
      <c r="G78" s="521"/>
      <c r="H78" s="521"/>
      <c r="I78" s="521"/>
    </row>
    <row r="79" spans="2:9" s="426" customFormat="1" ht="15" x14ac:dyDescent="0.25">
      <c r="B79" s="522"/>
      <c r="C79" s="522"/>
      <c r="D79" s="522"/>
      <c r="E79" s="522"/>
      <c r="F79" s="522"/>
      <c r="G79" s="522"/>
      <c r="H79" s="451"/>
      <c r="I79" s="451"/>
    </row>
    <row r="80" spans="2:9" s="426" customFormat="1" ht="34.5" customHeight="1" x14ac:dyDescent="0.2">
      <c r="B80" s="1418" t="s">
        <v>220</v>
      </c>
      <c r="C80" s="1418"/>
      <c r="D80" s="1418"/>
      <c r="E80" s="1418"/>
      <c r="F80" s="1418"/>
      <c r="G80" s="1418"/>
      <c r="H80" s="1418"/>
      <c r="I80" s="1418"/>
    </row>
    <row r="81" spans="1:12" s="426" customFormat="1" ht="15.75" thickBot="1" x14ac:dyDescent="0.3">
      <c r="B81" s="499"/>
      <c r="C81" s="501"/>
      <c r="D81" s="540"/>
      <c r="E81" s="540"/>
      <c r="F81" s="540"/>
      <c r="G81" s="500"/>
      <c r="H81" s="451"/>
      <c r="I81" s="451"/>
    </row>
    <row r="82" spans="1:12" s="426" customFormat="1" ht="15" x14ac:dyDescent="0.25">
      <c r="B82" s="1026"/>
      <c r="C82" s="1027">
        <v>2011</v>
      </c>
      <c r="D82" s="980">
        <v>2012</v>
      </c>
      <c r="E82" s="980">
        <v>2013</v>
      </c>
      <c r="F82" s="980">
        <v>2014</v>
      </c>
      <c r="G82" s="980">
        <v>2015</v>
      </c>
      <c r="H82" s="514">
        <v>2016</v>
      </c>
      <c r="I82" s="514" t="s">
        <v>159</v>
      </c>
      <c r="J82" s="515" t="s">
        <v>410</v>
      </c>
    </row>
    <row r="83" spans="1:12" s="426" customFormat="1" ht="15.75" thickBot="1" x14ac:dyDescent="0.3">
      <c r="B83" s="1030"/>
      <c r="C83" s="1031" t="s">
        <v>36</v>
      </c>
      <c r="D83" s="1029" t="s">
        <v>36</v>
      </c>
      <c r="E83" s="1029"/>
      <c r="F83" s="1029"/>
      <c r="G83" s="1029"/>
      <c r="H83" s="1029"/>
      <c r="I83" s="1029"/>
      <c r="J83" s="1028"/>
    </row>
    <row r="84" spans="1:12" s="426" customFormat="1" ht="30" x14ac:dyDescent="0.25">
      <c r="B84" s="542" t="s">
        <v>80</v>
      </c>
      <c r="C84" s="543">
        <f>G20</f>
        <v>1268444</v>
      </c>
      <c r="D84" s="543">
        <f>G21</f>
        <v>1849623.7199999997</v>
      </c>
      <c r="E84" s="543">
        <f>G22</f>
        <v>451026</v>
      </c>
      <c r="F84" s="543">
        <f>G23</f>
        <v>781079</v>
      </c>
      <c r="G84" s="837"/>
      <c r="H84" s="838"/>
      <c r="I84" s="546">
        <f>SUM(D84:G84)</f>
        <v>3081728.7199999997</v>
      </c>
      <c r="J84" s="545"/>
    </row>
    <row r="85" spans="1:12" s="426" customFormat="1" ht="15" x14ac:dyDescent="0.25">
      <c r="B85" s="542"/>
      <c r="C85" s="543"/>
      <c r="D85" s="543"/>
      <c r="E85" s="543"/>
      <c r="F85" s="543"/>
      <c r="G85" s="837"/>
      <c r="H85" s="838"/>
      <c r="I85" s="546"/>
      <c r="J85" s="545"/>
    </row>
    <row r="86" spans="1:12" s="426" customFormat="1" ht="45" x14ac:dyDescent="0.25">
      <c r="B86" s="547" t="s">
        <v>221</v>
      </c>
      <c r="C86" s="516">
        <v>0</v>
      </c>
      <c r="D86" s="516">
        <v>802000</v>
      </c>
      <c r="E86" s="548">
        <f>D86</f>
        <v>802000</v>
      </c>
      <c r="F86" s="548">
        <f>D86</f>
        <v>802000</v>
      </c>
      <c r="G86" s="839"/>
      <c r="H86" s="840"/>
      <c r="I86" s="549">
        <f>SUM(D86:G87)</f>
        <v>2406000</v>
      </c>
      <c r="J86" s="550"/>
    </row>
    <row r="87" spans="1:12" s="426" customFormat="1" ht="15" x14ac:dyDescent="0.25">
      <c r="B87" s="551"/>
      <c r="C87" s="552"/>
      <c r="D87" s="552"/>
      <c r="E87" s="552"/>
      <c r="F87" s="552"/>
      <c r="G87" s="552"/>
      <c r="H87" s="552"/>
      <c r="I87" s="552"/>
      <c r="J87" s="553"/>
    </row>
    <row r="88" spans="1:12" s="426" customFormat="1" ht="30.75" thickBot="1" x14ac:dyDescent="0.3">
      <c r="B88" s="841" t="s">
        <v>411</v>
      </c>
      <c r="C88" s="554"/>
      <c r="D88" s="554"/>
      <c r="E88" s="555"/>
      <c r="F88" s="555"/>
      <c r="G88" s="555">
        <f>C48</f>
        <v>2104233.33</v>
      </c>
      <c r="H88" s="544">
        <f>D48</f>
        <v>839153.35</v>
      </c>
      <c r="I88" s="556"/>
      <c r="J88" s="557">
        <f>SUM(D88:H88)</f>
        <v>2943386.68</v>
      </c>
    </row>
    <row r="89" spans="1:12" s="426" customFormat="1" ht="16.5" thickTop="1" thickBot="1" x14ac:dyDescent="0.3">
      <c r="B89" s="558"/>
      <c r="C89" s="559"/>
      <c r="D89" s="559"/>
      <c r="E89" s="560"/>
      <c r="F89" s="560"/>
      <c r="G89" s="559"/>
      <c r="H89" s="559"/>
      <c r="I89" s="560"/>
      <c r="J89" s="561"/>
    </row>
    <row r="90" spans="1:12" s="426" customFormat="1" ht="30.75" thickTop="1" x14ac:dyDescent="0.25">
      <c r="B90" s="842" t="s">
        <v>412</v>
      </c>
      <c r="C90" s="517">
        <v>0</v>
      </c>
      <c r="D90" s="517">
        <v>0</v>
      </c>
      <c r="E90" s="518">
        <f>E84*(1+G66)*D74</f>
        <v>0</v>
      </c>
      <c r="F90" s="518">
        <f>F84*(1+G66)*E74</f>
        <v>0</v>
      </c>
      <c r="G90" s="1050">
        <f>G88*(1+F66)*F74</f>
        <v>2104233.33</v>
      </c>
      <c r="H90" s="518">
        <f>H88*(1+G66)*G74</f>
        <v>419576.67499999999</v>
      </c>
      <c r="I90" s="1051"/>
      <c r="J90" s="582">
        <f>SUM(D90:H90)</f>
        <v>2523810.0049999999</v>
      </c>
      <c r="L90" s="583" t="s">
        <v>409</v>
      </c>
    </row>
    <row r="91" spans="1:12" s="426" customFormat="1" ht="15" x14ac:dyDescent="0.25">
      <c r="B91" s="551"/>
      <c r="C91" s="519"/>
      <c r="D91" s="519"/>
      <c r="E91" s="519"/>
      <c r="F91" s="519"/>
      <c r="G91" s="519"/>
      <c r="H91" s="519"/>
      <c r="I91" s="519"/>
      <c r="J91" s="520"/>
    </row>
    <row r="92" spans="1:12" s="426" customFormat="1" ht="15" hidden="1" x14ac:dyDescent="0.25">
      <c r="B92" s="1032" t="s">
        <v>607</v>
      </c>
      <c r="C92" s="428"/>
      <c r="D92" s="429"/>
      <c r="E92" s="429"/>
      <c r="F92" s="429"/>
      <c r="G92" s="429"/>
      <c r="H92" s="427"/>
    </row>
    <row r="93" spans="1:12" s="426" customFormat="1" ht="45.75" hidden="1" thickBot="1" x14ac:dyDescent="0.3">
      <c r="B93" s="1033" t="s">
        <v>608</v>
      </c>
      <c r="C93" s="428"/>
      <c r="D93" s="429"/>
      <c r="E93" s="429"/>
      <c r="F93" s="429"/>
      <c r="G93" s="429"/>
      <c r="H93" s="427"/>
    </row>
    <row r="94" spans="1:12" ht="15" x14ac:dyDescent="0.25">
      <c r="A94" s="109"/>
      <c r="G94" s="1197"/>
    </row>
    <row r="95" spans="1:12" ht="14.25" x14ac:dyDescent="0.2">
      <c r="A95" s="108"/>
    </row>
    <row r="96" spans="1:12" ht="14.25" x14ac:dyDescent="0.2">
      <c r="A96" s="108"/>
    </row>
    <row r="97" spans="1:15" ht="14.25" x14ac:dyDescent="0.2">
      <c r="A97" s="108"/>
    </row>
    <row r="98" spans="1:15" ht="14.25" x14ac:dyDescent="0.2">
      <c r="A98" s="108"/>
      <c r="N98" s="222"/>
      <c r="O98" s="229"/>
    </row>
    <row r="99" spans="1:15" ht="14.25" x14ac:dyDescent="0.2">
      <c r="A99" s="108"/>
    </row>
    <row r="100" spans="1:15" ht="14.25" x14ac:dyDescent="0.2">
      <c r="A100" s="108"/>
    </row>
    <row r="101" spans="1:15" ht="14.25" x14ac:dyDescent="0.2">
      <c r="A101" s="108"/>
    </row>
    <row r="102" spans="1:15" ht="14.25" x14ac:dyDescent="0.2">
      <c r="A102" s="108"/>
    </row>
    <row r="103" spans="1:15" ht="14.25" x14ac:dyDescent="0.2">
      <c r="A103" s="108"/>
    </row>
    <row r="104" spans="1:15" ht="14.25" x14ac:dyDescent="0.2">
      <c r="A104" s="108"/>
    </row>
    <row r="105" spans="1:15" ht="14.25" x14ac:dyDescent="0.2">
      <c r="A105" s="108"/>
    </row>
    <row r="106" spans="1:15" ht="14.25" x14ac:dyDescent="0.2">
      <c r="A106" s="108"/>
    </row>
    <row r="107" spans="1:15" ht="14.25" x14ac:dyDescent="0.2">
      <c r="A107" s="108"/>
    </row>
    <row r="108" spans="1:15" ht="14.25" x14ac:dyDescent="0.2">
      <c r="A108" s="108"/>
    </row>
    <row r="110" spans="1:15" x14ac:dyDescent="0.2">
      <c r="N110" s="221"/>
    </row>
  </sheetData>
  <mergeCells count="25">
    <mergeCell ref="B2:I2"/>
    <mergeCell ref="B5:I5"/>
    <mergeCell ref="B80:I80"/>
    <mergeCell ref="B77:I77"/>
    <mergeCell ref="B70:I70"/>
    <mergeCell ref="B33:I33"/>
    <mergeCell ref="B41:I41"/>
    <mergeCell ref="B50:I50"/>
    <mergeCell ref="B72:G72"/>
    <mergeCell ref="B56:G56"/>
    <mergeCell ref="B58:F58"/>
    <mergeCell ref="B61:C61"/>
    <mergeCell ref="B66:C66"/>
    <mergeCell ref="B68:I68"/>
    <mergeCell ref="B31:I31"/>
    <mergeCell ref="B52:I52"/>
    <mergeCell ref="B54:I54"/>
    <mergeCell ref="B26:G26"/>
    <mergeCell ref="B8:I8"/>
    <mergeCell ref="B30:I30"/>
    <mergeCell ref="B28:I28"/>
    <mergeCell ref="B12:G12"/>
    <mergeCell ref="B11:G11"/>
    <mergeCell ref="B19:G19"/>
    <mergeCell ref="H11:I12"/>
  </mergeCells>
  <dataValidations disablePrompts="1" count="2">
    <dataValidation type="list" allowBlank="1" showInputMessage="1" showErrorMessage="1" sqref="G58">
      <formula1>"net,gross"</formula1>
    </dataValidation>
    <dataValidation type="list" allowBlank="1" showInputMessage="1" showErrorMessage="1" sqref="C74:G74">
      <formula1>"0, 0.5, 1"</formula1>
    </dataValidation>
  </dataValidations>
  <pageMargins left="0.25" right="0.25" top="0.75" bottom="0.75" header="0.3" footer="0.3"/>
  <pageSetup scale="41"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A49"/>
  <sheetViews>
    <sheetView showGridLines="0" topLeftCell="C1" zoomScaleNormal="100" workbookViewId="0">
      <selection activeCell="N20" sqref="N20"/>
    </sheetView>
  </sheetViews>
  <sheetFormatPr defaultRowHeight="12.75" x14ac:dyDescent="0.2"/>
  <cols>
    <col min="2" max="2" width="54.83203125" bestFit="1" customWidth="1"/>
    <col min="4" max="4" width="5.6640625" bestFit="1" customWidth="1"/>
    <col min="5" max="9" width="17.6640625" bestFit="1" customWidth="1"/>
    <col min="10" max="10" width="9.33203125" customWidth="1"/>
    <col min="11" max="11" width="10" bestFit="1" customWidth="1"/>
    <col min="12" max="12" width="18.6640625" customWidth="1"/>
    <col min="13" max="13" width="17.33203125" customWidth="1"/>
    <col min="14" max="14" width="13" customWidth="1"/>
    <col min="15" max="15" width="15.1640625" bestFit="1" customWidth="1"/>
    <col min="16" max="16" width="5.5" customWidth="1"/>
    <col min="17" max="17" width="13.5" customWidth="1"/>
    <col min="18" max="18" width="13.6640625" customWidth="1"/>
    <col min="19" max="19" width="17.5" customWidth="1"/>
    <col min="20" max="20" width="13.33203125" customWidth="1"/>
    <col min="21" max="21" width="15.1640625" bestFit="1" customWidth="1"/>
    <col min="22" max="22" width="9.33203125" customWidth="1"/>
    <col min="23" max="23" width="10.5" bestFit="1" customWidth="1"/>
    <col min="25" max="25" width="13" bestFit="1" customWidth="1"/>
    <col min="26" max="27" width="11.5" bestFit="1" customWidth="1"/>
  </cols>
  <sheetData>
    <row r="2" spans="2:27" ht="23.25" x14ac:dyDescent="0.2">
      <c r="B2" s="127" t="s">
        <v>222</v>
      </c>
    </row>
    <row r="12" spans="2:27" x14ac:dyDescent="0.2">
      <c r="B12" s="124" t="s">
        <v>224</v>
      </c>
      <c r="C12" s="124"/>
      <c r="D12" s="101"/>
      <c r="E12" s="101"/>
      <c r="F12" s="101"/>
      <c r="G12" s="101"/>
      <c r="H12" s="101"/>
      <c r="I12" s="101"/>
      <c r="J12" s="101"/>
      <c r="K12" s="101"/>
      <c r="L12" s="101"/>
      <c r="M12" s="101"/>
      <c r="N12" s="101"/>
      <c r="O12" s="101"/>
      <c r="P12" s="101"/>
      <c r="Q12" s="101"/>
      <c r="R12" s="101"/>
      <c r="S12" s="101"/>
    </row>
    <row r="13" spans="2:27" ht="13.5" thickBot="1" x14ac:dyDescent="0.25">
      <c r="B13" s="101"/>
      <c r="C13" s="101"/>
      <c r="D13" s="101"/>
      <c r="E13" s="101"/>
      <c r="F13" s="101"/>
      <c r="G13" s="101"/>
      <c r="H13" s="101"/>
      <c r="I13" s="101"/>
      <c r="J13" s="101"/>
      <c r="K13" s="101"/>
      <c r="L13" s="101"/>
      <c r="M13" s="101"/>
      <c r="N13" s="101"/>
      <c r="O13" s="101"/>
      <c r="P13" s="101"/>
      <c r="Q13" s="101"/>
      <c r="R13" s="101"/>
      <c r="S13" s="101"/>
    </row>
    <row r="14" spans="2:27" ht="15.75" thickBot="1" x14ac:dyDescent="0.3">
      <c r="B14" s="101"/>
      <c r="C14" s="101"/>
      <c r="D14" s="101"/>
      <c r="E14" s="101"/>
      <c r="F14" s="101"/>
      <c r="G14" s="101"/>
      <c r="H14" s="101"/>
      <c r="I14" s="101"/>
      <c r="J14" s="101"/>
      <c r="K14" s="1434" t="str">
        <f>+H15</f>
        <v>2015</v>
      </c>
      <c r="L14" s="1435"/>
      <c r="M14" s="1435"/>
      <c r="N14" s="1435"/>
      <c r="O14" s="1436"/>
      <c r="P14" s="101"/>
      <c r="Q14" s="1434" t="str">
        <f>+I15</f>
        <v>2016</v>
      </c>
      <c r="R14" s="1435"/>
      <c r="S14" s="1435"/>
      <c r="T14" s="1435"/>
      <c r="U14" s="1436"/>
    </row>
    <row r="15" spans="2:27" ht="27.75" customHeight="1" thickBot="1" x14ac:dyDescent="0.25">
      <c r="B15" s="110" t="s">
        <v>36</v>
      </c>
      <c r="C15" s="223"/>
      <c r="D15" s="111" t="s">
        <v>33</v>
      </c>
      <c r="E15" s="206">
        <f>'1. LDC Info'!$F$16-3</f>
        <v>2012</v>
      </c>
      <c r="F15" s="206">
        <f>'1. LDC Info'!$F$16-2</f>
        <v>2013</v>
      </c>
      <c r="G15" s="209">
        <f>'1. LDC Info'!$F$16-1</f>
        <v>2014</v>
      </c>
      <c r="H15" s="207" t="str">
        <f>'1. LDC Info'!F16</f>
        <v>2015</v>
      </c>
      <c r="I15" s="208" t="str">
        <f>'1. LDC Info'!F18</f>
        <v>2016</v>
      </c>
      <c r="J15" s="101"/>
      <c r="K15" s="600" t="s">
        <v>58</v>
      </c>
      <c r="L15" s="601" t="s">
        <v>59</v>
      </c>
      <c r="M15" s="602" t="s">
        <v>225</v>
      </c>
      <c r="N15" s="605" t="s">
        <v>227</v>
      </c>
      <c r="O15" s="606" t="s">
        <v>228</v>
      </c>
      <c r="P15" s="101"/>
      <c r="Q15" s="600" t="s">
        <v>58</v>
      </c>
      <c r="R15" s="601" t="s">
        <v>59</v>
      </c>
      <c r="S15" s="602" t="s">
        <v>225</v>
      </c>
      <c r="T15" s="605" t="s">
        <v>227</v>
      </c>
      <c r="U15" s="606" t="s">
        <v>228</v>
      </c>
      <c r="Y15" s="687"/>
      <c r="Z15" s="687"/>
    </row>
    <row r="16" spans="2:27" x14ac:dyDescent="0.2">
      <c r="B16" s="588" t="str">
        <f>+'8. Normalized LF'!C10</f>
        <v>Residential</v>
      </c>
      <c r="C16" s="589"/>
      <c r="D16" s="590" t="s">
        <v>36</v>
      </c>
      <c r="E16" s="620">
        <f>+'8. Normalized LF'!L11</f>
        <v>82588039.052825093</v>
      </c>
      <c r="F16" s="620">
        <f>+'8. Normalized LF'!M11</f>
        <v>86276531.942645699</v>
      </c>
      <c r="G16" s="620">
        <f>+'8. Normalized LF'!N11</f>
        <v>87611189.555966705</v>
      </c>
      <c r="H16" s="620">
        <f>+'8. Normalized LF'!O11</f>
        <v>89941440.885840833</v>
      </c>
      <c r="I16" s="621">
        <f>+'8. Normalized LF'!P11</f>
        <v>90565097.962379649</v>
      </c>
      <c r="J16" s="101"/>
      <c r="K16" s="970">
        <v>0.28162115271339427</v>
      </c>
      <c r="L16" s="608">
        <f>K16*$L$30</f>
        <v>296298.30798627209</v>
      </c>
      <c r="M16" s="691">
        <f>+H16-L16</f>
        <v>89645142.577854559</v>
      </c>
      <c r="N16" s="616">
        <f>'X.2.CDM Data Extraction'!L57</f>
        <v>1457169.2597564911</v>
      </c>
      <c r="O16" s="610">
        <f>+M16-N16</f>
        <v>88187973.318098068</v>
      </c>
      <c r="P16" s="101"/>
      <c r="Q16" s="970">
        <f>1-Q18-Q20-Q22-Q24</f>
        <v>0.35220620000000002</v>
      </c>
      <c r="R16" s="608">
        <f>Q16*$R$30</f>
        <v>888901.53138303105</v>
      </c>
      <c r="S16" s="609">
        <f>I16-R16</f>
        <v>89676196.430996612</v>
      </c>
      <c r="T16" s="616">
        <f>'X.2.CDM Data Extraction'!M57</f>
        <v>1251462.9491442298</v>
      </c>
      <c r="U16" s="610">
        <f>+S16-T16</f>
        <v>88424733.481852382</v>
      </c>
      <c r="W16" s="690"/>
      <c r="X16" s="688"/>
      <c r="Y16" s="687"/>
      <c r="Z16" s="687"/>
      <c r="AA16" s="689"/>
    </row>
    <row r="17" spans="2:27" x14ac:dyDescent="0.2">
      <c r="B17" s="113"/>
      <c r="C17" s="225"/>
      <c r="D17" s="125"/>
      <c r="E17" s="432"/>
      <c r="F17" s="432"/>
      <c r="G17" s="432"/>
      <c r="H17" s="432"/>
      <c r="I17" s="433"/>
      <c r="J17" s="101"/>
      <c r="K17" s="971"/>
      <c r="L17" s="597"/>
      <c r="M17" s="692"/>
      <c r="N17" s="617"/>
      <c r="O17" s="236"/>
      <c r="P17" s="101"/>
      <c r="Q17" s="971"/>
      <c r="R17" s="597"/>
      <c r="S17" s="603"/>
      <c r="T17" s="617"/>
      <c r="U17" s="236"/>
      <c r="X17" s="688"/>
      <c r="Y17" s="687"/>
      <c r="Z17" s="687"/>
      <c r="AA17" s="689"/>
    </row>
    <row r="18" spans="2:27" x14ac:dyDescent="0.2">
      <c r="B18" s="585" t="str">
        <f>+'8. Normalized LF'!C14</f>
        <v>General Service &lt; 50 kW</v>
      </c>
      <c r="C18" s="225"/>
      <c r="D18" s="125" t="s">
        <v>36</v>
      </c>
      <c r="E18" s="432">
        <f>+'8. Normalized LF'!L15</f>
        <v>15746949.627995308</v>
      </c>
      <c r="F18" s="432">
        <f>+'8. Normalized LF'!M15</f>
        <v>16432348.094357079</v>
      </c>
      <c r="G18" s="432">
        <f>+'8. Normalized LF'!N15</f>
        <v>16552639.278445883</v>
      </c>
      <c r="H18" s="432">
        <f>+'8. Normalized LF'!O15</f>
        <v>17745457.151925799</v>
      </c>
      <c r="I18" s="433">
        <f>+'8. Normalized LF'!P15</f>
        <v>18032738.374179009</v>
      </c>
      <c r="J18" s="101"/>
      <c r="K18" s="972">
        <v>5.1973356015669714E-2</v>
      </c>
      <c r="L18" s="598">
        <f>K18*$L$30</f>
        <v>54682.034000064108</v>
      </c>
      <c r="M18" s="692">
        <f>+H18-L18</f>
        <v>17690775.117925733</v>
      </c>
      <c r="N18" s="617">
        <f>'X.2.CDM Data Extraction'!L56</f>
        <v>876403.87760346616</v>
      </c>
      <c r="O18" s="611">
        <f>+M18-N18</f>
        <v>16814371.240322266</v>
      </c>
      <c r="P18" s="101"/>
      <c r="Q18" s="972">
        <v>6.4998100000000003E-2</v>
      </c>
      <c r="R18" s="598">
        <f>Q18*$R$30</f>
        <v>164042.85508599051</v>
      </c>
      <c r="S18" s="603">
        <f>I18-R18</f>
        <v>17868695.519093018</v>
      </c>
      <c r="T18" s="617">
        <f>'X.2.CDM Data Extraction'!M56</f>
        <v>771668.47420065873</v>
      </c>
      <c r="U18" s="611">
        <f>+S18-T18</f>
        <v>17097027.04489236</v>
      </c>
      <c r="X18" s="688"/>
      <c r="Y18" s="687"/>
      <c r="Z18" s="687"/>
      <c r="AA18" s="689"/>
    </row>
    <row r="19" spans="2:27" x14ac:dyDescent="0.2">
      <c r="B19" s="113"/>
      <c r="C19" s="225"/>
      <c r="D19" s="125"/>
      <c r="E19" s="432"/>
      <c r="F19" s="432"/>
      <c r="G19" s="432"/>
      <c r="H19" s="432"/>
      <c r="I19" s="433"/>
      <c r="J19" s="101"/>
      <c r="K19" s="972"/>
      <c r="L19" s="597"/>
      <c r="M19" s="692"/>
      <c r="N19" s="617"/>
      <c r="O19" s="236"/>
      <c r="P19" s="101"/>
      <c r="Q19" s="972"/>
      <c r="R19" s="597"/>
      <c r="S19" s="603"/>
      <c r="T19" s="617"/>
      <c r="U19" s="236"/>
      <c r="Y19" s="687"/>
      <c r="Z19" s="687"/>
    </row>
    <row r="20" spans="2:27" x14ac:dyDescent="0.2">
      <c r="B20" s="585" t="str">
        <f>+'8. Normalized LF'!C18</f>
        <v>General Service &gt; 50 kW - 4999 kW - Excluding Wholesale Market Participant</v>
      </c>
      <c r="C20" s="225"/>
      <c r="D20" s="125" t="s">
        <v>36</v>
      </c>
      <c r="E20" s="432">
        <f>+'8. Normalized LF'!L19</f>
        <v>17613527.535856102</v>
      </c>
      <c r="F20" s="432">
        <f>+'8. Normalized LF'!M19</f>
        <v>17691775.363432009</v>
      </c>
      <c r="G20" s="432">
        <f>+'8. Normalized LF'!N19</f>
        <v>17311423.283422757</v>
      </c>
      <c r="H20" s="432">
        <f>+'8. Normalized LF'!O19</f>
        <v>17739175.385813881</v>
      </c>
      <c r="I20" s="433">
        <f>+'8. Normalized LF'!P19</f>
        <v>17932615.503197044</v>
      </c>
      <c r="J20" s="101"/>
      <c r="K20" s="972">
        <v>5.4355849258364328E-2</v>
      </c>
      <c r="L20" s="598">
        <f>K20*$L$30</f>
        <v>57188.694844953003</v>
      </c>
      <c r="M20" s="692">
        <f>+H20-L20</f>
        <v>17681986.690968927</v>
      </c>
      <c r="N20" s="617">
        <f>'X.2.CDM Data Extraction'!L58</f>
        <v>321201.06883219827</v>
      </c>
      <c r="O20" s="611">
        <f>+M20-N20</f>
        <v>17360785.622136727</v>
      </c>
      <c r="P20" s="101"/>
      <c r="Q20" s="972">
        <v>6.7977700000000002E-2</v>
      </c>
      <c r="R20" s="598">
        <f>Q20*$R$30</f>
        <v>171562.79937688849</v>
      </c>
      <c r="S20" s="603">
        <f>I20-R20</f>
        <v>17761052.703820154</v>
      </c>
      <c r="T20" s="617">
        <f>'X.2.CDM Data Extraction'!M58</f>
        <v>326868.10795071174</v>
      </c>
      <c r="U20" s="611">
        <f>+S20-T20</f>
        <v>17434184.595869441</v>
      </c>
    </row>
    <row r="21" spans="2:27" ht="14.25" customHeight="1" x14ac:dyDescent="0.2">
      <c r="B21" s="113"/>
      <c r="C21" s="225"/>
      <c r="D21" s="125"/>
      <c r="E21" s="432"/>
      <c r="F21" s="432"/>
      <c r="G21" s="432"/>
      <c r="H21" s="432"/>
      <c r="I21" s="433"/>
      <c r="J21" s="101"/>
      <c r="K21" s="972"/>
      <c r="L21" s="598"/>
      <c r="M21" s="692"/>
      <c r="N21" s="617"/>
      <c r="O21" s="236"/>
      <c r="P21" s="101"/>
      <c r="Q21" s="972"/>
      <c r="R21" s="598"/>
      <c r="S21" s="603"/>
      <c r="T21" s="617"/>
      <c r="U21" s="236"/>
    </row>
    <row r="22" spans="2:27" x14ac:dyDescent="0.2">
      <c r="B22" s="585" t="str">
        <f>+'8. Normalized LF'!C22</f>
        <v>General Service &gt; 50 kW - 4999 kW - Wholesale Market Participant</v>
      </c>
      <c r="C22" s="225"/>
      <c r="D22" s="125" t="s">
        <v>36</v>
      </c>
      <c r="E22" s="432">
        <f>+'8. Normalized LF'!L23</f>
        <v>3761855.8131238185</v>
      </c>
      <c r="F22" s="432">
        <f>+'8. Normalized LF'!M23</f>
        <v>3594883.73</v>
      </c>
      <c r="G22" s="432">
        <f>+'8. Normalized LF'!N23</f>
        <v>3453199.0199999996</v>
      </c>
      <c r="H22" s="432">
        <f>+'8. Normalized LF'!O23</f>
        <v>3824363.7837355831</v>
      </c>
      <c r="I22" s="433">
        <f>+'8. Normalized LF'!P23</f>
        <v>3774173.6759822387</v>
      </c>
      <c r="J22" s="101"/>
      <c r="K22" s="972">
        <v>1.0842642012571693E-2</v>
      </c>
      <c r="L22" s="598">
        <f>K22*$L$30</f>
        <v>11407.724354055819</v>
      </c>
      <c r="M22" s="692">
        <f>+H22-L22</f>
        <v>3812956.0593815274</v>
      </c>
      <c r="N22" s="617">
        <f>'X.2.CDM Data Extraction'!L59</f>
        <v>413401.324095955</v>
      </c>
      <c r="O22" s="611">
        <f>+M22-N22</f>
        <v>3399554.7352855722</v>
      </c>
      <c r="P22" s="101"/>
      <c r="Q22" s="972">
        <v>1.3559999999999999E-2</v>
      </c>
      <c r="R22" s="598">
        <f>Q22*$R$30</f>
        <v>34222.863667799997</v>
      </c>
      <c r="S22" s="603">
        <f>I22-R22</f>
        <v>3739950.8123144386</v>
      </c>
      <c r="T22" s="617">
        <f>'X.2.CDM Data Extraction'!M59</f>
        <v>407734.28497744154</v>
      </c>
      <c r="U22" s="611">
        <f>+S22-T22</f>
        <v>3332216.527336997</v>
      </c>
    </row>
    <row r="23" spans="2:27" x14ac:dyDescent="0.2">
      <c r="B23" s="113"/>
      <c r="C23" s="225"/>
      <c r="D23" s="125"/>
      <c r="E23" s="432"/>
      <c r="F23" s="432"/>
      <c r="G23" s="432"/>
      <c r="H23" s="432"/>
      <c r="I23" s="433"/>
      <c r="J23" s="101"/>
      <c r="K23" s="972"/>
      <c r="L23" s="598"/>
      <c r="M23" s="692"/>
      <c r="N23" s="617"/>
      <c r="O23" s="236"/>
      <c r="P23" s="101"/>
      <c r="Q23" s="972"/>
      <c r="R23" s="598"/>
      <c r="S23" s="603"/>
      <c r="T23" s="617"/>
      <c r="U23" s="236"/>
    </row>
    <row r="24" spans="2:27" x14ac:dyDescent="0.2">
      <c r="B24" s="585" t="str">
        <f>+'8. Normalized LF'!C26</f>
        <v>Streetlighting</v>
      </c>
      <c r="C24" s="225"/>
      <c r="D24" s="125" t="s">
        <v>36</v>
      </c>
      <c r="E24" s="432">
        <f>+'8. Normalized LF'!L27</f>
        <v>1731441.9339870713</v>
      </c>
      <c r="F24" s="432">
        <f>+'8. Normalized LF'!M27</f>
        <v>1796174.3293246992</v>
      </c>
      <c r="G24" s="432">
        <f>+'8. Normalized LF'!N27</f>
        <v>1834663.3857539315</v>
      </c>
      <c r="H24" s="432">
        <f>+'8. Normalized LF'!O27</f>
        <v>1854817.1178477965</v>
      </c>
      <c r="I24" s="433">
        <f>+'8. Normalized LF'!P27</f>
        <v>1876279.1565306762</v>
      </c>
      <c r="J24" s="101"/>
      <c r="K24" s="972">
        <v>0.60120700000000005</v>
      </c>
      <c r="L24" s="598">
        <f>K24*$L$30</f>
        <v>632539.90381465503</v>
      </c>
      <c r="M24" s="692">
        <f>+H24-L24</f>
        <v>1222277.2140331415</v>
      </c>
      <c r="N24" s="617">
        <v>0</v>
      </c>
      <c r="O24" s="611">
        <f>+M24-N24</f>
        <v>1222277.2140331415</v>
      </c>
      <c r="P24" s="101"/>
      <c r="Q24" s="972">
        <v>0.50125799999999998</v>
      </c>
      <c r="R24" s="598">
        <f>Q24*$R$30</f>
        <v>1265079.9554862899</v>
      </c>
      <c r="S24" s="603">
        <f>I24-R24</f>
        <v>611199.20104438625</v>
      </c>
      <c r="T24" s="617">
        <v>0</v>
      </c>
      <c r="U24" s="611">
        <f>+S24-T24</f>
        <v>611199.20104438625</v>
      </c>
    </row>
    <row r="25" spans="2:27" x14ac:dyDescent="0.2">
      <c r="B25" s="113"/>
      <c r="C25" s="225"/>
      <c r="D25" s="125"/>
      <c r="E25" s="432"/>
      <c r="F25" s="432"/>
      <c r="G25" s="432"/>
      <c r="H25" s="432"/>
      <c r="I25" s="433"/>
      <c r="J25" s="101"/>
      <c r="K25" s="972"/>
      <c r="L25" s="597"/>
      <c r="M25" s="692"/>
      <c r="N25" s="617"/>
      <c r="O25" s="236"/>
      <c r="P25" s="101"/>
      <c r="Q25" s="972"/>
      <c r="R25" s="597"/>
      <c r="S25" s="603"/>
      <c r="T25" s="617"/>
      <c r="U25" s="236"/>
    </row>
    <row r="26" spans="2:27" x14ac:dyDescent="0.2">
      <c r="B26" s="585" t="str">
        <f>'8. Normalized LF'!C30</f>
        <v>Unmetered Scattered Load</v>
      </c>
      <c r="C26" s="226"/>
      <c r="D26" s="125" t="s">
        <v>36</v>
      </c>
      <c r="E26" s="432">
        <f>+'8. Normalized LF'!L31</f>
        <v>264549.50046253472</v>
      </c>
      <c r="F26" s="432">
        <f>+'8. Normalized LF'!M31</f>
        <v>250495.81036077708</v>
      </c>
      <c r="G26" s="432">
        <f>+'8. Normalized LF'!N31</f>
        <v>248084.25158088063</v>
      </c>
      <c r="H26" s="432">
        <f>+'8. Normalized LF'!O31</f>
        <v>232410.61456023974</v>
      </c>
      <c r="I26" s="433">
        <f>+'8. Normalized LF'!P31</f>
        <v>221021.90461603086</v>
      </c>
      <c r="J26" s="101"/>
      <c r="K26" s="972">
        <v>0</v>
      </c>
      <c r="L26" s="598">
        <f>K26*$L$30</f>
        <v>0</v>
      </c>
      <c r="M26" s="692">
        <f>+H26-L26</f>
        <v>232410.61456023974</v>
      </c>
      <c r="N26" s="617">
        <f>-L26</f>
        <v>0</v>
      </c>
      <c r="O26" s="611">
        <f>+M26-N26</f>
        <v>232410.61456023974</v>
      </c>
      <c r="P26" s="101"/>
      <c r="Q26" s="972">
        <v>0</v>
      </c>
      <c r="R26" s="598">
        <f>Q26*$R$30</f>
        <v>0</v>
      </c>
      <c r="S26" s="603">
        <f>I26-R26</f>
        <v>221021.90461603086</v>
      </c>
      <c r="T26" s="617">
        <f>-R26</f>
        <v>0</v>
      </c>
      <c r="U26" s="611">
        <f>+S26-T26</f>
        <v>221021.90461603086</v>
      </c>
    </row>
    <row r="27" spans="2:27" x14ac:dyDescent="0.2">
      <c r="B27" s="115"/>
      <c r="C27" s="227"/>
      <c r="D27" s="203"/>
      <c r="E27" s="435"/>
      <c r="F27" s="435"/>
      <c r="G27" s="435"/>
      <c r="H27" s="435"/>
      <c r="I27" s="591"/>
      <c r="J27" s="101"/>
      <c r="K27" s="972"/>
      <c r="L27" s="597"/>
      <c r="M27" s="692"/>
      <c r="N27" s="617"/>
      <c r="O27" s="236"/>
      <c r="P27" s="101"/>
      <c r="Q27" s="972"/>
      <c r="R27" s="597"/>
      <c r="S27" s="603"/>
      <c r="T27" s="617"/>
      <c r="U27" s="236"/>
    </row>
    <row r="28" spans="2:27" x14ac:dyDescent="0.2">
      <c r="B28" s="586" t="str">
        <f>+'8. Normalized LF'!C34</f>
        <v>N/A</v>
      </c>
      <c r="C28" s="227"/>
      <c r="D28" s="125" t="s">
        <v>36</v>
      </c>
      <c r="E28" s="435">
        <f>+'8. Normalized LF'!L35</f>
        <v>0</v>
      </c>
      <c r="F28" s="435">
        <f>+'8. Normalized LF'!M35</f>
        <v>0</v>
      </c>
      <c r="G28" s="435">
        <f>+'8. Normalized LF'!N35</f>
        <v>0</v>
      </c>
      <c r="H28" s="435">
        <f>+'8. Normalized LF'!O35</f>
        <v>0</v>
      </c>
      <c r="I28" s="591">
        <f>+'8. Normalized LF'!P35</f>
        <v>0</v>
      </c>
      <c r="J28" s="101"/>
      <c r="K28" s="972">
        <v>0</v>
      </c>
      <c r="L28" s="598">
        <f>K28*$L$30</f>
        <v>0</v>
      </c>
      <c r="M28" s="692">
        <f>+H28-L28</f>
        <v>0</v>
      </c>
      <c r="N28" s="617"/>
      <c r="O28" s="611">
        <f>+M28-N28</f>
        <v>0</v>
      </c>
      <c r="P28" s="101"/>
      <c r="Q28" s="972">
        <v>0</v>
      </c>
      <c r="R28" s="598">
        <f>Q28*$R$30</f>
        <v>0</v>
      </c>
      <c r="S28" s="603">
        <f>I28-R28</f>
        <v>0</v>
      </c>
      <c r="T28" s="617"/>
      <c r="U28" s="611">
        <f>+S28-T28</f>
        <v>0</v>
      </c>
    </row>
    <row r="29" spans="2:27" ht="13.5" thickBot="1" x14ac:dyDescent="0.25">
      <c r="B29" s="116"/>
      <c r="C29" s="228"/>
      <c r="D29" s="204"/>
      <c r="E29" s="325"/>
      <c r="F29" s="325"/>
      <c r="G29" s="325"/>
      <c r="H29" s="325"/>
      <c r="I29" s="596"/>
      <c r="J29" s="101"/>
      <c r="K29" s="1274"/>
      <c r="L29" s="599"/>
      <c r="M29" s="650"/>
      <c r="N29" s="634"/>
      <c r="O29" s="190"/>
      <c r="P29" s="101"/>
      <c r="Q29" s="1274"/>
      <c r="R29" s="599"/>
      <c r="S29" s="604"/>
      <c r="T29" s="634"/>
      <c r="U29" s="190"/>
    </row>
    <row r="30" spans="2:27" ht="13.5" thickBot="1" x14ac:dyDescent="0.25">
      <c r="B30" s="622" t="s">
        <v>16</v>
      </c>
      <c r="C30" s="623"/>
      <c r="D30" s="624"/>
      <c r="E30" s="625">
        <f>SUM(E16:E29)</f>
        <v>121706363.46424992</v>
      </c>
      <c r="F30" s="625">
        <f t="shared" ref="F30:I30" si="0">SUM(F16:F29)</f>
        <v>126042209.27012025</v>
      </c>
      <c r="G30" s="625">
        <f t="shared" si="0"/>
        <v>127011198.77517015</v>
      </c>
      <c r="H30" s="625">
        <f t="shared" si="0"/>
        <v>131337664.93972415</v>
      </c>
      <c r="I30" s="626">
        <f t="shared" si="0"/>
        <v>132401926.57688464</v>
      </c>
      <c r="J30" s="101"/>
      <c r="K30" s="629">
        <f>SUM(K16:K29)</f>
        <v>1</v>
      </c>
      <c r="L30" s="630">
        <f>+'9. CDM Adjustment'!F90+'9. CDM Adjustment'!G90*0.5</f>
        <v>1052116.665</v>
      </c>
      <c r="M30" s="693">
        <f>SUM(M16:M29)</f>
        <v>130285548.27472414</v>
      </c>
      <c r="N30" s="632">
        <f>SUM(N16:N29)</f>
        <v>3068175.5302881105</v>
      </c>
      <c r="O30" s="633">
        <f>SUM(O16:O29)</f>
        <v>127217372.74443601</v>
      </c>
      <c r="P30" s="101"/>
      <c r="Q30" s="629">
        <f>SUM(Q16:Q29)</f>
        <v>1</v>
      </c>
      <c r="R30" s="630">
        <f>+'9. CDM Adjustment'!J90</f>
        <v>2523810.0049999999</v>
      </c>
      <c r="S30" s="631">
        <f>I30-R30</f>
        <v>129878116.57188465</v>
      </c>
      <c r="T30" s="632">
        <f>SUM(T16:T29)</f>
        <v>2757733.816273042</v>
      </c>
      <c r="U30" s="633">
        <f>SUM(U16:U29)</f>
        <v>127120382.75561158</v>
      </c>
    </row>
    <row r="31" spans="2:27" x14ac:dyDescent="0.2">
      <c r="B31" s="117"/>
      <c r="C31" s="117"/>
      <c r="D31" s="121"/>
      <c r="E31" s="118"/>
      <c r="F31" s="118"/>
      <c r="G31" s="118"/>
      <c r="H31" s="119"/>
      <c r="I31" s="119"/>
      <c r="J31" s="120"/>
      <c r="K31" s="120"/>
      <c r="L31" s="120"/>
      <c r="M31" s="120"/>
      <c r="N31" s="120"/>
      <c r="O31" s="120"/>
      <c r="P31" s="120"/>
      <c r="Q31" s="120"/>
      <c r="R31" s="120"/>
      <c r="S31" s="120"/>
    </row>
    <row r="32" spans="2:27" ht="13.5" thickBot="1" x14ac:dyDescent="0.25">
      <c r="B32" s="101"/>
      <c r="C32" s="101"/>
      <c r="D32" s="205"/>
      <c r="E32" s="101"/>
      <c r="F32" s="101"/>
      <c r="G32" s="101"/>
      <c r="H32" s="101"/>
      <c r="I32" s="101"/>
      <c r="J32" s="101"/>
      <c r="K32" s="101"/>
      <c r="L32" s="1275"/>
      <c r="M32" s="101"/>
      <c r="N32" s="101"/>
      <c r="O32" s="101"/>
      <c r="P32" s="101"/>
      <c r="Q32" s="101"/>
      <c r="R32" s="101"/>
      <c r="S32" s="120"/>
    </row>
    <row r="33" spans="2:21" ht="26.25" thickBot="1" x14ac:dyDescent="0.25">
      <c r="B33" s="110"/>
      <c r="C33" s="223"/>
      <c r="D33" s="111" t="s">
        <v>33</v>
      </c>
      <c r="E33" s="206">
        <f>E15</f>
        <v>2012</v>
      </c>
      <c r="F33" s="206">
        <f>F15</f>
        <v>2013</v>
      </c>
      <c r="G33" s="206">
        <f>G15</f>
        <v>2014</v>
      </c>
      <c r="H33" s="206" t="str">
        <f>H15</f>
        <v>2015</v>
      </c>
      <c r="I33" s="587" t="str">
        <f>I15</f>
        <v>2016</v>
      </c>
      <c r="J33" s="101"/>
      <c r="K33" s="101"/>
      <c r="L33" s="1276"/>
      <c r="M33" s="600" t="s">
        <v>226</v>
      </c>
      <c r="N33" s="605" t="s">
        <v>227</v>
      </c>
      <c r="O33" s="606" t="s">
        <v>228</v>
      </c>
      <c r="P33" s="101"/>
      <c r="Q33" s="121"/>
      <c r="R33" s="121"/>
      <c r="S33" s="619" t="s">
        <v>226</v>
      </c>
      <c r="T33" s="607" t="s">
        <v>227</v>
      </c>
      <c r="U33" s="612" t="s">
        <v>228</v>
      </c>
    </row>
    <row r="34" spans="2:21" x14ac:dyDescent="0.2">
      <c r="B34" s="588" t="str">
        <f>+B16</f>
        <v>Residential</v>
      </c>
      <c r="C34" s="589"/>
      <c r="D34" s="590" t="s">
        <v>37</v>
      </c>
      <c r="E34" s="592">
        <f>+'8. Normalized LF'!L12</f>
        <v>0</v>
      </c>
      <c r="F34" s="592">
        <f>+'8. Normalized LF'!M12</f>
        <v>0</v>
      </c>
      <c r="G34" s="592">
        <f>+'8. Normalized LF'!N12</f>
        <v>0</v>
      </c>
      <c r="H34" s="592">
        <f>+'8. Normalized LF'!O12</f>
        <v>0</v>
      </c>
      <c r="I34" s="593">
        <f>+'8. Normalized LF'!P12</f>
        <v>0</v>
      </c>
      <c r="J34" s="101"/>
      <c r="K34" s="101"/>
      <c r="L34" s="101"/>
      <c r="M34" s="694">
        <f>IF(H34&gt;0,+M16/H16*H34,0)</f>
        <v>0</v>
      </c>
      <c r="N34" s="695">
        <f>IF(H34&gt;0,+N16/H16*H34,0)</f>
        <v>0</v>
      </c>
      <c r="O34" s="790">
        <f>+M34-N34</f>
        <v>0</v>
      </c>
      <c r="P34" s="101"/>
      <c r="Q34" s="1277"/>
      <c r="R34" s="123"/>
      <c r="S34" s="613">
        <f>IF(I34&gt;0,+S16/I16*I34,0)</f>
        <v>0</v>
      </c>
      <c r="T34" s="618">
        <f>IF(I34&gt;0,+T16/I16*I34,0)</f>
        <v>0</v>
      </c>
      <c r="U34" s="786">
        <f>+S34-T34</f>
        <v>0</v>
      </c>
    </row>
    <row r="35" spans="2:21" x14ac:dyDescent="0.2">
      <c r="B35" s="112" t="s">
        <v>30</v>
      </c>
      <c r="C35" s="224"/>
      <c r="D35" s="125"/>
      <c r="E35" s="594"/>
      <c r="F35" s="594"/>
      <c r="G35" s="594"/>
      <c r="H35" s="594"/>
      <c r="I35" s="595"/>
      <c r="J35" s="101"/>
      <c r="K35" s="101"/>
      <c r="L35" s="1275"/>
      <c r="M35" s="614"/>
      <c r="N35" s="13"/>
      <c r="O35" s="787"/>
      <c r="P35" s="101"/>
      <c r="Q35" s="122"/>
      <c r="R35" s="123"/>
      <c r="S35" s="614"/>
      <c r="T35" s="13"/>
      <c r="U35" s="787"/>
    </row>
    <row r="36" spans="2:21" x14ac:dyDescent="0.2">
      <c r="B36" s="584" t="str">
        <f>+B18</f>
        <v>General Service &lt; 50 kW</v>
      </c>
      <c r="C36" s="224"/>
      <c r="D36" s="126" t="s">
        <v>37</v>
      </c>
      <c r="E36" s="594">
        <f>+'8. Normalized LF'!L16</f>
        <v>0</v>
      </c>
      <c r="F36" s="594">
        <f>+'8. Normalized LF'!M16</f>
        <v>0</v>
      </c>
      <c r="G36" s="594">
        <f>+'8. Normalized LF'!N16</f>
        <v>0</v>
      </c>
      <c r="H36" s="594">
        <f>+'8. Normalized LF'!O16</f>
        <v>0</v>
      </c>
      <c r="I36" s="595">
        <f>+'8. Normalized LF'!P16</f>
        <v>0</v>
      </c>
      <c r="J36" s="101"/>
      <c r="K36" s="101"/>
      <c r="L36" s="101"/>
      <c r="M36" s="614">
        <f>IF(H36&gt;0,+M18/H18*H36,0)</f>
        <v>0</v>
      </c>
      <c r="N36" s="695">
        <f>IF(H36&gt;0,+N18/H18*H36,0)</f>
        <v>0</v>
      </c>
      <c r="O36" s="788">
        <f>+M36-N36</f>
        <v>0</v>
      </c>
      <c r="P36" s="101"/>
      <c r="Q36" s="122"/>
      <c r="R36" s="123"/>
      <c r="S36" s="614">
        <f>IF(I36&gt;0,+S18/I18*I36,0)</f>
        <v>0</v>
      </c>
      <c r="T36" s="114">
        <f>IF(I36&gt;0,+T18/I18*I36,0)</f>
        <v>0</v>
      </c>
      <c r="U36" s="788">
        <f>+S36-T36</f>
        <v>0</v>
      </c>
    </row>
    <row r="37" spans="2:21" x14ac:dyDescent="0.2">
      <c r="B37" s="112" t="s">
        <v>30</v>
      </c>
      <c r="C37" s="224"/>
      <c r="D37" s="125"/>
      <c r="E37" s="594"/>
      <c r="F37" s="594"/>
      <c r="G37" s="594"/>
      <c r="H37" s="594"/>
      <c r="I37" s="595"/>
      <c r="J37" s="101"/>
      <c r="K37" s="101"/>
      <c r="L37" s="101"/>
      <c r="M37" s="614"/>
      <c r="N37" s="13"/>
      <c r="O37" s="787"/>
      <c r="P37" s="101"/>
      <c r="Q37" s="122"/>
      <c r="R37" s="123"/>
      <c r="S37" s="614"/>
      <c r="T37" s="13"/>
      <c r="U37" s="787"/>
    </row>
    <row r="38" spans="2:21" x14ac:dyDescent="0.2">
      <c r="B38" s="584" t="str">
        <f>+B20</f>
        <v>General Service &gt; 50 kW - 4999 kW - Excluding Wholesale Market Participant</v>
      </c>
      <c r="C38" s="224"/>
      <c r="D38" s="126" t="s">
        <v>37</v>
      </c>
      <c r="E38" s="430">
        <f>+'8. Normalized LF'!L20</f>
        <v>47594.97</v>
      </c>
      <c r="F38" s="430">
        <f>+'8. Normalized LF'!M20</f>
        <v>46866.61</v>
      </c>
      <c r="G38" s="430">
        <f>+'8. Normalized LF'!N20</f>
        <v>45989.17</v>
      </c>
      <c r="H38" s="430">
        <f>+'8. Normalized LF'!O20</f>
        <v>46713.73939556734</v>
      </c>
      <c r="I38" s="431">
        <f>+'8. Normalized LF'!P20</f>
        <v>47223.138002636268</v>
      </c>
      <c r="J38" s="101"/>
      <c r="K38" s="973"/>
      <c r="L38" s="1278"/>
      <c r="M38" s="614">
        <f>IF(H38&gt;0,+M20/H20*H38,0)</f>
        <v>46563.140637211516</v>
      </c>
      <c r="N38" s="695">
        <f>IF(H38&gt;0,+N20/H20*H38,0)</f>
        <v>845.83993881723404</v>
      </c>
      <c r="O38" s="788">
        <f>+M38-N38</f>
        <v>45717.300698394283</v>
      </c>
      <c r="P38" s="101"/>
      <c r="Q38" s="122"/>
      <c r="R38" s="123"/>
      <c r="S38" s="614">
        <f>IF(I38&gt;0,+S20/I20*I38,0)</f>
        <v>46771.350378591742</v>
      </c>
      <c r="T38" s="114">
        <f>IF(I38&gt;0,+T20/I20*I38,0)</f>
        <v>860.76332633492154</v>
      </c>
      <c r="U38" s="788">
        <f>+S38-T38</f>
        <v>45910.587052256822</v>
      </c>
    </row>
    <row r="39" spans="2:21" x14ac:dyDescent="0.2">
      <c r="B39" s="112" t="s">
        <v>30</v>
      </c>
      <c r="C39" s="224"/>
      <c r="D39" s="125"/>
      <c r="E39" s="432"/>
      <c r="F39" s="432"/>
      <c r="G39" s="432"/>
      <c r="H39" s="432"/>
      <c r="I39" s="433"/>
      <c r="J39" s="101"/>
      <c r="K39" s="101"/>
      <c r="L39" s="101"/>
      <c r="M39" s="614"/>
      <c r="N39" s="13"/>
      <c r="O39" s="787"/>
      <c r="P39" s="101"/>
      <c r="Q39" s="122"/>
      <c r="R39" s="123"/>
      <c r="S39" s="614"/>
      <c r="T39" s="13"/>
      <c r="U39" s="787"/>
    </row>
    <row r="40" spans="2:21" x14ac:dyDescent="0.2">
      <c r="B40" s="584" t="str">
        <f>+B22</f>
        <v>General Service &gt; 50 kW - 4999 kW - Wholesale Market Participant</v>
      </c>
      <c r="C40" s="224"/>
      <c r="D40" s="126" t="s">
        <v>37</v>
      </c>
      <c r="E40" s="432">
        <f>+'8. Normalized LF'!L24</f>
        <v>6698.9100000000008</v>
      </c>
      <c r="F40" s="432">
        <f>+'8. Normalized LF'!M24</f>
        <v>6556.56</v>
      </c>
      <c r="G40" s="432">
        <f>+'8. Normalized LF'!N24</f>
        <v>6080.47</v>
      </c>
      <c r="H40" s="432">
        <f>+'8. Normalized LF'!O24</f>
        <v>6721.7911791566266</v>
      </c>
      <c r="I40" s="433">
        <f>+'8. Normalized LF'!P24</f>
        <v>6633.5758725971091</v>
      </c>
      <c r="J40" s="101"/>
      <c r="K40" s="101"/>
      <c r="L40" s="1278"/>
      <c r="M40" s="614">
        <f>IF(H40&gt;0,+M22/H22*H40,0)</f>
        <v>6701.7406961812749</v>
      </c>
      <c r="N40" s="695">
        <f>IF(H40&gt;0,+N22/H22*H40,0)</f>
        <v>726.6038303096708</v>
      </c>
      <c r="O40" s="788">
        <f>+M40-N40</f>
        <v>5975.1368658716037</v>
      </c>
      <c r="P40" s="101"/>
      <c r="Q40" s="122"/>
      <c r="R40" s="123"/>
      <c r="S40" s="614">
        <f>IF(I40&gt;0,+S22/I22*I40,0)</f>
        <v>6573.4249674698258</v>
      </c>
      <c r="T40" s="114">
        <f>IF(I40&gt;0,+T22/I22*I40,0)</f>
        <v>716.64330989036307</v>
      </c>
      <c r="U40" s="788">
        <f>+S40-T40</f>
        <v>5856.7816575794623</v>
      </c>
    </row>
    <row r="41" spans="2:21" x14ac:dyDescent="0.2">
      <c r="B41" s="112" t="s">
        <v>30</v>
      </c>
      <c r="C41" s="224"/>
      <c r="D41" s="125"/>
      <c r="E41" s="432"/>
      <c r="F41" s="432"/>
      <c r="G41" s="432"/>
      <c r="H41" s="432"/>
      <c r="I41" s="433"/>
      <c r="J41" s="101"/>
      <c r="K41" s="101"/>
      <c r="L41" s="101"/>
      <c r="M41" s="614"/>
      <c r="N41" s="13"/>
      <c r="O41" s="787"/>
      <c r="P41" s="101"/>
      <c r="Q41" s="122"/>
      <c r="R41" s="123"/>
      <c r="S41" s="614"/>
      <c r="T41" s="13"/>
      <c r="U41" s="787"/>
    </row>
    <row r="42" spans="2:21" x14ac:dyDescent="0.2">
      <c r="B42" s="584" t="str">
        <f>+B24</f>
        <v>Streetlighting</v>
      </c>
      <c r="C42" s="224"/>
      <c r="D42" s="126" t="s">
        <v>37</v>
      </c>
      <c r="E42" s="432">
        <f>+'8. Normalized LF'!L28</f>
        <v>5202.74</v>
      </c>
      <c r="F42" s="432">
        <f>+'8. Normalized LF'!M28</f>
        <v>5310.59</v>
      </c>
      <c r="G42" s="432">
        <f>+'8. Normalized LF'!N28</f>
        <v>5426.1900000000014</v>
      </c>
      <c r="H42" s="432">
        <f>+'8. Normalized LF'!O28</f>
        <v>5468.8708196379039</v>
      </c>
      <c r="I42" s="433">
        <f>+'8. Normalized LF'!P28</f>
        <v>5532.1509759149458</v>
      </c>
      <c r="J42" s="101"/>
      <c r="K42" s="956"/>
      <c r="L42" s="1278"/>
      <c r="M42" s="614">
        <f>IF(H42&gt;0,+M24/H24*H42,0)</f>
        <v>3603.8465059511477</v>
      </c>
      <c r="N42" s="695">
        <f>IF(H42&gt;0,+N24/H24*H42,0)</f>
        <v>0</v>
      </c>
      <c r="O42" s="788">
        <f>+M42-N42</f>
        <v>3603.8465059511477</v>
      </c>
      <c r="P42" s="101"/>
      <c r="Q42" s="122"/>
      <c r="R42" s="123"/>
      <c r="S42" s="614">
        <f>IF(I42&gt;0,+S24/I24*I42,0)</f>
        <v>1802.1019125897085</v>
      </c>
      <c r="T42" s="114">
        <f>IF(I42&gt;0,+T24/I24*I42,0)</f>
        <v>0</v>
      </c>
      <c r="U42" s="788">
        <f>+S42-T42</f>
        <v>1802.1019125897085</v>
      </c>
    </row>
    <row r="43" spans="2:21" x14ac:dyDescent="0.2">
      <c r="B43" s="112" t="s">
        <v>30</v>
      </c>
      <c r="C43" s="224"/>
      <c r="D43" s="125"/>
      <c r="E43" s="432"/>
      <c r="F43" s="432"/>
      <c r="G43" s="432"/>
      <c r="H43" s="432"/>
      <c r="I43" s="433"/>
      <c r="J43" s="101"/>
      <c r="K43" s="101"/>
      <c r="L43" s="101"/>
      <c r="M43" s="614"/>
      <c r="N43" s="13"/>
      <c r="O43" s="787"/>
      <c r="P43" s="101"/>
      <c r="Q43" s="122"/>
      <c r="R43" s="123"/>
      <c r="S43" s="614"/>
      <c r="T43" s="13"/>
      <c r="U43" s="787"/>
    </row>
    <row r="44" spans="2:21" x14ac:dyDescent="0.2">
      <c r="B44" s="584" t="str">
        <f>+B26</f>
        <v>Unmetered Scattered Load</v>
      </c>
      <c r="C44" s="224"/>
      <c r="D44" s="126" t="s">
        <v>37</v>
      </c>
      <c r="E44" s="432">
        <f>+'8. Normalized LF'!L32</f>
        <v>0</v>
      </c>
      <c r="F44" s="432">
        <f>+'8. Normalized LF'!M32</f>
        <v>0</v>
      </c>
      <c r="G44" s="432">
        <f>+'8. Normalized LF'!N32</f>
        <v>0</v>
      </c>
      <c r="H44" s="432">
        <f>+'8. Normalized LF'!O32</f>
        <v>0</v>
      </c>
      <c r="I44" s="433">
        <f>+'8. Normalized LF'!P32</f>
        <v>0</v>
      </c>
      <c r="J44" s="101"/>
      <c r="K44" s="101"/>
      <c r="L44" s="101"/>
      <c r="M44" s="614">
        <f>IF(H44&gt;0,+M26/H26*H44,0)</f>
        <v>0</v>
      </c>
      <c r="N44" s="695">
        <f>IF(H44&gt;0,+N26/H26*H44,0)</f>
        <v>0</v>
      </c>
      <c r="O44" s="788">
        <f>+M44-N44</f>
        <v>0</v>
      </c>
      <c r="P44" s="101"/>
      <c r="Q44" s="122"/>
      <c r="R44" s="123"/>
      <c r="S44" s="614">
        <f>IF(I44&gt;0,+S26/I26*I44,0)</f>
        <v>0</v>
      </c>
      <c r="T44" s="114">
        <f>IF(I44&gt;0,+T26/I26*I44,0)</f>
        <v>0</v>
      </c>
      <c r="U44" s="788">
        <f>+S44-T44</f>
        <v>0</v>
      </c>
    </row>
    <row r="45" spans="2:21" x14ac:dyDescent="0.2">
      <c r="B45" s="584"/>
      <c r="C45" s="224"/>
      <c r="D45" s="126"/>
      <c r="E45" s="432"/>
      <c r="F45" s="432"/>
      <c r="G45" s="432"/>
      <c r="H45" s="432"/>
      <c r="I45" s="433"/>
      <c r="J45" s="101"/>
      <c r="K45" s="101"/>
      <c r="L45" s="101"/>
      <c r="M45" s="614"/>
      <c r="N45" s="13"/>
      <c r="O45" s="787"/>
      <c r="P45" s="101"/>
      <c r="Q45" s="122"/>
      <c r="R45" s="123"/>
      <c r="S45" s="614"/>
      <c r="T45" s="13"/>
      <c r="U45" s="787"/>
    </row>
    <row r="46" spans="2:21" x14ac:dyDescent="0.2">
      <c r="B46" s="584" t="str">
        <f>+B28</f>
        <v>N/A</v>
      </c>
      <c r="C46" s="224"/>
      <c r="D46" s="126" t="s">
        <v>37</v>
      </c>
      <c r="E46" s="432">
        <f>+'8. Normalized LF'!L36</f>
        <v>0</v>
      </c>
      <c r="F46" s="432">
        <f>+'8. Normalized LF'!M36</f>
        <v>0</v>
      </c>
      <c r="G46" s="432">
        <f>+'8. Normalized LF'!N36</f>
        <v>0</v>
      </c>
      <c r="H46" s="432">
        <f>+'8. Normalized LF'!O36</f>
        <v>0</v>
      </c>
      <c r="I46" s="433">
        <f>+'8. Normalized LF'!P36</f>
        <v>0</v>
      </c>
      <c r="J46" s="101"/>
      <c r="K46" s="101"/>
      <c r="L46" s="101"/>
      <c r="M46" s="614">
        <f>IF(H46&gt;0,+M28/H28*H46,0)</f>
        <v>0</v>
      </c>
      <c r="N46" s="695">
        <f>IF(H46&gt;0,+N28/H28*H46,0)</f>
        <v>0</v>
      </c>
      <c r="O46" s="788">
        <f>+M46-N46</f>
        <v>0</v>
      </c>
      <c r="P46" s="101"/>
      <c r="Q46" s="122"/>
      <c r="R46" s="123"/>
      <c r="S46" s="614">
        <f>IF(I46&gt;0,+S28/I28*I46,0)</f>
        <v>0</v>
      </c>
      <c r="T46" s="114">
        <f>IF(I46&gt;0,+T28/I28*I46,0)</f>
        <v>0</v>
      </c>
      <c r="U46" s="788">
        <f>+S46-T46</f>
        <v>0</v>
      </c>
    </row>
    <row r="47" spans="2:21" ht="13.5" thickBot="1" x14ac:dyDescent="0.25">
      <c r="B47" s="116" t="s">
        <v>30</v>
      </c>
      <c r="C47" s="228"/>
      <c r="D47" s="204"/>
      <c r="E47" s="325"/>
      <c r="F47" s="325"/>
      <c r="G47" s="325"/>
      <c r="H47" s="325"/>
      <c r="I47" s="596"/>
      <c r="J47" s="101"/>
      <c r="K47" s="101"/>
      <c r="L47" s="101"/>
      <c r="M47" s="696"/>
      <c r="N47" s="791"/>
      <c r="O47" s="792"/>
      <c r="P47" s="101"/>
      <c r="Q47" s="122"/>
      <c r="R47" s="123"/>
      <c r="S47" s="615"/>
      <c r="T47" s="189"/>
      <c r="U47" s="789"/>
    </row>
    <row r="48" spans="2:21" ht="13.5" thickBot="1" x14ac:dyDescent="0.25">
      <c r="B48" s="622" t="s">
        <v>16</v>
      </c>
      <c r="C48" s="627"/>
      <c r="D48" s="628" t="s">
        <v>30</v>
      </c>
      <c r="E48" s="625">
        <f>SUM(E34:E47)</f>
        <v>59496.62</v>
      </c>
      <c r="F48" s="625">
        <f t="shared" ref="F48:H48" si="1">SUM(F34:F47)</f>
        <v>58733.759999999995</v>
      </c>
      <c r="G48" s="625">
        <f t="shared" si="1"/>
        <v>57495.83</v>
      </c>
      <c r="H48" s="625">
        <f t="shared" si="1"/>
        <v>58904.40139436187</v>
      </c>
      <c r="I48" s="626">
        <f>SUM(I34:I47)</f>
        <v>59388.864851148326</v>
      </c>
      <c r="J48" s="101"/>
      <c r="K48" s="101"/>
      <c r="L48" s="101"/>
      <c r="M48" s="697">
        <f>SUM(M34:M47)</f>
        <v>56868.727839343941</v>
      </c>
      <c r="N48" s="698">
        <f t="shared" ref="N48:O48" si="2">SUM(N34:N47)</f>
        <v>1572.443769126905</v>
      </c>
      <c r="O48" s="699">
        <f t="shared" si="2"/>
        <v>55296.284070217036</v>
      </c>
      <c r="P48" s="101"/>
      <c r="Q48" s="122"/>
      <c r="R48" s="123"/>
      <c r="S48" s="635">
        <f>SUM(S34:S47)</f>
        <v>55146.877258651271</v>
      </c>
      <c r="T48" s="628">
        <f t="shared" ref="T48:U48" si="3">SUM(T34:T47)</f>
        <v>1577.4066362252847</v>
      </c>
      <c r="U48" s="636">
        <f t="shared" si="3"/>
        <v>53569.470622425993</v>
      </c>
    </row>
    <row r="49" spans="2:19" x14ac:dyDescent="0.2">
      <c r="B49" s="104"/>
      <c r="C49" s="104"/>
      <c r="D49" s="104"/>
      <c r="E49" s="104"/>
      <c r="F49" s="104"/>
      <c r="G49" s="104"/>
      <c r="H49" s="104"/>
      <c r="I49" s="104"/>
      <c r="J49" s="104"/>
      <c r="K49" s="426"/>
      <c r="L49" s="426"/>
      <c r="M49" s="426"/>
      <c r="N49" s="426"/>
      <c r="O49" s="426"/>
      <c r="P49" s="426"/>
      <c r="Q49" s="104"/>
      <c r="R49" s="104"/>
      <c r="S49" s="104"/>
    </row>
  </sheetData>
  <mergeCells count="2">
    <mergeCell ref="Q14:U14"/>
    <mergeCell ref="K14:O14"/>
  </mergeCells>
  <pageMargins left="0.7" right="0.7" top="0.75" bottom="0.75" header="0.3" footer="0.3"/>
  <pageSetup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Q62"/>
  <sheetViews>
    <sheetView showGridLines="0" zoomScaleNormal="100" workbookViewId="0"/>
  </sheetViews>
  <sheetFormatPr defaultColWidth="10.5" defaultRowHeight="12.75" x14ac:dyDescent="0.2"/>
  <cols>
    <col min="1" max="1" width="10.5" style="1"/>
    <col min="2" max="2" width="73.6640625" style="1" customWidth="1"/>
    <col min="3" max="3" width="12.6640625" style="1" customWidth="1"/>
    <col min="4" max="6" width="14.83203125" style="1" hidden="1" customWidth="1"/>
    <col min="7" max="10" width="14.83203125" style="1" customWidth="1"/>
    <col min="11" max="11" width="16.6640625" style="1" customWidth="1"/>
    <col min="12" max="14" width="17.83203125" style="1" bestFit="1" customWidth="1"/>
    <col min="15" max="15" width="15.1640625" style="202" bestFit="1" customWidth="1"/>
    <col min="16" max="16" width="10.5" style="1"/>
    <col min="17" max="17" width="13.33203125" style="1" bestFit="1" customWidth="1"/>
    <col min="18" max="19" width="1.83203125" style="1" bestFit="1" customWidth="1"/>
    <col min="20" max="16384" width="10.5" style="1"/>
  </cols>
  <sheetData>
    <row r="3" spans="2:17" ht="23.25" x14ac:dyDescent="0.2">
      <c r="B3" s="127" t="s">
        <v>229</v>
      </c>
      <c r="O3" s="354"/>
    </row>
    <row r="4" spans="2:17" ht="13.5" thickBot="1" x14ac:dyDescent="0.25"/>
    <row r="5" spans="2:17" ht="13.5" thickBot="1" x14ac:dyDescent="0.25">
      <c r="B5" s="86"/>
      <c r="C5" s="343" t="s">
        <v>33</v>
      </c>
      <c r="D5" s="192">
        <f>'4. Customer Growth'!B9</f>
        <v>2005</v>
      </c>
      <c r="E5" s="192">
        <f>'4. Customer Growth'!B10</f>
        <v>2006</v>
      </c>
      <c r="F5" s="192">
        <f>'4. Customer Growth'!B11</f>
        <v>2007</v>
      </c>
      <c r="G5" s="192">
        <f>'4. Customer Growth'!B12</f>
        <v>2008</v>
      </c>
      <c r="H5" s="192">
        <f>'4. Customer Growth'!B13</f>
        <v>2009</v>
      </c>
      <c r="I5" s="192">
        <f>'4. Customer Growth'!B14</f>
        <v>2010</v>
      </c>
      <c r="J5" s="192">
        <f>'4. Customer Growth'!B15</f>
        <v>2011</v>
      </c>
      <c r="K5" s="192">
        <f>'4. Customer Growth'!B16</f>
        <v>2012</v>
      </c>
      <c r="L5" s="192">
        <f>'4. Customer Growth'!B17</f>
        <v>2013</v>
      </c>
      <c r="M5" s="192">
        <f>'4. Customer Growth'!B18</f>
        <v>2014</v>
      </c>
      <c r="N5" s="192" t="str">
        <f>'4. Customer Growth'!B22</f>
        <v>2015</v>
      </c>
      <c r="O5" s="191" t="str">
        <f>'4. Customer Growth'!B23</f>
        <v>2016</v>
      </c>
      <c r="Q5" s="813"/>
    </row>
    <row r="6" spans="2:17" x14ac:dyDescent="0.2">
      <c r="B6" s="580" t="str">
        <f>+'8. Normalized LF'!C10</f>
        <v>Residential</v>
      </c>
      <c r="C6" s="87" t="s">
        <v>124</v>
      </c>
      <c r="D6" s="430">
        <f>+'8. Normalized LF'!E10</f>
        <v>9440</v>
      </c>
      <c r="E6" s="430">
        <f>+'8. Normalized LF'!F10</f>
        <v>9857.5</v>
      </c>
      <c r="F6" s="430">
        <f>+'8. Normalized LF'!G10</f>
        <v>10273.5</v>
      </c>
      <c r="G6" s="430">
        <f>+'8. Normalized LF'!H10</f>
        <v>10658.5</v>
      </c>
      <c r="H6" s="430">
        <f>+'8. Normalized LF'!I10</f>
        <v>10918.5</v>
      </c>
      <c r="I6" s="430">
        <f>+'8. Normalized LF'!J10</f>
        <v>11119.5</v>
      </c>
      <c r="J6" s="430">
        <f>+'8. Normalized LF'!K10</f>
        <v>11370.5</v>
      </c>
      <c r="K6" s="430">
        <f>+'8. Normalized LF'!L10</f>
        <v>11609</v>
      </c>
      <c r="L6" s="430">
        <f>+'8. Normalized LF'!M10</f>
        <v>11857</v>
      </c>
      <c r="M6" s="430">
        <f>+'8. Normalized LF'!N10</f>
        <v>12082</v>
      </c>
      <c r="N6" s="430">
        <f>+'8. Normalized LF'!O10</f>
        <v>12267</v>
      </c>
      <c r="O6" s="431">
        <f>+'8. Normalized LF'!P10</f>
        <v>12471.858899999999</v>
      </c>
    </row>
    <row r="7" spans="2:17" x14ac:dyDescent="0.2">
      <c r="B7" s="88"/>
      <c r="C7" s="52" t="s">
        <v>36</v>
      </c>
      <c r="D7" s="430">
        <f>+'8. Normalized LF'!E11</f>
        <v>74670218.300000012</v>
      </c>
      <c r="E7" s="430">
        <f>+'8. Normalized LF'!F11</f>
        <v>73494501.180000007</v>
      </c>
      <c r="F7" s="430">
        <f>+'8. Normalized LF'!G11</f>
        <v>74223886.610000014</v>
      </c>
      <c r="G7" s="430">
        <f>+'8. Normalized LF'!H11</f>
        <v>78678925.103</v>
      </c>
      <c r="H7" s="430">
        <f>+'8. Normalized LF'!I11</f>
        <v>82719010.360000014</v>
      </c>
      <c r="I7" s="430">
        <f>+'8. Normalized LF'!J11</f>
        <v>84575463.599999994</v>
      </c>
      <c r="J7" s="430">
        <f>+'8. Normalized LF'!K11</f>
        <v>84023443</v>
      </c>
      <c r="K7" s="430">
        <f>+'8. Normalized LF'!L11</f>
        <v>82588039.052825093</v>
      </c>
      <c r="L7" s="430">
        <f>+'8. Normalized LF'!M11</f>
        <v>86276531.942645699</v>
      </c>
      <c r="M7" s="430">
        <f>+'8. Normalized LF'!N11</f>
        <v>87611189.555966705</v>
      </c>
      <c r="N7" s="432">
        <f>+'9.1 CDM Allocation'!O16</f>
        <v>88187973.318098068</v>
      </c>
      <c r="O7" s="700">
        <f>+'9.1 CDM Allocation'!U16</f>
        <v>88424733.481852382</v>
      </c>
      <c r="Q7" s="782"/>
    </row>
    <row r="8" spans="2:17" x14ac:dyDescent="0.2">
      <c r="B8" s="88"/>
      <c r="C8" s="52" t="s">
        <v>37</v>
      </c>
      <c r="D8" s="432">
        <f>+'8. Normalized LF'!E12</f>
        <v>0</v>
      </c>
      <c r="E8" s="432">
        <f>+'8. Normalized LF'!F12</f>
        <v>0</v>
      </c>
      <c r="F8" s="432">
        <f>+'8. Normalized LF'!G12</f>
        <v>0</v>
      </c>
      <c r="G8" s="432">
        <f>+'8. Normalized LF'!H12</f>
        <v>0</v>
      </c>
      <c r="H8" s="432">
        <f>+'8. Normalized LF'!I12</f>
        <v>0</v>
      </c>
      <c r="I8" s="432">
        <f>+'8. Normalized LF'!J12</f>
        <v>0</v>
      </c>
      <c r="J8" s="432">
        <f>+'8. Normalized LF'!K12</f>
        <v>0</v>
      </c>
      <c r="K8" s="432">
        <f>+'8. Normalized LF'!L12</f>
        <v>0</v>
      </c>
      <c r="L8" s="432">
        <f>+'8. Normalized LF'!M12</f>
        <v>0</v>
      </c>
      <c r="M8" s="432">
        <f>+'8. Normalized LF'!N12</f>
        <v>0</v>
      </c>
      <c r="N8" s="432">
        <f>+'9.1 CDM Allocation'!O34</f>
        <v>0</v>
      </c>
      <c r="O8" s="701">
        <f>+'9.1 CDM Allocation'!U34</f>
        <v>0</v>
      </c>
      <c r="Q8" s="782"/>
    </row>
    <row r="9" spans="2:17" x14ac:dyDescent="0.2">
      <c r="B9" s="88"/>
      <c r="C9" s="52"/>
      <c r="D9" s="432"/>
      <c r="E9" s="432"/>
      <c r="F9" s="432"/>
      <c r="G9" s="432"/>
      <c r="H9" s="432"/>
      <c r="I9" s="432"/>
      <c r="J9" s="432"/>
      <c r="K9" s="432"/>
      <c r="L9" s="432"/>
      <c r="M9" s="432"/>
      <c r="N9" s="432"/>
      <c r="O9" s="701"/>
      <c r="Q9" s="782"/>
    </row>
    <row r="10" spans="2:17" x14ac:dyDescent="0.2">
      <c r="B10" s="581" t="str">
        <f>+'8. Normalized LF'!C14</f>
        <v>General Service &lt; 50 kW</v>
      </c>
      <c r="C10" s="87" t="s">
        <v>124</v>
      </c>
      <c r="D10" s="430">
        <f>+'8. Normalized LF'!E14</f>
        <v>743</v>
      </c>
      <c r="E10" s="430">
        <f>+'8. Normalized LF'!F14</f>
        <v>747</v>
      </c>
      <c r="F10" s="430">
        <f>+'8. Normalized LF'!G14</f>
        <v>754</v>
      </c>
      <c r="G10" s="430">
        <f>+'8. Normalized LF'!H14</f>
        <v>756.5</v>
      </c>
      <c r="H10" s="430">
        <f>+'8. Normalized LF'!I14</f>
        <v>767</v>
      </c>
      <c r="I10" s="430">
        <f>+'8. Normalized LF'!J14</f>
        <v>776.5</v>
      </c>
      <c r="J10" s="430">
        <f>+'8. Normalized LF'!K14</f>
        <v>781</v>
      </c>
      <c r="K10" s="430">
        <f>+'8. Normalized LF'!L14</f>
        <v>786</v>
      </c>
      <c r="L10" s="430">
        <f>+'8. Normalized LF'!M14</f>
        <v>784</v>
      </c>
      <c r="M10" s="430">
        <f>+'8. Normalized LF'!N14</f>
        <v>783</v>
      </c>
      <c r="N10" s="430">
        <f>+'8. Normalized LF'!O14</f>
        <v>786</v>
      </c>
      <c r="O10" s="700">
        <f>+'8. Normalized LF'!P14</f>
        <v>789</v>
      </c>
      <c r="Q10" s="782"/>
    </row>
    <row r="11" spans="2:17" x14ac:dyDescent="0.2">
      <c r="B11" s="88"/>
      <c r="C11" s="52" t="s">
        <v>36</v>
      </c>
      <c r="D11" s="430">
        <f>+'8. Normalized LF'!E15</f>
        <v>14537477.4</v>
      </c>
      <c r="E11" s="430">
        <f>+'8. Normalized LF'!F15</f>
        <v>14223773.710000001</v>
      </c>
      <c r="F11" s="430">
        <f>+'8. Normalized LF'!G15</f>
        <v>14339658.07</v>
      </c>
      <c r="G11" s="430">
        <f>+'8. Normalized LF'!H15</f>
        <v>15092313.370000001</v>
      </c>
      <c r="H11" s="430">
        <f>+'8. Normalized LF'!I15</f>
        <v>15369939.543000001</v>
      </c>
      <c r="I11" s="430">
        <f>+'8. Normalized LF'!J15</f>
        <v>17287125.199999999</v>
      </c>
      <c r="J11" s="430">
        <f>+'8. Normalized LF'!K15</f>
        <v>16948879</v>
      </c>
      <c r="K11" s="430">
        <f>+'8. Normalized LF'!L15</f>
        <v>15746949.627995308</v>
      </c>
      <c r="L11" s="430">
        <f>+'8. Normalized LF'!M15</f>
        <v>16432348.094357079</v>
      </c>
      <c r="M11" s="430">
        <f>+'8. Normalized LF'!N15</f>
        <v>16552639.278445883</v>
      </c>
      <c r="N11" s="430">
        <f>+'9.1 CDM Allocation'!O18</f>
        <v>16814371.240322266</v>
      </c>
      <c r="O11" s="700">
        <f>+'9.1 CDM Allocation'!U18</f>
        <v>17097027.04489236</v>
      </c>
      <c r="Q11" s="782"/>
    </row>
    <row r="12" spans="2:17" x14ac:dyDescent="0.2">
      <c r="B12" s="88"/>
      <c r="C12" s="52" t="s">
        <v>37</v>
      </c>
      <c r="D12" s="432">
        <f>+'8. Normalized LF'!E16</f>
        <v>0</v>
      </c>
      <c r="E12" s="432">
        <f>+'8. Normalized LF'!F16</f>
        <v>0</v>
      </c>
      <c r="F12" s="432">
        <f>+'8. Normalized LF'!G16</f>
        <v>0</v>
      </c>
      <c r="G12" s="432">
        <f>+'8. Normalized LF'!H16</f>
        <v>0</v>
      </c>
      <c r="H12" s="432">
        <f>+'8. Normalized LF'!I16</f>
        <v>0</v>
      </c>
      <c r="I12" s="432">
        <f>+'8. Normalized LF'!J16</f>
        <v>0</v>
      </c>
      <c r="J12" s="432">
        <f>+'8. Normalized LF'!K16</f>
        <v>0</v>
      </c>
      <c r="K12" s="432">
        <f>+'8. Normalized LF'!L16</f>
        <v>0</v>
      </c>
      <c r="L12" s="432">
        <f>+'8. Normalized LF'!M16</f>
        <v>0</v>
      </c>
      <c r="M12" s="432">
        <f>+'8. Normalized LF'!N16</f>
        <v>0</v>
      </c>
      <c r="N12" s="432">
        <f>+'9.1 CDM Allocation'!O36</f>
        <v>0</v>
      </c>
      <c r="O12" s="701">
        <f>+'9.1 CDM Allocation'!U36</f>
        <v>0</v>
      </c>
      <c r="Q12" s="782"/>
    </row>
    <row r="13" spans="2:17" x14ac:dyDescent="0.2">
      <c r="B13" s="88"/>
      <c r="C13" s="52"/>
      <c r="D13" s="432"/>
      <c r="E13" s="432"/>
      <c r="F13" s="432"/>
      <c r="G13" s="432"/>
      <c r="H13" s="432"/>
      <c r="I13" s="432"/>
      <c r="J13" s="432"/>
      <c r="K13" s="432"/>
      <c r="L13" s="432"/>
      <c r="M13" s="432"/>
      <c r="N13" s="432"/>
      <c r="O13" s="701"/>
      <c r="Q13" s="782"/>
    </row>
    <row r="14" spans="2:17" x14ac:dyDescent="0.2">
      <c r="B14" s="581" t="str">
        <f>+'8. Normalized LF'!C18</f>
        <v>General Service &gt; 50 kW - 4999 kW - Excluding Wholesale Market Participant</v>
      </c>
      <c r="C14" s="87" t="s">
        <v>124</v>
      </c>
      <c r="D14" s="430">
        <f>+'8. Normalized LF'!E18</f>
        <v>42</v>
      </c>
      <c r="E14" s="430">
        <f>+'8. Normalized LF'!F18</f>
        <v>40.5</v>
      </c>
      <c r="F14" s="430">
        <f>+'8. Normalized LF'!G18</f>
        <v>36</v>
      </c>
      <c r="G14" s="430">
        <f>+'8. Normalized LF'!H18</f>
        <v>31</v>
      </c>
      <c r="H14" s="430">
        <f>+'8. Normalized LF'!I18</f>
        <v>30</v>
      </c>
      <c r="I14" s="430">
        <f>+'8. Normalized LF'!J18</f>
        <v>31</v>
      </c>
      <c r="J14" s="430">
        <f>+'8. Normalized LF'!K18</f>
        <v>32.5</v>
      </c>
      <c r="K14" s="430">
        <f>+'8. Normalized LF'!L18</f>
        <v>35</v>
      </c>
      <c r="L14" s="430">
        <f>+'8. Normalized LF'!M18</f>
        <v>35</v>
      </c>
      <c r="M14" s="430">
        <f>+'8. Normalized LF'!N18</f>
        <v>36</v>
      </c>
      <c r="N14" s="430">
        <f>+'8. Normalized LF'!O18</f>
        <v>37</v>
      </c>
      <c r="O14" s="700">
        <f>+'8. Normalized LF'!P18</f>
        <v>37</v>
      </c>
      <c r="Q14" s="782"/>
    </row>
    <row r="15" spans="2:17" x14ac:dyDescent="0.2">
      <c r="B15" s="88"/>
      <c r="C15" s="52" t="s">
        <v>36</v>
      </c>
      <c r="D15" s="430">
        <f>+'8. Normalized LF'!E19</f>
        <v>12388793.66</v>
      </c>
      <c r="E15" s="430">
        <f>+'8. Normalized LF'!F19</f>
        <v>12633563.929999998</v>
      </c>
      <c r="F15" s="430">
        <f>+'8. Normalized LF'!G19</f>
        <v>14970174.015999999</v>
      </c>
      <c r="G15" s="430">
        <f>+'8. Normalized LF'!H19</f>
        <v>17386048.783999998</v>
      </c>
      <c r="H15" s="430">
        <f>+'8. Normalized LF'!I19</f>
        <v>16872487.509999998</v>
      </c>
      <c r="I15" s="430">
        <f>+'8. Normalized LF'!J19</f>
        <v>17629407.020000003</v>
      </c>
      <c r="J15" s="430">
        <f>+'8. Normalized LF'!K19</f>
        <v>17073810.420000002</v>
      </c>
      <c r="K15" s="430">
        <f>+'8. Normalized LF'!L19</f>
        <v>17613527.535856102</v>
      </c>
      <c r="L15" s="430">
        <f>+'8. Normalized LF'!M19</f>
        <v>17691775.363432009</v>
      </c>
      <c r="M15" s="430">
        <f>+'8. Normalized LF'!N19</f>
        <v>17311423.283422757</v>
      </c>
      <c r="N15" s="430">
        <f>+'9.1 CDM Allocation'!O20</f>
        <v>17360785.622136727</v>
      </c>
      <c r="O15" s="700">
        <f>+'9.1 CDM Allocation'!U20</f>
        <v>17434184.595869441</v>
      </c>
      <c r="Q15" s="782"/>
    </row>
    <row r="16" spans="2:17" x14ac:dyDescent="0.2">
      <c r="B16" s="88"/>
      <c r="C16" s="52" t="s">
        <v>37</v>
      </c>
      <c r="D16" s="432">
        <f>+'8. Normalized LF'!E20</f>
        <v>0</v>
      </c>
      <c r="E16" s="432">
        <f>+'8. Normalized LF'!F20</f>
        <v>0</v>
      </c>
      <c r="F16" s="432">
        <f>+'8. Normalized LF'!G20</f>
        <v>0</v>
      </c>
      <c r="G16" s="432">
        <f>+'8. Normalized LF'!H20</f>
        <v>0</v>
      </c>
      <c r="H16" s="432">
        <f>+'8. Normalized LF'!I20</f>
        <v>43811.69</v>
      </c>
      <c r="I16" s="432">
        <f>+'8. Normalized LF'!J20</f>
        <v>44115.7</v>
      </c>
      <c r="J16" s="432">
        <f>+'8. Normalized LF'!K20</f>
        <v>45358.5</v>
      </c>
      <c r="K16" s="432">
        <f>+'8. Normalized LF'!L20</f>
        <v>47594.97</v>
      </c>
      <c r="L16" s="432">
        <f>+'8. Normalized LF'!M20</f>
        <v>46866.61</v>
      </c>
      <c r="M16" s="432">
        <f>+'8. Normalized LF'!N20</f>
        <v>45989.17</v>
      </c>
      <c r="N16" s="432">
        <f>+'9.1 CDM Allocation'!O38</f>
        <v>45717.300698394283</v>
      </c>
      <c r="O16" s="701">
        <f>+'9.1 CDM Allocation'!U38</f>
        <v>45910.587052256822</v>
      </c>
      <c r="Q16" s="782"/>
    </row>
    <row r="17" spans="2:17" x14ac:dyDescent="0.2">
      <c r="B17" s="88"/>
      <c r="C17" s="52"/>
      <c r="D17" s="432"/>
      <c r="E17" s="432"/>
      <c r="F17" s="432"/>
      <c r="G17" s="432"/>
      <c r="H17" s="432"/>
      <c r="I17" s="432"/>
      <c r="J17" s="432"/>
      <c r="K17" s="432"/>
      <c r="L17" s="432"/>
      <c r="M17" s="432"/>
      <c r="N17" s="432"/>
      <c r="O17" s="701"/>
      <c r="Q17" s="782"/>
    </row>
    <row r="18" spans="2:17" x14ac:dyDescent="0.2">
      <c r="B18" s="581" t="str">
        <f>+'8. Normalized LF'!C22</f>
        <v>General Service &gt; 50 kW - 4999 kW - Wholesale Market Participant</v>
      </c>
      <c r="C18" s="87" t="s">
        <v>124</v>
      </c>
      <c r="D18" s="430">
        <f>+'8. Normalized LF'!E22</f>
        <v>1</v>
      </c>
      <c r="E18" s="430">
        <f>+'8. Normalized LF'!F22</f>
        <v>1</v>
      </c>
      <c r="F18" s="430">
        <f>+'8. Normalized LF'!G22</f>
        <v>1</v>
      </c>
      <c r="G18" s="430">
        <f>+'8. Normalized LF'!H22</f>
        <v>1</v>
      </c>
      <c r="H18" s="430">
        <f>+'8. Normalized LF'!I22</f>
        <v>1</v>
      </c>
      <c r="I18" s="430">
        <f>+'8. Normalized LF'!J22</f>
        <v>1</v>
      </c>
      <c r="J18" s="430">
        <f>+'8. Normalized LF'!K22</f>
        <v>1</v>
      </c>
      <c r="K18" s="430">
        <f>+'8. Normalized LF'!L22</f>
        <v>1</v>
      </c>
      <c r="L18" s="430">
        <f>+'8. Normalized LF'!M22</f>
        <v>1</v>
      </c>
      <c r="M18" s="430">
        <f>+'8. Normalized LF'!N22</f>
        <v>1</v>
      </c>
      <c r="N18" s="430">
        <f>+'8. Normalized LF'!O22</f>
        <v>1</v>
      </c>
      <c r="O18" s="700">
        <f>+'8. Normalized LF'!P22</f>
        <v>1</v>
      </c>
      <c r="Q18" s="813"/>
    </row>
    <row r="19" spans="2:17" x14ac:dyDescent="0.2">
      <c r="B19" s="88"/>
      <c r="C19" s="52" t="s">
        <v>36</v>
      </c>
      <c r="D19" s="430">
        <f>+'8. Normalized LF'!E23</f>
        <v>994198.57999999984</v>
      </c>
      <c r="E19" s="430">
        <f>+'8. Normalized LF'!F23</f>
        <v>4233263.5499999989</v>
      </c>
      <c r="F19" s="430">
        <f>+'8. Normalized LF'!G23</f>
        <v>4141943.8099999996</v>
      </c>
      <c r="G19" s="430">
        <f>+'8. Normalized LF'!H23</f>
        <v>4099392.6199999996</v>
      </c>
      <c r="H19" s="430">
        <f>+'8. Normalized LF'!I23</f>
        <v>4143210.3299999996</v>
      </c>
      <c r="I19" s="430">
        <f>+'8. Normalized LF'!J23</f>
        <v>4263662.9799999995</v>
      </c>
      <c r="J19" s="430">
        <f>+'8. Normalized LF'!K23</f>
        <v>4201222.58</v>
      </c>
      <c r="K19" s="430">
        <f>+'8. Normalized LF'!L23</f>
        <v>3761855.8131238185</v>
      </c>
      <c r="L19" s="430">
        <f>+'8. Normalized LF'!M23</f>
        <v>3594883.73</v>
      </c>
      <c r="M19" s="430">
        <f>+'8. Normalized LF'!N23</f>
        <v>3453199.0199999996</v>
      </c>
      <c r="N19" s="430">
        <f>+'9.1 CDM Allocation'!O22</f>
        <v>3399554.7352855722</v>
      </c>
      <c r="O19" s="700">
        <f>+'9.1 CDM Allocation'!U22</f>
        <v>3332216.527336997</v>
      </c>
      <c r="Q19" s="782"/>
    </row>
    <row r="20" spans="2:17" x14ac:dyDescent="0.2">
      <c r="B20" s="88"/>
      <c r="C20" s="52" t="s">
        <v>37</v>
      </c>
      <c r="D20" s="432">
        <f>+'8. Normalized LF'!E24</f>
        <v>0</v>
      </c>
      <c r="E20" s="432">
        <f>+'8. Normalized LF'!F24</f>
        <v>0</v>
      </c>
      <c r="F20" s="432">
        <f>+'8. Normalized LF'!G24</f>
        <v>0</v>
      </c>
      <c r="G20" s="432">
        <f>+'8. Normalized LF'!H24</f>
        <v>0</v>
      </c>
      <c r="H20" s="432">
        <f>+'8. Normalized LF'!I24</f>
        <v>7024.26</v>
      </c>
      <c r="I20" s="432">
        <f>+'8. Normalized LF'!J24</f>
        <v>7300.7999999999993</v>
      </c>
      <c r="J20" s="432">
        <f>+'8. Normalized LF'!K24</f>
        <v>7185.5999999999995</v>
      </c>
      <c r="K20" s="432">
        <f>+'8. Normalized LF'!L24</f>
        <v>6698.9100000000008</v>
      </c>
      <c r="L20" s="432">
        <f>+'8. Normalized LF'!M24</f>
        <v>6556.56</v>
      </c>
      <c r="M20" s="432">
        <f>+'8. Normalized LF'!N24</f>
        <v>6080.47</v>
      </c>
      <c r="N20" s="432">
        <f>+'9.1 CDM Allocation'!O40</f>
        <v>5975.1368658716037</v>
      </c>
      <c r="O20" s="701">
        <f>+'9.1 CDM Allocation'!U40</f>
        <v>5856.7816575794623</v>
      </c>
      <c r="Q20" s="782"/>
    </row>
    <row r="21" spans="2:17" x14ac:dyDescent="0.2">
      <c r="B21" s="88"/>
      <c r="C21" s="52"/>
      <c r="D21" s="432"/>
      <c r="E21" s="432"/>
      <c r="F21" s="432"/>
      <c r="G21" s="432"/>
      <c r="H21" s="432"/>
      <c r="I21" s="432"/>
      <c r="J21" s="432"/>
      <c r="K21" s="432"/>
      <c r="L21" s="432"/>
      <c r="M21" s="432"/>
      <c r="N21" s="432"/>
      <c r="O21" s="701"/>
      <c r="Q21" s="782"/>
    </row>
    <row r="22" spans="2:17" x14ac:dyDescent="0.2">
      <c r="B22" s="581" t="str">
        <f>+'8. Normalized LF'!C26</f>
        <v>Streetlighting</v>
      </c>
      <c r="C22" s="87" t="s">
        <v>124</v>
      </c>
      <c r="D22" s="430">
        <f>+'8. Normalized LF'!E26</f>
        <v>2181.5</v>
      </c>
      <c r="E22" s="430">
        <f>+'8. Normalized LF'!F26</f>
        <v>2259.5</v>
      </c>
      <c r="F22" s="430">
        <f>+'8. Normalized LF'!G26</f>
        <v>2340</v>
      </c>
      <c r="G22" s="430">
        <f>+'8. Normalized LF'!H26</f>
        <v>2421.5</v>
      </c>
      <c r="H22" s="430">
        <f>+'8. Normalized LF'!I26</f>
        <v>2473</v>
      </c>
      <c r="I22" s="430">
        <f>+'8. Normalized LF'!J26</f>
        <v>2483</v>
      </c>
      <c r="J22" s="430">
        <f>+'8. Normalized LF'!K26</f>
        <v>2493.5</v>
      </c>
      <c r="K22" s="430">
        <f>+'8. Normalized LF'!L26</f>
        <v>2588</v>
      </c>
      <c r="L22" s="430">
        <f>+'8. Normalized LF'!M26</f>
        <v>2693.5</v>
      </c>
      <c r="M22" s="430">
        <f>+'8. Normalized LF'!N26</f>
        <v>2738</v>
      </c>
      <c r="N22" s="430">
        <f>+'8. Normalized LF'!O26</f>
        <v>2777.4</v>
      </c>
      <c r="O22" s="700">
        <f>+'8. Normalized LF'!P26</f>
        <v>2819</v>
      </c>
      <c r="Q22" s="782"/>
    </row>
    <row r="23" spans="2:17" x14ac:dyDescent="0.2">
      <c r="B23" s="88"/>
      <c r="C23" s="52" t="s">
        <v>36</v>
      </c>
      <c r="D23" s="430">
        <f>+'8. Normalized LF'!E27</f>
        <v>1506679.0199999998</v>
      </c>
      <c r="E23" s="430">
        <f>+'8. Normalized LF'!F27</f>
        <v>1581464.98</v>
      </c>
      <c r="F23" s="430">
        <f>+'8. Normalized LF'!G27</f>
        <v>1649562.9100000001</v>
      </c>
      <c r="G23" s="430">
        <f>+'8. Normalized LF'!H27</f>
        <v>1743399.895</v>
      </c>
      <c r="H23" s="430">
        <f>+'8. Normalized LF'!I27</f>
        <v>1723126.175</v>
      </c>
      <c r="I23" s="430">
        <f>+'8. Normalized LF'!J27</f>
        <v>1736181.47</v>
      </c>
      <c r="J23" s="430">
        <f>+'8. Normalized LF'!K27</f>
        <v>1695783</v>
      </c>
      <c r="K23" s="430">
        <f>+'8. Normalized LF'!L27</f>
        <v>1731441.9339870713</v>
      </c>
      <c r="L23" s="430">
        <f>+'8. Normalized LF'!M27</f>
        <v>1796174.3293246992</v>
      </c>
      <c r="M23" s="430">
        <f>+'8. Normalized LF'!N27</f>
        <v>1834663.3857539315</v>
      </c>
      <c r="N23" s="430">
        <f>+'9.1 CDM Allocation'!O24</f>
        <v>1222277.2140331415</v>
      </c>
      <c r="O23" s="700">
        <f>+'9.1 CDM Allocation'!U24</f>
        <v>611199.20104438625</v>
      </c>
      <c r="Q23" s="782"/>
    </row>
    <row r="24" spans="2:17" x14ac:dyDescent="0.2">
      <c r="B24" s="88"/>
      <c r="C24" s="52" t="s">
        <v>37</v>
      </c>
      <c r="D24" s="432">
        <f>+'8. Normalized LF'!E28</f>
        <v>0</v>
      </c>
      <c r="E24" s="432">
        <f>+'8. Normalized LF'!F28</f>
        <v>0</v>
      </c>
      <c r="F24" s="432">
        <f>+'8. Normalized LF'!G28</f>
        <v>0</v>
      </c>
      <c r="G24" s="432">
        <f>+'8. Normalized LF'!H28</f>
        <v>0</v>
      </c>
      <c r="H24" s="432">
        <f>+'8. Normalized LF'!I28</f>
        <v>4962.5399999999991</v>
      </c>
      <c r="I24" s="432">
        <f>+'8. Normalized LF'!J28</f>
        <v>4976.3099999999995</v>
      </c>
      <c r="J24" s="432">
        <f>+'8. Normalized LF'!K28</f>
        <v>5014.5</v>
      </c>
      <c r="K24" s="432">
        <f>+'8. Normalized LF'!L28</f>
        <v>5202.74</v>
      </c>
      <c r="L24" s="432">
        <f>+'8. Normalized LF'!M28</f>
        <v>5310.59</v>
      </c>
      <c r="M24" s="432">
        <f>+'8. Normalized LF'!N28</f>
        <v>5426.1900000000014</v>
      </c>
      <c r="N24" s="432">
        <f>+'9.1 CDM Allocation'!O42</f>
        <v>3603.8465059511477</v>
      </c>
      <c r="O24" s="701">
        <f>+'9.1 CDM Allocation'!U42</f>
        <v>1802.1019125897085</v>
      </c>
      <c r="Q24" s="782"/>
    </row>
    <row r="25" spans="2:17" x14ac:dyDescent="0.2">
      <c r="B25" s="88"/>
      <c r="C25" s="52"/>
      <c r="D25" s="432"/>
      <c r="E25" s="432"/>
      <c r="F25" s="432"/>
      <c r="G25" s="432"/>
      <c r="H25" s="432"/>
      <c r="I25" s="432"/>
      <c r="J25" s="432"/>
      <c r="K25" s="432"/>
      <c r="L25" s="432"/>
      <c r="M25" s="432"/>
      <c r="N25" s="432"/>
      <c r="O25" s="701"/>
    </row>
    <row r="26" spans="2:17" x14ac:dyDescent="0.2">
      <c r="B26" s="581" t="str">
        <f>+'8. Normalized LF'!C30</f>
        <v>Unmetered Scattered Load</v>
      </c>
      <c r="C26" s="87" t="s">
        <v>124</v>
      </c>
      <c r="D26" s="432">
        <f>+'8. Normalized LF'!E30</f>
        <v>52.5</v>
      </c>
      <c r="E26" s="432">
        <f>+'8. Normalized LF'!F30</f>
        <v>46.5</v>
      </c>
      <c r="F26" s="432">
        <f>+'8. Normalized LF'!G30</f>
        <v>41.5</v>
      </c>
      <c r="G26" s="432">
        <f>+'8. Normalized LF'!H30</f>
        <v>40</v>
      </c>
      <c r="H26" s="432">
        <f>+'8. Normalized LF'!I30</f>
        <v>32.5</v>
      </c>
      <c r="I26" s="432">
        <f>+'8. Normalized LF'!J30</f>
        <v>36.5</v>
      </c>
      <c r="J26" s="432">
        <f>+'8. Normalized LF'!K30</f>
        <v>41.5</v>
      </c>
      <c r="K26" s="432">
        <f>+'8. Normalized LF'!L30</f>
        <v>39</v>
      </c>
      <c r="L26" s="432">
        <f>+'8. Normalized LF'!M30</f>
        <v>42.5</v>
      </c>
      <c r="M26" s="432">
        <f>+'8. Normalized LF'!N30</f>
        <v>41</v>
      </c>
      <c r="N26" s="432">
        <f>+'8. Normalized LF'!O30</f>
        <v>40</v>
      </c>
      <c r="O26" s="701">
        <f>+'8. Normalized LF'!P30</f>
        <v>40</v>
      </c>
    </row>
    <row r="27" spans="2:17" x14ac:dyDescent="0.2">
      <c r="B27" s="193"/>
      <c r="C27" s="52" t="s">
        <v>36</v>
      </c>
      <c r="D27" s="430">
        <f>+'8. Normalized LF'!E31</f>
        <v>264617</v>
      </c>
      <c r="E27" s="430">
        <f>+'8. Normalized LF'!F31</f>
        <v>255784</v>
      </c>
      <c r="F27" s="430">
        <f>+'8. Normalized LF'!G31</f>
        <v>220922</v>
      </c>
      <c r="G27" s="430">
        <f>+'8. Normalized LF'!H31</f>
        <v>173292</v>
      </c>
      <c r="H27" s="430">
        <f>+'8. Normalized LF'!I31</f>
        <v>255272</v>
      </c>
      <c r="I27" s="430">
        <f>+'8. Normalized LF'!J31</f>
        <v>322731</v>
      </c>
      <c r="J27" s="430">
        <f>+'8. Normalized LF'!K31</f>
        <v>310190</v>
      </c>
      <c r="K27" s="430">
        <f>+'8. Normalized LF'!L31</f>
        <v>264549.50046253472</v>
      </c>
      <c r="L27" s="430">
        <f>+'8. Normalized LF'!M31</f>
        <v>250495.81036077708</v>
      </c>
      <c r="M27" s="430">
        <f>+'8. Normalized LF'!N31</f>
        <v>248084.25158088063</v>
      </c>
      <c r="N27" s="430">
        <f>+'9.1 CDM Allocation'!O26</f>
        <v>232410.61456023974</v>
      </c>
      <c r="O27" s="700">
        <f>+'9.1 CDM Allocation'!U26</f>
        <v>221021.90461603086</v>
      </c>
    </row>
    <row r="28" spans="2:17" x14ac:dyDescent="0.2">
      <c r="B28" s="193"/>
      <c r="C28" s="52" t="s">
        <v>37</v>
      </c>
      <c r="D28" s="434">
        <f>+'8. Normalized LF'!E32</f>
        <v>0</v>
      </c>
      <c r="E28" s="434">
        <f>+'8. Normalized LF'!F32</f>
        <v>0</v>
      </c>
      <c r="F28" s="434">
        <f>+'8. Normalized LF'!G32</f>
        <v>0</v>
      </c>
      <c r="G28" s="434">
        <f>+'8. Normalized LF'!H32</f>
        <v>0</v>
      </c>
      <c r="H28" s="434">
        <f>+'8. Normalized LF'!I32</f>
        <v>0</v>
      </c>
      <c r="I28" s="434">
        <f>+'8. Normalized LF'!J32</f>
        <v>0</v>
      </c>
      <c r="J28" s="434">
        <f>+'8. Normalized LF'!K32</f>
        <v>0</v>
      </c>
      <c r="K28" s="434">
        <f>+'8. Normalized LF'!L32</f>
        <v>0</v>
      </c>
      <c r="L28" s="434">
        <f>+'8. Normalized LF'!M32</f>
        <v>0</v>
      </c>
      <c r="M28" s="434">
        <f>+'8. Normalized LF'!N32</f>
        <v>0</v>
      </c>
      <c r="N28" s="434">
        <f>+'9.1 CDM Allocation'!O44</f>
        <v>0</v>
      </c>
      <c r="O28" s="702">
        <f>+'9.1 CDM Allocation'!U44</f>
        <v>0</v>
      </c>
    </row>
    <row r="29" spans="2:17" x14ac:dyDescent="0.2">
      <c r="B29" s="193"/>
      <c r="C29" s="194"/>
      <c r="D29" s="435"/>
      <c r="E29" s="435"/>
      <c r="F29" s="435"/>
      <c r="G29" s="435"/>
      <c r="H29" s="435"/>
      <c r="I29" s="435"/>
      <c r="J29" s="435"/>
      <c r="K29" s="435"/>
      <c r="L29" s="435"/>
      <c r="M29" s="435"/>
      <c r="N29" s="435"/>
      <c r="O29" s="703"/>
    </row>
    <row r="30" spans="2:17" hidden="1" x14ac:dyDescent="0.2">
      <c r="B30" s="651" t="str">
        <f>'8. Normalized LF'!C34</f>
        <v>N/A</v>
      </c>
      <c r="C30" s="87" t="s">
        <v>124</v>
      </c>
      <c r="D30" s="435" t="b">
        <f>+'8. Normalized LF'!E34</f>
        <v>0</v>
      </c>
      <c r="E30" s="435" t="b">
        <f>+'8. Normalized LF'!F34</f>
        <v>0</v>
      </c>
      <c r="F30" s="435" t="b">
        <f>+'8. Normalized LF'!G34</f>
        <v>0</v>
      </c>
      <c r="G30" s="435" t="b">
        <f>+'8. Normalized LF'!H34</f>
        <v>0</v>
      </c>
      <c r="H30" s="435" t="b">
        <f>+'8. Normalized LF'!I34</f>
        <v>0</v>
      </c>
      <c r="I30" s="435" t="b">
        <f>+'8. Normalized LF'!J34</f>
        <v>0</v>
      </c>
      <c r="J30" s="435" t="b">
        <f>+'8. Normalized LF'!K34</f>
        <v>0</v>
      </c>
      <c r="K30" s="435" t="b">
        <f>+'8. Normalized LF'!L34</f>
        <v>0</v>
      </c>
      <c r="L30" s="435" t="b">
        <f>+'8. Normalized LF'!M34</f>
        <v>0</v>
      </c>
      <c r="M30" s="435" t="b">
        <f>+'8. Normalized LF'!N34</f>
        <v>0</v>
      </c>
      <c r="N30" s="435" t="b">
        <f>+'8. Normalized LF'!O34</f>
        <v>0</v>
      </c>
      <c r="O30" s="703" t="b">
        <f>+'8. Normalized LF'!P34</f>
        <v>0</v>
      </c>
    </row>
    <row r="31" spans="2:17" hidden="1" x14ac:dyDescent="0.2">
      <c r="B31" s="193"/>
      <c r="C31" s="52" t="s">
        <v>36</v>
      </c>
      <c r="D31" s="435">
        <f>+'8. Normalized LF'!E35</f>
        <v>0</v>
      </c>
      <c r="E31" s="435">
        <f>+'8. Normalized LF'!F35</f>
        <v>0</v>
      </c>
      <c r="F31" s="435">
        <f>+'8. Normalized LF'!G35</f>
        <v>0</v>
      </c>
      <c r="G31" s="435">
        <f>+'8. Normalized LF'!H35</f>
        <v>0</v>
      </c>
      <c r="H31" s="435">
        <f>+'8. Normalized LF'!I35</f>
        <v>0</v>
      </c>
      <c r="I31" s="435">
        <f>+'8. Normalized LF'!J35</f>
        <v>0</v>
      </c>
      <c r="J31" s="435">
        <f>+'8. Normalized LF'!K35</f>
        <v>0</v>
      </c>
      <c r="K31" s="435">
        <f>+'8. Normalized LF'!L35</f>
        <v>0</v>
      </c>
      <c r="L31" s="435">
        <f>+'8. Normalized LF'!M35</f>
        <v>0</v>
      </c>
      <c r="M31" s="435">
        <f>+'8. Normalized LF'!N35</f>
        <v>0</v>
      </c>
      <c r="N31" s="435">
        <f>+'9.1 CDM Allocation'!O28</f>
        <v>0</v>
      </c>
      <c r="O31" s="703">
        <f>+'9.1 CDM Allocation'!U28</f>
        <v>0</v>
      </c>
    </row>
    <row r="32" spans="2:17" hidden="1" x14ac:dyDescent="0.2">
      <c r="B32" s="193"/>
      <c r="C32" s="52" t="s">
        <v>37</v>
      </c>
      <c r="D32" s="435">
        <f>+'8. Normalized LF'!E36</f>
        <v>0</v>
      </c>
      <c r="E32" s="435">
        <f>+'8. Normalized LF'!F36</f>
        <v>0</v>
      </c>
      <c r="F32" s="435">
        <f>+'8. Normalized LF'!G36</f>
        <v>0</v>
      </c>
      <c r="G32" s="435">
        <f>+'8. Normalized LF'!H36</f>
        <v>0</v>
      </c>
      <c r="H32" s="435">
        <f>+'8. Normalized LF'!I36</f>
        <v>0</v>
      </c>
      <c r="I32" s="435">
        <f>+'8. Normalized LF'!J36</f>
        <v>0</v>
      </c>
      <c r="J32" s="435">
        <f>+'8. Normalized LF'!K36</f>
        <v>0</v>
      </c>
      <c r="K32" s="435">
        <f>+'8. Normalized LF'!L36</f>
        <v>0</v>
      </c>
      <c r="L32" s="435">
        <f>+'8. Normalized LF'!M36</f>
        <v>0</v>
      </c>
      <c r="M32" s="435">
        <f>+'8. Normalized LF'!N36</f>
        <v>0</v>
      </c>
      <c r="N32" s="432">
        <f>+'9.1 CDM Allocation'!O46</f>
        <v>0</v>
      </c>
      <c r="O32" s="703">
        <f>+'9.1 CDM Allocation'!U46</f>
        <v>0</v>
      </c>
    </row>
    <row r="33" spans="2:15" ht="13.5" hidden="1" thickBot="1" x14ac:dyDescent="0.25">
      <c r="B33" s="89"/>
      <c r="C33" s="90"/>
      <c r="D33" s="325"/>
      <c r="E33" s="325"/>
      <c r="F33" s="325"/>
      <c r="G33" s="325"/>
      <c r="H33" s="325"/>
      <c r="I33" s="325"/>
      <c r="J33" s="325"/>
      <c r="K33" s="325"/>
      <c r="L33" s="325"/>
      <c r="M33" s="325"/>
      <c r="N33" s="650"/>
      <c r="O33" s="596"/>
    </row>
    <row r="34" spans="2:15" hidden="1" x14ac:dyDescent="0.2">
      <c r="B34" s="647" t="str">
        <f>'2. Customer Classes'!B12</f>
        <v>N/A</v>
      </c>
      <c r="C34" s="648"/>
      <c r="D34" s="434"/>
      <c r="E34" s="434"/>
      <c r="F34" s="434"/>
      <c r="G34" s="434"/>
      <c r="H34" s="434"/>
      <c r="I34" s="434"/>
      <c r="J34" s="434"/>
      <c r="K34" s="434"/>
      <c r="L34" s="434"/>
      <c r="M34" s="434"/>
      <c r="N34" s="649"/>
      <c r="O34" s="652"/>
    </row>
    <row r="35" spans="2:15" hidden="1" x14ac:dyDescent="0.2">
      <c r="B35" s="193"/>
      <c r="C35" s="194"/>
      <c r="D35" s="435"/>
      <c r="E35" s="435"/>
      <c r="F35" s="435"/>
      <c r="G35" s="435"/>
      <c r="H35" s="435"/>
      <c r="I35" s="435"/>
      <c r="J35" s="435"/>
      <c r="K35" s="435"/>
      <c r="L35" s="435"/>
      <c r="M35" s="435"/>
      <c r="N35" s="436"/>
      <c r="O35" s="591"/>
    </row>
    <row r="36" spans="2:15" hidden="1" x14ac:dyDescent="0.2">
      <c r="B36" s="193"/>
      <c r="C36" s="194"/>
      <c r="D36" s="435"/>
      <c r="E36" s="435"/>
      <c r="F36" s="435"/>
      <c r="G36" s="435"/>
      <c r="H36" s="435"/>
      <c r="I36" s="435"/>
      <c r="J36" s="435"/>
      <c r="K36" s="435"/>
      <c r="L36" s="435"/>
      <c r="M36" s="435"/>
      <c r="N36" s="436"/>
      <c r="O36" s="591"/>
    </row>
    <row r="37" spans="2:15" hidden="1" x14ac:dyDescent="0.2">
      <c r="B37" s="193"/>
      <c r="C37" s="194"/>
      <c r="D37" s="435"/>
      <c r="E37" s="435"/>
      <c r="F37" s="435"/>
      <c r="G37" s="435"/>
      <c r="H37" s="435"/>
      <c r="I37" s="435"/>
      <c r="J37" s="435"/>
      <c r="K37" s="435"/>
      <c r="L37" s="435"/>
      <c r="M37" s="435"/>
      <c r="N37" s="436"/>
      <c r="O37" s="591"/>
    </row>
    <row r="38" spans="2:15" hidden="1" x14ac:dyDescent="0.2">
      <c r="B38" s="195" t="str">
        <f>'2. Customer Classes'!B13</f>
        <v>other</v>
      </c>
      <c r="C38" s="194"/>
      <c r="D38" s="435"/>
      <c r="E38" s="435"/>
      <c r="F38" s="435"/>
      <c r="G38" s="435"/>
      <c r="H38" s="435"/>
      <c r="I38" s="435"/>
      <c r="J38" s="435"/>
      <c r="K38" s="435"/>
      <c r="L38" s="435"/>
      <c r="M38" s="435"/>
      <c r="N38" s="436"/>
      <c r="O38" s="591"/>
    </row>
    <row r="39" spans="2:15" hidden="1" x14ac:dyDescent="0.2">
      <c r="B39" s="193"/>
      <c r="C39" s="194"/>
      <c r="D39" s="435"/>
      <c r="E39" s="435"/>
      <c r="F39" s="435"/>
      <c r="G39" s="435"/>
      <c r="H39" s="435"/>
      <c r="I39" s="435"/>
      <c r="J39" s="435"/>
      <c r="K39" s="435"/>
      <c r="L39" s="435"/>
      <c r="M39" s="435"/>
      <c r="N39" s="436"/>
      <c r="O39" s="591"/>
    </row>
    <row r="40" spans="2:15" hidden="1" x14ac:dyDescent="0.2">
      <c r="B40" s="193"/>
      <c r="C40" s="194"/>
      <c r="D40" s="435"/>
      <c r="E40" s="435"/>
      <c r="F40" s="435"/>
      <c r="G40" s="435"/>
      <c r="H40" s="435"/>
      <c r="I40" s="435"/>
      <c r="J40" s="435"/>
      <c r="K40" s="435"/>
      <c r="L40" s="435"/>
      <c r="M40" s="435"/>
      <c r="N40" s="436"/>
      <c r="O40" s="591"/>
    </row>
    <row r="41" spans="2:15" hidden="1" x14ac:dyDescent="0.2">
      <c r="B41" s="193"/>
      <c r="C41" s="194"/>
      <c r="D41" s="435"/>
      <c r="E41" s="435"/>
      <c r="F41" s="435"/>
      <c r="G41" s="435"/>
      <c r="H41" s="435"/>
      <c r="I41" s="435"/>
      <c r="J41" s="435"/>
      <c r="K41" s="435"/>
      <c r="L41" s="435"/>
      <c r="M41" s="435"/>
      <c r="N41" s="436"/>
      <c r="O41" s="591"/>
    </row>
    <row r="42" spans="2:15" hidden="1" x14ac:dyDescent="0.2">
      <c r="B42" s="195" t="str">
        <f>'2. Customer Classes'!B14</f>
        <v>other</v>
      </c>
      <c r="C42" s="194"/>
      <c r="D42" s="435"/>
      <c r="E42" s="435"/>
      <c r="F42" s="435"/>
      <c r="G42" s="435"/>
      <c r="H42" s="435"/>
      <c r="I42" s="435"/>
      <c r="J42" s="435"/>
      <c r="K42" s="435"/>
      <c r="L42" s="435"/>
      <c r="M42" s="435"/>
      <c r="N42" s="436"/>
      <c r="O42" s="591"/>
    </row>
    <row r="43" spans="2:15" hidden="1" x14ac:dyDescent="0.2">
      <c r="B43" s="195"/>
      <c r="C43" s="194"/>
      <c r="D43" s="435"/>
      <c r="E43" s="435"/>
      <c r="F43" s="435"/>
      <c r="G43" s="435"/>
      <c r="H43" s="435"/>
      <c r="I43" s="435"/>
      <c r="J43" s="435"/>
      <c r="K43" s="435"/>
      <c r="L43" s="435"/>
      <c r="M43" s="435"/>
      <c r="N43" s="436"/>
      <c r="O43" s="591"/>
    </row>
    <row r="44" spans="2:15" hidden="1" x14ac:dyDescent="0.2">
      <c r="B44" s="195"/>
      <c r="C44" s="194"/>
      <c r="D44" s="435"/>
      <c r="E44" s="435"/>
      <c r="F44" s="435"/>
      <c r="G44" s="435"/>
      <c r="H44" s="435"/>
      <c r="I44" s="435"/>
      <c r="J44" s="435"/>
      <c r="K44" s="435"/>
      <c r="L44" s="435"/>
      <c r="M44" s="435"/>
      <c r="N44" s="436"/>
      <c r="O44" s="591"/>
    </row>
    <row r="45" spans="2:15" x14ac:dyDescent="0.2">
      <c r="B45" s="195"/>
      <c r="C45" s="194"/>
      <c r="D45" s="435"/>
      <c r="E45" s="435"/>
      <c r="F45" s="435"/>
      <c r="G45" s="435"/>
      <c r="H45" s="435"/>
      <c r="I45" s="435"/>
      <c r="J45" s="435"/>
      <c r="K45" s="435"/>
      <c r="L45" s="435"/>
      <c r="M45" s="435"/>
      <c r="N45" s="436"/>
      <c r="O45" s="591"/>
    </row>
    <row r="46" spans="2:15" x14ac:dyDescent="0.2">
      <c r="B46" s="210" t="s">
        <v>16</v>
      </c>
      <c r="C46" s="211" t="s">
        <v>124</v>
      </c>
      <c r="D46" s="437">
        <f>D6+D10+D14+D18+D22+D26+D30+D34+D38+D42</f>
        <v>12460</v>
      </c>
      <c r="E46" s="437">
        <f t="shared" ref="E46:O48" si="0">E6+E10+E14+E18+E22+E26+E30+E34+E38+E42</f>
        <v>12952</v>
      </c>
      <c r="F46" s="437">
        <f t="shared" si="0"/>
        <v>13446</v>
      </c>
      <c r="G46" s="437">
        <f t="shared" si="0"/>
        <v>13908.5</v>
      </c>
      <c r="H46" s="437">
        <f t="shared" si="0"/>
        <v>14222</v>
      </c>
      <c r="I46" s="437">
        <f t="shared" si="0"/>
        <v>14447.5</v>
      </c>
      <c r="J46" s="437">
        <f t="shared" si="0"/>
        <v>14720</v>
      </c>
      <c r="K46" s="437">
        <f t="shared" si="0"/>
        <v>15058</v>
      </c>
      <c r="L46" s="437">
        <f t="shared" si="0"/>
        <v>15413</v>
      </c>
      <c r="M46" s="437">
        <f t="shared" si="0"/>
        <v>15681</v>
      </c>
      <c r="N46" s="437">
        <f t="shared" si="0"/>
        <v>15908.4</v>
      </c>
      <c r="O46" s="438">
        <f t="shared" si="0"/>
        <v>16157.858899999999</v>
      </c>
    </row>
    <row r="47" spans="2:15" x14ac:dyDescent="0.2">
      <c r="B47" s="210"/>
      <c r="C47" s="211" t="s">
        <v>36</v>
      </c>
      <c r="D47" s="437">
        <f>D7+D11+D15+D19+D23+D27+D31+D35+D39+D43</f>
        <v>104361983.96000001</v>
      </c>
      <c r="E47" s="437">
        <f t="shared" si="0"/>
        <v>106422351.35000001</v>
      </c>
      <c r="F47" s="437">
        <f t="shared" si="0"/>
        <v>109546147.41600001</v>
      </c>
      <c r="G47" s="437">
        <f t="shared" si="0"/>
        <v>117173371.772</v>
      </c>
      <c r="H47" s="437">
        <f t="shared" si="0"/>
        <v>121083045.91800001</v>
      </c>
      <c r="I47" s="437">
        <f>I7+I11+I15+I19+I23+I27+I31+I35+I39+I43</f>
        <v>125814571.27</v>
      </c>
      <c r="J47" s="437">
        <f t="shared" si="0"/>
        <v>124253328</v>
      </c>
      <c r="K47" s="437">
        <f t="shared" si="0"/>
        <v>121706363.46424992</v>
      </c>
      <c r="L47" s="437">
        <f t="shared" si="0"/>
        <v>126042209.27012025</v>
      </c>
      <c r="M47" s="437">
        <f>M7+M11+M15+M19+M23+M27+M31+M35+M39+M43</f>
        <v>127011198.77517015</v>
      </c>
      <c r="N47" s="437">
        <f>N7+N11+N15+N19+N23+N27+N31+N35+N39+N43</f>
        <v>127217372.74443601</v>
      </c>
      <c r="O47" s="438">
        <f>O7+O11+O15+O19+O23+O27+O31+O35+O39+O43</f>
        <v>127120382.75561158</v>
      </c>
    </row>
    <row r="48" spans="2:15" ht="13.5" thickBot="1" x14ac:dyDescent="0.25">
      <c r="B48" s="212"/>
      <c r="C48" s="213" t="s">
        <v>37</v>
      </c>
      <c r="D48" s="439">
        <f>D8+D12+D16+D20+D24+D28+D32+D36+D40+D44</f>
        <v>0</v>
      </c>
      <c r="E48" s="439">
        <f t="shared" si="0"/>
        <v>0</v>
      </c>
      <c r="F48" s="439">
        <f t="shared" si="0"/>
        <v>0</v>
      </c>
      <c r="G48" s="439">
        <f t="shared" si="0"/>
        <v>0</v>
      </c>
      <c r="H48" s="439">
        <f t="shared" si="0"/>
        <v>55798.490000000005</v>
      </c>
      <c r="I48" s="439">
        <f t="shared" si="0"/>
        <v>56392.81</v>
      </c>
      <c r="J48" s="439">
        <f t="shared" si="0"/>
        <v>57558.6</v>
      </c>
      <c r="K48" s="439">
        <f t="shared" si="0"/>
        <v>59496.62</v>
      </c>
      <c r="L48" s="439">
        <f t="shared" si="0"/>
        <v>58733.759999999995</v>
      </c>
      <c r="M48" s="439">
        <f t="shared" si="0"/>
        <v>57495.83</v>
      </c>
      <c r="N48" s="439">
        <f t="shared" si="0"/>
        <v>55296.284070217036</v>
      </c>
      <c r="O48" s="440">
        <f t="shared" si="0"/>
        <v>53569.470622425993</v>
      </c>
    </row>
    <row r="49" spans="11:15" x14ac:dyDescent="0.2">
      <c r="O49" s="1"/>
    </row>
    <row r="51" spans="11:15" x14ac:dyDescent="0.2">
      <c r="K51" s="59"/>
      <c r="L51" s="59"/>
      <c r="M51" s="59"/>
      <c r="N51" s="59"/>
    </row>
    <row r="52" spans="11:15" x14ac:dyDescent="0.2">
      <c r="K52" s="59"/>
      <c r="L52" s="139"/>
      <c r="M52" s="139"/>
      <c r="N52" s="139"/>
      <c r="O52" s="1"/>
    </row>
    <row r="53" spans="11:15" x14ac:dyDescent="0.2">
      <c r="K53" s="59"/>
      <c r="L53" s="707"/>
      <c r="M53" s="707"/>
      <c r="N53" s="707"/>
      <c r="O53" s="1"/>
    </row>
    <row r="54" spans="11:15" x14ac:dyDescent="0.2">
      <c r="K54" s="59"/>
      <c r="L54" s="708"/>
      <c r="M54" s="139"/>
      <c r="N54" s="139"/>
      <c r="O54" s="743"/>
    </row>
    <row r="55" spans="11:15" x14ac:dyDescent="0.2">
      <c r="K55" s="59"/>
      <c r="L55" s="59"/>
      <c r="M55" s="59"/>
      <c r="N55" s="709"/>
    </row>
    <row r="56" spans="11:15" x14ac:dyDescent="0.2">
      <c r="K56" s="59"/>
      <c r="L56" s="59"/>
      <c r="M56" s="59"/>
      <c r="N56" s="59"/>
    </row>
    <row r="57" spans="11:15" x14ac:dyDescent="0.2">
      <c r="K57" s="59"/>
      <c r="L57" s="59"/>
      <c r="M57" s="59"/>
      <c r="N57" s="59"/>
    </row>
    <row r="58" spans="11:15" x14ac:dyDescent="0.2">
      <c r="K58" s="139"/>
      <c r="L58" s="139"/>
      <c r="M58" s="139"/>
      <c r="N58" s="139"/>
    </row>
    <row r="59" spans="11:15" x14ac:dyDescent="0.2">
      <c r="K59" s="139"/>
      <c r="L59" s="710"/>
      <c r="M59" s="710"/>
      <c r="N59" s="710"/>
    </row>
    <row r="60" spans="11:15" x14ac:dyDescent="0.2">
      <c r="K60" s="139"/>
      <c r="L60" s="710"/>
      <c r="M60" s="710"/>
      <c r="N60" s="710"/>
    </row>
    <row r="61" spans="11:15" x14ac:dyDescent="0.2">
      <c r="K61" s="59"/>
      <c r="L61" s="711"/>
      <c r="M61" s="711"/>
      <c r="N61" s="711"/>
    </row>
    <row r="62" spans="11:15" x14ac:dyDescent="0.2">
      <c r="K62" s="59"/>
      <c r="L62" s="59"/>
      <c r="M62" s="59"/>
      <c r="N62" s="59"/>
    </row>
  </sheetData>
  <pageMargins left="0.23622047244094491" right="0.23622047244094491" top="0.74803149606299213" bottom="0.74803149606299213" header="0.31496062992125984" footer="0.31496062992125984"/>
  <pageSetup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4"/>
  <sheetViews>
    <sheetView showGridLines="0" zoomScaleNormal="100" workbookViewId="0"/>
  </sheetViews>
  <sheetFormatPr defaultColWidth="10.5" defaultRowHeight="12.75" x14ac:dyDescent="0.2"/>
  <cols>
    <col min="1" max="1" width="10.5" style="57"/>
    <col min="2" max="2" width="24.5" style="57" customWidth="1"/>
    <col min="3" max="3" width="16.83203125" style="57" customWidth="1"/>
    <col min="4" max="4" width="12.6640625" style="57" customWidth="1"/>
    <col min="5" max="5" width="12.5" style="57" customWidth="1"/>
    <col min="6" max="6" width="15.5" style="57" customWidth="1"/>
    <col min="7" max="7" width="9" style="57" customWidth="1"/>
    <col min="8" max="9" width="12" style="57" customWidth="1"/>
    <col min="10" max="10" width="11.83203125" style="57" customWidth="1"/>
    <col min="11" max="11" width="10.6640625" style="57" bestFit="1" customWidth="1"/>
    <col min="12" max="14" width="9" style="57" customWidth="1"/>
    <col min="15" max="16" width="9" style="57" hidden="1" customWidth="1"/>
    <col min="17" max="17" width="10.6640625" style="57" customWidth="1"/>
    <col min="18" max="18" width="8.5" style="57" customWidth="1"/>
    <col min="19" max="19" width="10.6640625" style="57" customWidth="1"/>
    <col min="20" max="20" width="8.33203125" style="57" customWidth="1"/>
    <col min="21" max="22" width="9" style="57" bestFit="1" customWidth="1"/>
    <col min="23" max="23" width="10.83203125" style="57" customWidth="1"/>
    <col min="24" max="24" width="9.6640625" style="57" bestFit="1" customWidth="1"/>
    <col min="25" max="25" width="8.5" style="57" bestFit="1" customWidth="1"/>
    <col min="26" max="26" width="9.5" style="57" bestFit="1" customWidth="1"/>
    <col min="27" max="27" width="8.33203125" style="57" bestFit="1" customWidth="1"/>
    <col min="28" max="29" width="9" style="57" bestFit="1" customWidth="1"/>
    <col min="30" max="30" width="10.83203125" style="57" bestFit="1" customWidth="1"/>
    <col min="31" max="31" width="8" style="57" bestFit="1" customWidth="1"/>
    <col min="32" max="32" width="9" style="57" bestFit="1" customWidth="1"/>
    <col min="33" max="16384" width="10.5" style="57"/>
  </cols>
  <sheetData>
    <row r="3" spans="2:16" ht="23.25" x14ac:dyDescent="0.2">
      <c r="B3" s="148" t="s">
        <v>56</v>
      </c>
    </row>
    <row r="4" spans="2:16" ht="13.5" thickBot="1" x14ac:dyDescent="0.25"/>
    <row r="5" spans="2:16" ht="51.75" customHeight="1" x14ac:dyDescent="0.2">
      <c r="B5" s="198"/>
      <c r="C5" s="1437" t="str">
        <f>+'10. Final Load Forecast'!B6</f>
        <v>Residential</v>
      </c>
      <c r="D5" s="1438"/>
      <c r="E5" s="1437" t="str">
        <f>+'10. Final Load Forecast'!B10</f>
        <v>General Service &lt; 50 kW</v>
      </c>
      <c r="F5" s="1438"/>
      <c r="G5" s="1441" t="str">
        <f>+'10. Final Load Forecast'!B14</f>
        <v>General Service &gt; 50 kW - 4999 kW - Excluding Wholesale Market Participant</v>
      </c>
      <c r="H5" s="1442"/>
      <c r="I5" s="1441" t="str">
        <f>+'10. Final Load Forecast'!B18</f>
        <v>General Service &gt; 50 kW - 4999 kW - Wholesale Market Participant</v>
      </c>
      <c r="J5" s="1442"/>
      <c r="K5" s="1441" t="str">
        <f>+'10. Final Load Forecast'!B22</f>
        <v>Streetlighting</v>
      </c>
      <c r="L5" s="1443"/>
      <c r="M5" s="1439" t="str">
        <f>+'10. Final Load Forecast'!B26</f>
        <v>Unmetered Scattered Load</v>
      </c>
      <c r="N5" s="1440"/>
      <c r="O5" s="1439" t="str">
        <f>+'10. Final Load Forecast'!B30</f>
        <v>N/A</v>
      </c>
      <c r="P5" s="1440"/>
    </row>
    <row r="6" spans="2:16" ht="38.25" x14ac:dyDescent="0.2">
      <c r="B6" s="91" t="s">
        <v>33</v>
      </c>
      <c r="C6" s="92" t="s">
        <v>46</v>
      </c>
      <c r="D6" s="92" t="s">
        <v>125</v>
      </c>
      <c r="E6" s="92" t="s">
        <v>46</v>
      </c>
      <c r="F6" s="92" t="s">
        <v>125</v>
      </c>
      <c r="G6" s="92" t="s">
        <v>46</v>
      </c>
      <c r="H6" s="92" t="s">
        <v>125</v>
      </c>
      <c r="I6" s="92" t="s">
        <v>407</v>
      </c>
      <c r="J6" s="92" t="s">
        <v>408</v>
      </c>
      <c r="K6" s="92" t="s">
        <v>46</v>
      </c>
      <c r="L6" s="93" t="s">
        <v>125</v>
      </c>
      <c r="M6" s="663" t="s">
        <v>46</v>
      </c>
      <c r="N6" s="93" t="s">
        <v>125</v>
      </c>
      <c r="O6" s="663" t="s">
        <v>46</v>
      </c>
      <c r="P6" s="93" t="s">
        <v>125</v>
      </c>
    </row>
    <row r="7" spans="2:16" x14ac:dyDescent="0.2">
      <c r="B7" s="199">
        <f>'4. Customer Growth'!B9</f>
        <v>2005</v>
      </c>
      <c r="C7" s="94">
        <f>+'10. Final Load Forecast'!$D$7/'10. Final Load Forecast'!$D$6</f>
        <v>7909.9807521186449</v>
      </c>
      <c r="D7" s="94">
        <f>+'10. Final Load Forecast'!$D$8/'10. Final Load Forecast'!$D$6</f>
        <v>0</v>
      </c>
      <c r="E7" s="94">
        <f>+'10. Final Load Forecast'!$D$11/'10. Final Load Forecast'!$D$10</f>
        <v>19565.918438761779</v>
      </c>
      <c r="F7" s="94">
        <f>+'10. Final Load Forecast'!$D$12/'10. Final Load Forecast'!$D$10</f>
        <v>0</v>
      </c>
      <c r="G7" s="94">
        <f>+'10. Final Load Forecast'!$D$15/'10. Final Load Forecast'!$D$14</f>
        <v>294971.27761904761</v>
      </c>
      <c r="H7" s="94">
        <f>+'10. Final Load Forecast'!$D$16/'10. Final Load Forecast'!$D$14</f>
        <v>0</v>
      </c>
      <c r="I7" s="94">
        <f>+'10. Final Load Forecast'!$D$19/'10. Final Load Forecast'!$D$18</f>
        <v>994198.57999999984</v>
      </c>
      <c r="J7" s="833">
        <f>+'10. Final Load Forecast'!$D$20/'10. Final Load Forecast'!$D$18</f>
        <v>0</v>
      </c>
      <c r="K7" s="94">
        <f>+'10. Final Load Forecast'!$D$23/'10. Final Load Forecast'!$D$22</f>
        <v>690.66193903277554</v>
      </c>
      <c r="L7" s="1055">
        <f>+'10. Final Load Forecast'!$D$24/'10. Final Load Forecast'!$D$22</f>
        <v>0</v>
      </c>
      <c r="M7" s="704">
        <f>+'10. Final Load Forecast'!$D$27/'10. Final Load Forecast'!$D$26</f>
        <v>5040.3238095238094</v>
      </c>
      <c r="N7" s="95">
        <f>+'10. Final Load Forecast'!$D$28/'10. Final Load Forecast'!$D$26</f>
        <v>0</v>
      </c>
      <c r="O7" s="704" t="e">
        <f>+'10. Final Load Forecast'!$D$31/'10. Final Load Forecast'!$D$31</f>
        <v>#DIV/0!</v>
      </c>
      <c r="P7" s="95" t="e">
        <f>+'10. Final Load Forecast'!$D$32/'10. Final Load Forecast'!$D$31</f>
        <v>#DIV/0!</v>
      </c>
    </row>
    <row r="8" spans="2:16" x14ac:dyDescent="0.2">
      <c r="B8" s="199">
        <f>'4. Customer Growth'!B10</f>
        <v>2006</v>
      </c>
      <c r="C8" s="94">
        <f>+'10. Final Load Forecast'!$E$7/'10. Final Load Forecast'!$E$6</f>
        <v>7455.6937539944211</v>
      </c>
      <c r="D8" s="94">
        <f>+'10. Final Load Forecast'!$E$8/'10. Final Load Forecast'!$E$6</f>
        <v>0</v>
      </c>
      <c r="E8" s="94">
        <f>+'10. Final Load Forecast'!$E$11/'10. Final Load Forecast'!$E$10</f>
        <v>19041.196398929053</v>
      </c>
      <c r="F8" s="94">
        <f>+'10. Final Load Forecast'!$E$12/'10. Final Load Forecast'!$E$10</f>
        <v>0</v>
      </c>
      <c r="G8" s="94">
        <f>+'10. Final Load Forecast'!$E$15/'10. Final Load Forecast'!$E$14</f>
        <v>311939.85012345674</v>
      </c>
      <c r="H8" s="94">
        <f>+'10. Final Load Forecast'!$E$16/'10. Final Load Forecast'!$E$14</f>
        <v>0</v>
      </c>
      <c r="I8" s="94">
        <f>+'10. Final Load Forecast'!$E$19/'10. Final Load Forecast'!$E$18</f>
        <v>4233263.5499999989</v>
      </c>
      <c r="J8" s="833">
        <f>+'10. Final Load Forecast'!$E$20/'10. Final Load Forecast'!$E$18</f>
        <v>0</v>
      </c>
      <c r="K8" s="94">
        <f>+'10. Final Load Forecast'!$E$23/'10. Final Load Forecast'!$E$22</f>
        <v>699.91811462712985</v>
      </c>
      <c r="L8" s="1055">
        <f>+'10. Final Load Forecast'!$E$24/'10. Final Load Forecast'!$E$22</f>
        <v>0</v>
      </c>
      <c r="M8" s="704">
        <f>+'10. Final Load Forecast'!$E$27/'10. Final Load Forecast'!$E$26</f>
        <v>5500.7311827956992</v>
      </c>
      <c r="N8" s="95">
        <f>+'10. Final Load Forecast'!$E$28/'10. Final Load Forecast'!$E$26</f>
        <v>0</v>
      </c>
      <c r="O8" s="704" t="e">
        <f>+'10. Final Load Forecast'!$E$31/'10. Final Load Forecast'!$E$30</f>
        <v>#DIV/0!</v>
      </c>
      <c r="P8" s="95" t="e">
        <f>+'10. Final Load Forecast'!$E$32/'10. Final Load Forecast'!$E$30</f>
        <v>#DIV/0!</v>
      </c>
    </row>
    <row r="9" spans="2:16" x14ac:dyDescent="0.2">
      <c r="B9" s="199">
        <f>'4. Customer Growth'!B11</f>
        <v>2007</v>
      </c>
      <c r="C9" s="94">
        <f>+'10. Final Load Forecast'!$F$7/'10. Final Load Forecast'!$F$6</f>
        <v>7224.7906370759738</v>
      </c>
      <c r="D9" s="94">
        <f>+'10. Final Load Forecast'!$F$8/'10. Final Load Forecast'!$F$6</f>
        <v>0</v>
      </c>
      <c r="E9" s="94">
        <f>+'10. Final Load Forecast'!$F$11/'10. Final Load Forecast'!$F$10</f>
        <v>19018.114151193633</v>
      </c>
      <c r="F9" s="94">
        <f>+'10. Final Load Forecast'!$F$12/'10. Final Load Forecast'!$F$10</f>
        <v>0</v>
      </c>
      <c r="G9" s="94">
        <f>+'10. Final Load Forecast'!$F$15/'10. Final Load Forecast'!$F$14</f>
        <v>415838.16711111111</v>
      </c>
      <c r="H9" s="94">
        <f>+'10. Final Load Forecast'!$F$16/'10. Final Load Forecast'!$F$14</f>
        <v>0</v>
      </c>
      <c r="I9" s="94">
        <f>+'10. Final Load Forecast'!$F$19/'10. Final Load Forecast'!$F$18</f>
        <v>4141943.8099999996</v>
      </c>
      <c r="J9" s="833">
        <f>+'10. Final Load Forecast'!$F$20/'10. Final Load Forecast'!$F$18</f>
        <v>0</v>
      </c>
      <c r="K9" s="94">
        <f>+'10. Final Load Forecast'!$F$23/'10. Final Load Forecast'!$F$22</f>
        <v>704.9414145299146</v>
      </c>
      <c r="L9" s="1055">
        <f>+'10. Final Load Forecast'!$F$24/'10. Final Load Forecast'!$F$22</f>
        <v>0</v>
      </c>
      <c r="M9" s="704">
        <f>+'10. Final Load Forecast'!$F$27/'10. Final Load Forecast'!$F$26</f>
        <v>5323.4216867469877</v>
      </c>
      <c r="N9" s="95">
        <f>+'10. Final Load Forecast'!$F$28/'10. Final Load Forecast'!$F$26</f>
        <v>0</v>
      </c>
      <c r="O9" s="704" t="e">
        <f>+'10. Final Load Forecast'!$F$31/'10. Final Load Forecast'!$F$30</f>
        <v>#DIV/0!</v>
      </c>
      <c r="P9" s="95" t="e">
        <f>+'10. Final Load Forecast'!$F$32/'10. Final Load Forecast'!$F$30</f>
        <v>#DIV/0!</v>
      </c>
    </row>
    <row r="10" spans="2:16" x14ac:dyDescent="0.2">
      <c r="B10" s="199">
        <f>'4. Customer Growth'!B12</f>
        <v>2008</v>
      </c>
      <c r="C10" s="94">
        <f>+'10. Final Load Forecast'!$G$7/'10. Final Load Forecast'!$G$6</f>
        <v>7381.8009197354222</v>
      </c>
      <c r="D10" s="94">
        <f>+'10. Final Load Forecast'!$G$8/'10. Final Load Forecast'!$G$6</f>
        <v>0</v>
      </c>
      <c r="E10" s="94">
        <f>+'10. Final Load Forecast'!$G$11/'10. Final Load Forecast'!$G$10</f>
        <v>19950.182908129544</v>
      </c>
      <c r="F10" s="94">
        <f>+'10. Final Load Forecast'!$G$12/'10. Final Load Forecast'!$G$10</f>
        <v>0</v>
      </c>
      <c r="G10" s="94">
        <f>+'10. Final Load Forecast'!$G$15/'10. Final Load Forecast'!$G$14</f>
        <v>560840.28335483861</v>
      </c>
      <c r="H10" s="94">
        <f>+'10. Final Load Forecast'!$G$16/'10. Final Load Forecast'!$G$14</f>
        <v>0</v>
      </c>
      <c r="I10" s="94">
        <f>+'10. Final Load Forecast'!$G$19/'10. Final Load Forecast'!$G$18</f>
        <v>4099392.6199999996</v>
      </c>
      <c r="J10" s="833">
        <f>+'10. Final Load Forecast'!$G$20/'10. Final Load Forecast'!$G$18</f>
        <v>0</v>
      </c>
      <c r="K10" s="94">
        <f>+'10. Final Load Forecast'!$G$23/'10. Final Load Forecast'!$G$22</f>
        <v>719.96691926491849</v>
      </c>
      <c r="L10" s="1055">
        <f>+'10. Final Load Forecast'!$G$24/'10. Final Load Forecast'!$G$22</f>
        <v>0</v>
      </c>
      <c r="M10" s="704">
        <f>+'10. Final Load Forecast'!$G$27/'10. Final Load Forecast'!$G$26</f>
        <v>4332.3</v>
      </c>
      <c r="N10" s="95">
        <f>+'10. Final Load Forecast'!$G$28/'10. Final Load Forecast'!$G$26</f>
        <v>0</v>
      </c>
      <c r="O10" s="704" t="e">
        <f>+'10. Final Load Forecast'!$G$31/'10. Final Load Forecast'!$G$30</f>
        <v>#DIV/0!</v>
      </c>
      <c r="P10" s="95" t="e">
        <f>+'10. Final Load Forecast'!$G$32/'10. Final Load Forecast'!$G$30</f>
        <v>#DIV/0!</v>
      </c>
    </row>
    <row r="11" spans="2:16" x14ac:dyDescent="0.2">
      <c r="B11" s="199">
        <f>'4. Customer Growth'!B13</f>
        <v>2009</v>
      </c>
      <c r="C11" s="94">
        <f>+'10. Final Load Forecast'!$H$7/'10. Final Load Forecast'!$H$6</f>
        <v>7576.041613774787</v>
      </c>
      <c r="D11" s="94">
        <f>+'10. Final Load Forecast'!$H$8/'10. Final Load Forecast'!$H$6</f>
        <v>0</v>
      </c>
      <c r="E11" s="94">
        <f>+'10. Final Load Forecast'!$H$11/'10. Final Load Forecast'!$H$10</f>
        <v>20039.034606258152</v>
      </c>
      <c r="F11" s="94">
        <f>+'10. Final Load Forecast'!$H$12/'10. Final Load Forecast'!$H$10</f>
        <v>0</v>
      </c>
      <c r="G11" s="94">
        <f>+'10. Final Load Forecast'!$H$15/'10. Final Load Forecast'!$H$14</f>
        <v>562416.25033333327</v>
      </c>
      <c r="H11" s="94">
        <f>+'10. Final Load Forecast'!$H$16/'10. Final Load Forecast'!$H$14</f>
        <v>1460.3896666666667</v>
      </c>
      <c r="I11" s="94">
        <f>+'10. Final Load Forecast'!$H$19/'10. Final Load Forecast'!$H$18</f>
        <v>4143210.3299999996</v>
      </c>
      <c r="J11" s="833">
        <f>+'10. Final Load Forecast'!$H$20/'10. Final Load Forecast'!$H$18</f>
        <v>7024.26</v>
      </c>
      <c r="K11" s="94">
        <f>+'10. Final Load Forecast'!$H$23/'10. Final Load Forecast'!$H$22</f>
        <v>696.7756469874646</v>
      </c>
      <c r="L11" s="1055">
        <f>+'10. Final Load Forecast'!$H$24/'10. Final Load Forecast'!$H$22</f>
        <v>2.0066882329154869</v>
      </c>
      <c r="M11" s="704">
        <f>+'10. Final Load Forecast'!$H$27/'10. Final Load Forecast'!$H$26</f>
        <v>7854.5230769230766</v>
      </c>
      <c r="N11" s="95">
        <f>+'10. Final Load Forecast'!$H$28/'10. Final Load Forecast'!$H$26</f>
        <v>0</v>
      </c>
      <c r="O11" s="704" t="e">
        <f>+'10. Final Load Forecast'!$H$31/'10. Final Load Forecast'!$H$30</f>
        <v>#DIV/0!</v>
      </c>
      <c r="P11" s="95" t="e">
        <f>+'10. Final Load Forecast'!$H$32/'10. Final Load Forecast'!$H$30</f>
        <v>#DIV/0!</v>
      </c>
    </row>
    <row r="12" spans="2:16" x14ac:dyDescent="0.2">
      <c r="B12" s="199">
        <f>'4. Customer Growth'!B14</f>
        <v>2010</v>
      </c>
      <c r="C12" s="94">
        <f>+'10. Final Load Forecast'!$I$7/'10. Final Load Forecast'!$I$6</f>
        <v>7606.04915688655</v>
      </c>
      <c r="D12" s="94">
        <f>+'10. Final Load Forecast'!$I$8/'10. Final Load Forecast'!$I$6</f>
        <v>0</v>
      </c>
      <c r="E12" s="94">
        <f>+'10. Final Load Forecast'!$I$11/'10. Final Load Forecast'!$I$10</f>
        <v>22262.878557630393</v>
      </c>
      <c r="F12" s="94">
        <f>+'10. Final Load Forecast'!$I$12/'10. Final Load Forecast'!$I$10</f>
        <v>0</v>
      </c>
      <c r="G12" s="94">
        <f>+'10. Final Load Forecast'!$I$15/'10. Final Load Forecast'!$I$14</f>
        <v>568690.54903225822</v>
      </c>
      <c r="H12" s="94">
        <f>+'10. Final Load Forecast'!$I$16/'10. Final Load Forecast'!$I$14</f>
        <v>1423.0870967741935</v>
      </c>
      <c r="I12" s="94">
        <f>+'10. Final Load Forecast'!$I$19/'10. Final Load Forecast'!$I$18</f>
        <v>4263662.9799999995</v>
      </c>
      <c r="J12" s="833">
        <f>+'10. Final Load Forecast'!$I$20/'10. Final Load Forecast'!$I$18</f>
        <v>7300.7999999999993</v>
      </c>
      <c r="K12" s="94">
        <f>+'10. Final Load Forecast'!$I$23/'10. Final Load Forecast'!$I$22</f>
        <v>699.22733387031815</v>
      </c>
      <c r="L12" s="1055">
        <f>+'10. Final Load Forecast'!$I$24/'10. Final Load Forecast'!$I$22</f>
        <v>2.0041522351993555</v>
      </c>
      <c r="M12" s="704">
        <f>+'10. Final Load Forecast'!$I$27/'10. Final Load Forecast'!$I$26</f>
        <v>8841.9452054794529</v>
      </c>
      <c r="N12" s="95">
        <f>+'10. Final Load Forecast'!$I$28/'10. Final Load Forecast'!$I$26</f>
        <v>0</v>
      </c>
      <c r="O12" s="704" t="e">
        <f>+'10. Final Load Forecast'!$I$31/'10. Final Load Forecast'!$I$30</f>
        <v>#DIV/0!</v>
      </c>
      <c r="P12" s="95" t="e">
        <f>+'10. Final Load Forecast'!$I$32/'10. Final Load Forecast'!$I$30</f>
        <v>#DIV/0!</v>
      </c>
    </row>
    <row r="13" spans="2:16" x14ac:dyDescent="0.2">
      <c r="B13" s="199">
        <f>'4. Customer Growth'!B15</f>
        <v>2011</v>
      </c>
      <c r="C13" s="94">
        <f>+'10. Final Load Forecast'!$J$7/'10. Final Load Forecast'!$J$6</f>
        <v>7389.5996658018557</v>
      </c>
      <c r="D13" s="94">
        <f>+'10. Final Load Forecast'!$J$8/'10. Final Load Forecast'!$J$6</f>
        <v>0</v>
      </c>
      <c r="E13" s="94">
        <f>+'10. Final Load Forecast'!$J$11/'10. Final Load Forecast'!$J$10</f>
        <v>21701.509603072984</v>
      </c>
      <c r="F13" s="94">
        <f>+'10. Final Load Forecast'!$J$12/'10. Final Load Forecast'!$J$10</f>
        <v>0</v>
      </c>
      <c r="G13" s="94">
        <f>+'10. Final Load Forecast'!$J$15/'10. Final Load Forecast'!$J$14</f>
        <v>525348.01292307698</v>
      </c>
      <c r="H13" s="94">
        <f>+'10. Final Load Forecast'!$J$16/'10. Final Load Forecast'!$J$14</f>
        <v>1395.6461538461538</v>
      </c>
      <c r="I13" s="94">
        <f>+'10. Final Load Forecast'!$J$19/'10. Final Load Forecast'!$J$18</f>
        <v>4201222.58</v>
      </c>
      <c r="J13" s="833">
        <f>+'10. Final Load Forecast'!$J$20/'10. Final Load Forecast'!$J$18</f>
        <v>7185.5999999999995</v>
      </c>
      <c r="K13" s="94">
        <f>+'10. Final Load Forecast'!$J$23/'10. Final Load Forecast'!$J$22</f>
        <v>680.08141167034285</v>
      </c>
      <c r="L13" s="1055">
        <f>+'10. Final Load Forecast'!$J$24/'10. Final Load Forecast'!$J$22</f>
        <v>2.0110286745538399</v>
      </c>
      <c r="M13" s="704">
        <f>+'10. Final Load Forecast'!$J$27/'10. Final Load Forecast'!$J$26</f>
        <v>7474.4578313253014</v>
      </c>
      <c r="N13" s="95">
        <f>+'10. Final Load Forecast'!$J$28/'10. Final Load Forecast'!$J$26</f>
        <v>0</v>
      </c>
      <c r="O13" s="704" t="e">
        <f>+'10. Final Load Forecast'!$J$31/'10. Final Load Forecast'!$J$30</f>
        <v>#DIV/0!</v>
      </c>
      <c r="P13" s="95" t="e">
        <f>+'10. Final Load Forecast'!$J$32/'10. Final Load Forecast'!$J$30</f>
        <v>#DIV/0!</v>
      </c>
    </row>
    <row r="14" spans="2:16" x14ac:dyDescent="0.2">
      <c r="B14" s="199">
        <f>'4. Customer Growth'!B16</f>
        <v>2012</v>
      </c>
      <c r="C14" s="94">
        <f>+'10. Final Load Forecast'!$K$7/'10. Final Load Forecast'!$K$6</f>
        <v>7114.1389484731753</v>
      </c>
      <c r="D14" s="94">
        <f>+'10. Final Load Forecast'!$K$8/'10. Final Load Forecast'!$K$6</f>
        <v>0</v>
      </c>
      <c r="E14" s="94">
        <f>+'10. Final Load Forecast'!$K$11/'10. Final Load Forecast'!$K$10</f>
        <v>20034.287058518203</v>
      </c>
      <c r="F14" s="94">
        <f>+'10. Final Load Forecast'!$K$12/'10. Final Load Forecast'!$K$10</f>
        <v>0</v>
      </c>
      <c r="G14" s="94">
        <f>+'10. Final Load Forecast'!$K$15/'10. Final Load Forecast'!$K$14</f>
        <v>503243.64388160291</v>
      </c>
      <c r="H14" s="94">
        <f>+'10. Final Load Forecast'!$K$16/'10. Final Load Forecast'!$K$14</f>
        <v>1359.8562857142858</v>
      </c>
      <c r="I14" s="94">
        <f>+'10. Final Load Forecast'!$K$19/'10. Final Load Forecast'!$K$18</f>
        <v>3761855.8131238185</v>
      </c>
      <c r="J14" s="833">
        <f>+'10. Final Load Forecast'!$K$20/'10. Final Load Forecast'!$K$18</f>
        <v>6698.9100000000008</v>
      </c>
      <c r="K14" s="94">
        <f>+'10. Final Load Forecast'!$K$23/'10. Final Load Forecast'!$K$22</f>
        <v>669.02702240613269</v>
      </c>
      <c r="L14" s="1055">
        <f>+'10. Final Load Forecast'!$K$24/'10. Final Load Forecast'!$K$22</f>
        <v>2.0103323029366305</v>
      </c>
      <c r="M14" s="704">
        <f>+'10. Final Load Forecast'!$K$27/'10. Final Load Forecast'!$K$26</f>
        <v>6783.3205246803773</v>
      </c>
      <c r="N14" s="95">
        <f>+'10. Final Load Forecast'!$K$28/'10. Final Load Forecast'!$K$26</f>
        <v>0</v>
      </c>
      <c r="O14" s="704" t="e">
        <f>+'10. Final Load Forecast'!$K$31/'10. Final Load Forecast'!$K$30</f>
        <v>#DIV/0!</v>
      </c>
      <c r="P14" s="95" t="e">
        <f>+'10. Final Load Forecast'!$K$32/'10. Final Load Forecast'!$K$30</f>
        <v>#DIV/0!</v>
      </c>
    </row>
    <row r="15" spans="2:16" x14ac:dyDescent="0.2">
      <c r="B15" s="199">
        <f>'4. Customer Growth'!B17</f>
        <v>2013</v>
      </c>
      <c r="C15" s="94">
        <f>+'10. Final Load Forecast'!$L$7/'10. Final Load Forecast'!$L$6</f>
        <v>7276.421686990444</v>
      </c>
      <c r="D15" s="94">
        <f>+'10. Final Load Forecast'!$L$8/'10. Final Load Forecast'!$L$6</f>
        <v>0</v>
      </c>
      <c r="E15" s="94">
        <f>+'10. Final Load Forecast'!$L$11/'10. Final Load Forecast'!$L$10</f>
        <v>20959.627671373826</v>
      </c>
      <c r="F15" s="94">
        <f>+'10. Final Load Forecast'!$L$12/'10. Final Load Forecast'!$L$10</f>
        <v>0</v>
      </c>
      <c r="G15" s="94">
        <f>+'10. Final Load Forecast'!$L$15/'10. Final Load Forecast'!$L$14</f>
        <v>505479.29609805741</v>
      </c>
      <c r="H15" s="94">
        <f>+'10. Final Load Forecast'!$L$16/'10. Final Load Forecast'!$L$14</f>
        <v>1339.046</v>
      </c>
      <c r="I15" s="94">
        <f>+'10. Final Load Forecast'!$L$19/'10. Final Load Forecast'!$L$18</f>
        <v>3594883.73</v>
      </c>
      <c r="J15" s="833">
        <f>+'10. Final Load Forecast'!$L$20/'10. Final Load Forecast'!$L$18</f>
        <v>6556.56</v>
      </c>
      <c r="K15" s="94">
        <f>+'10. Final Load Forecast'!$L$23/'10. Final Load Forecast'!$L$22</f>
        <v>666.85514361414494</v>
      </c>
      <c r="L15" s="1055">
        <f>+'10. Final Load Forecast'!$L$24/'10. Final Load Forecast'!$L$22</f>
        <v>1.9716317059587898</v>
      </c>
      <c r="M15" s="704">
        <f>+'10. Final Load Forecast'!$L$27/'10. Final Load Forecast'!$L$26</f>
        <v>5894.0190673124016</v>
      </c>
      <c r="N15" s="95">
        <f>+'10. Final Load Forecast'!$L$28/'10. Final Load Forecast'!$L$26</f>
        <v>0</v>
      </c>
      <c r="O15" s="704" t="e">
        <f>+'10. Final Load Forecast'!$L$31/'10. Final Load Forecast'!$L$30</f>
        <v>#DIV/0!</v>
      </c>
      <c r="P15" s="95" t="e">
        <f>+'10. Final Load Forecast'!$L$32/'10. Final Load Forecast'!$L$30</f>
        <v>#DIV/0!</v>
      </c>
    </row>
    <row r="16" spans="2:16" x14ac:dyDescent="0.2">
      <c r="B16" s="199">
        <f>'4. Customer Growth'!B18</f>
        <v>2014</v>
      </c>
      <c r="C16" s="94">
        <f>+'10. Final Load Forecast'!$M$7/'10. Final Load Forecast'!$M$6</f>
        <v>7251.3813570573338</v>
      </c>
      <c r="D16" s="94">
        <f>+'10. Final Load Forecast'!$M$8/'10. Final Load Forecast'!$M$6</f>
        <v>0</v>
      </c>
      <c r="E16" s="94">
        <f>+'10. Final Load Forecast'!$M$11/'10. Final Load Forecast'!$M$10</f>
        <v>21140.024621259108</v>
      </c>
      <c r="F16" s="94">
        <f>+'10. Final Load Forecast'!$M$12/'10. Final Load Forecast'!$M$10</f>
        <v>0</v>
      </c>
      <c r="G16" s="94">
        <f>+'10. Final Load Forecast'!$M$15/'10. Final Load Forecast'!$M$14</f>
        <v>480872.86898396548</v>
      </c>
      <c r="H16" s="94">
        <f>+'10. Final Load Forecast'!$M$16/'10. Final Load Forecast'!$M$14</f>
        <v>1277.4769444444444</v>
      </c>
      <c r="I16" s="94">
        <f>+'10. Final Load Forecast'!$M$19/'10. Final Load Forecast'!$M$18</f>
        <v>3453199.0199999996</v>
      </c>
      <c r="J16" s="833">
        <f>+'10. Final Load Forecast'!$M$20/'10. Final Load Forecast'!$M$18</f>
        <v>6080.47</v>
      </c>
      <c r="K16" s="94">
        <f>+'10. Final Load Forecast'!$M$23/'10. Final Load Forecast'!$M$22</f>
        <v>670.07428259822188</v>
      </c>
      <c r="L16" s="1055">
        <f>+'10. Final Load Forecast'!$M$24/'10. Final Load Forecast'!$M$22</f>
        <v>1.9818078889700517</v>
      </c>
      <c r="M16" s="704">
        <f>+'10. Final Load Forecast'!$M$27/'10. Final Load Forecast'!$M$26</f>
        <v>6050.8354044117232</v>
      </c>
      <c r="N16" s="95">
        <f>+'10. Final Load Forecast'!$M$28/'10. Final Load Forecast'!$M$26</f>
        <v>0</v>
      </c>
      <c r="O16" s="704" t="e">
        <f>+'10. Final Load Forecast'!$M$31/'10. Final Load Forecast'!$M$30</f>
        <v>#DIV/0!</v>
      </c>
      <c r="P16" s="95" t="e">
        <f>+'10. Final Load Forecast'!$M$32/'10. Final Load Forecast'!$M$30</f>
        <v>#DIV/0!</v>
      </c>
    </row>
    <row r="17" spans="2:16" x14ac:dyDescent="0.2">
      <c r="B17" s="200" t="str">
        <f>'4. Customer Growth'!B22</f>
        <v>2015</v>
      </c>
      <c r="C17" s="94">
        <f>+'10. Final Load Forecast'!$N$7/'10. Final Load Forecast'!$N$6</f>
        <v>7189.0416008884049</v>
      </c>
      <c r="D17" s="94">
        <f>+'10. Final Load Forecast'!$N$8/'10. Final Load Forecast'!$N$6</f>
        <v>0</v>
      </c>
      <c r="E17" s="94">
        <f>+'10. Final Load Forecast'!$N$11/'10. Final Load Forecast'!$N$10</f>
        <v>21392.329822292959</v>
      </c>
      <c r="F17" s="94">
        <f>+'10. Final Load Forecast'!$N$12/'10. Final Load Forecast'!$N$10</f>
        <v>0</v>
      </c>
      <c r="G17" s="94">
        <f>+'10. Final Load Forecast'!$N$15/'10. Final Load Forecast'!$N$14</f>
        <v>469210.42221991153</v>
      </c>
      <c r="H17" s="94">
        <f>+'10. Final Load Forecast'!$N$16/'10. Final Load Forecast'!$N$14</f>
        <v>1235.602721578224</v>
      </c>
      <c r="I17" s="94">
        <f>+'10. Final Load Forecast'!$N$19/'10. Final Load Forecast'!$N$18</f>
        <v>3399554.7352855722</v>
      </c>
      <c r="J17" s="833">
        <f>+'10. Final Load Forecast'!$N$20/'10. Final Load Forecast'!$N$18</f>
        <v>5975.1368658716037</v>
      </c>
      <c r="K17" s="94">
        <f>+'10. Final Load Forecast'!$N$23/'10. Final Load Forecast'!$N$22</f>
        <v>440.07964788404314</v>
      </c>
      <c r="L17" s="1055">
        <f>+'10. Final Load Forecast'!$N$24/'10. Final Load Forecast'!$N$22</f>
        <v>1.2975612104670367</v>
      </c>
      <c r="M17" s="704">
        <f>+'10. Final Load Forecast'!$N$27/'10. Final Load Forecast'!$N$26</f>
        <v>5810.2653640059934</v>
      </c>
      <c r="N17" s="95">
        <f>+'10. Final Load Forecast'!$N$28/'10. Final Load Forecast'!$N$26</f>
        <v>0</v>
      </c>
      <c r="O17" s="704" t="e">
        <f>+'10. Final Load Forecast'!$N$31/'10. Final Load Forecast'!$N$30</f>
        <v>#DIV/0!</v>
      </c>
      <c r="P17" s="95" t="e">
        <f>+'10. Final Load Forecast'!$N$32/'10. Final Load Forecast'!$N$30</f>
        <v>#DIV/0!</v>
      </c>
    </row>
    <row r="18" spans="2:16" ht="13.5" thickBot="1" x14ac:dyDescent="0.25">
      <c r="B18" s="201" t="str">
        <f>'4. Customer Growth'!B23</f>
        <v>2016</v>
      </c>
      <c r="C18" s="96">
        <f>+'10. Final Load Forecast'!$O$7/'10. Final Load Forecast'!$O$6</f>
        <v>7089.9401757866572</v>
      </c>
      <c r="D18" s="96">
        <f>+'10. Final Load Forecast'!$O$8/'10. Final Load Forecast'!$O$6</f>
        <v>0</v>
      </c>
      <c r="E18" s="96">
        <f>+'10. Final Load Forecast'!$O$11/'10. Final Load Forecast'!$O$10</f>
        <v>21669.235798342663</v>
      </c>
      <c r="F18" s="96">
        <f>+'10. Final Load Forecast'!$O$12/'10. Final Load Forecast'!$O$10</f>
        <v>0</v>
      </c>
      <c r="G18" s="96">
        <f>+'10. Final Load Forecast'!$O$15/'10. Final Load Forecast'!$O$14</f>
        <v>471194.17826674163</v>
      </c>
      <c r="H18" s="96">
        <f>+'10. Final Load Forecast'!$O$16/'10. Final Load Forecast'!$O$14</f>
        <v>1240.8266770880223</v>
      </c>
      <c r="I18" s="96">
        <f>+'10. Final Load Forecast'!$O$19/'10. Final Load Forecast'!$O$18</f>
        <v>3332216.527336997</v>
      </c>
      <c r="J18" s="834">
        <f>+'10. Final Load Forecast'!$O$20/'10. Final Load Forecast'!$O$18</f>
        <v>5856.7816575794623</v>
      </c>
      <c r="K18" s="96">
        <f>+'10. Final Load Forecast'!$O$23/'10. Final Load Forecast'!$O$22</f>
        <v>216.8141897993566</v>
      </c>
      <c r="L18" s="1056">
        <f>+'10. Final Load Forecast'!$O$24/'10. Final Load Forecast'!$O$22</f>
        <v>0.63926992287680329</v>
      </c>
      <c r="M18" s="705">
        <f>+'10. Final Load Forecast'!$O$27/'10. Final Load Forecast'!$O$26</f>
        <v>5525.547615400772</v>
      </c>
      <c r="N18" s="97">
        <f>+'10. Final Load Forecast'!$O$28/'10. Final Load Forecast'!$O$26</f>
        <v>0</v>
      </c>
      <c r="O18" s="705" t="e">
        <f>+'10. Final Load Forecast'!$O$31/'10. Final Load Forecast'!$O$30</f>
        <v>#DIV/0!</v>
      </c>
      <c r="P18" s="97" t="e">
        <f>+'10. Final Load Forecast'!$O$32/'10. Final Load Forecast'!$O$30</f>
        <v>#DIV/0!</v>
      </c>
    </row>
    <row r="21" spans="2:16" ht="13.5" thickBot="1" x14ac:dyDescent="0.25"/>
    <row r="22" spans="2:16" ht="37.5" customHeight="1" x14ac:dyDescent="0.2">
      <c r="B22" s="1147" t="s">
        <v>33</v>
      </c>
      <c r="C22" s="1148" t="s">
        <v>661</v>
      </c>
      <c r="D22" s="1148" t="s">
        <v>664</v>
      </c>
      <c r="E22" s="1148" t="s">
        <v>662</v>
      </c>
      <c r="F22" s="1148" t="s">
        <v>663</v>
      </c>
      <c r="G22" s="1148" t="s">
        <v>707</v>
      </c>
      <c r="H22" s="1149" t="s">
        <v>662</v>
      </c>
      <c r="I22" s="1142"/>
    </row>
    <row r="23" spans="2:16" x14ac:dyDescent="0.2">
      <c r="B23" s="199">
        <v>2005</v>
      </c>
      <c r="C23" s="1143">
        <f>'10. Final Load Forecast'!$D$47</f>
        <v>104361983.96000001</v>
      </c>
      <c r="D23" s="1144"/>
      <c r="E23" s="1144"/>
      <c r="F23" s="1143">
        <f>'10. Final Load Forecast'!$D$46</f>
        <v>12460</v>
      </c>
      <c r="G23" s="1144"/>
      <c r="H23" s="1150"/>
    </row>
    <row r="24" spans="2:16" x14ac:dyDescent="0.2">
      <c r="B24" s="199">
        <v>2006</v>
      </c>
      <c r="C24" s="1143">
        <f>'10. Final Load Forecast'!$E$47</f>
        <v>106422351.35000001</v>
      </c>
      <c r="D24" s="1145">
        <f>C24-C23</f>
        <v>2060367.3900000006</v>
      </c>
      <c r="E24" s="1146">
        <f>D24/C23</f>
        <v>1.9742508831469711E-2</v>
      </c>
      <c r="F24" s="1143">
        <f>'10. Final Load Forecast'!$E$46</f>
        <v>12952</v>
      </c>
      <c r="G24" s="1145">
        <f>F24-F23</f>
        <v>492</v>
      </c>
      <c r="H24" s="1151">
        <f>G24/F23</f>
        <v>3.9486356340288922E-2</v>
      </c>
    </row>
    <row r="25" spans="2:16" x14ac:dyDescent="0.2">
      <c r="B25" s="199">
        <v>2007</v>
      </c>
      <c r="C25" s="1143">
        <f>'10. Final Load Forecast'!$F$47</f>
        <v>109546147.41600001</v>
      </c>
      <c r="D25" s="1145">
        <f t="shared" ref="D25:D34" si="0">C25-C24</f>
        <v>3123796.0659999996</v>
      </c>
      <c r="E25" s="1146">
        <f t="shared" ref="E25:E34" si="1">D25/C24</f>
        <v>2.9352819462957667E-2</v>
      </c>
      <c r="F25" s="1143">
        <f>'10. Final Load Forecast'!$F$46</f>
        <v>13446</v>
      </c>
      <c r="G25" s="1145">
        <f t="shared" ref="G25:G34" si="2">F25-F24</f>
        <v>494</v>
      </c>
      <c r="H25" s="1151">
        <f t="shared" ref="H25:H34" si="3">G25/F24</f>
        <v>3.8140827671402103E-2</v>
      </c>
    </row>
    <row r="26" spans="2:16" x14ac:dyDescent="0.2">
      <c r="B26" s="199">
        <v>2008</v>
      </c>
      <c r="C26" s="1143">
        <f>'10. Final Load Forecast'!$G$47</f>
        <v>117173371.772</v>
      </c>
      <c r="D26" s="1145">
        <f t="shared" si="0"/>
        <v>7627224.3559999913</v>
      </c>
      <c r="E26" s="1146">
        <f t="shared" si="1"/>
        <v>6.9625674073554689E-2</v>
      </c>
      <c r="F26" s="1143">
        <f>'10. Final Load Forecast'!$G$46</f>
        <v>13908.5</v>
      </c>
      <c r="G26" s="1145">
        <f t="shared" si="2"/>
        <v>462.5</v>
      </c>
      <c r="H26" s="1151">
        <f t="shared" si="3"/>
        <v>3.4396846645842631E-2</v>
      </c>
    </row>
    <row r="27" spans="2:16" x14ac:dyDescent="0.2">
      <c r="B27" s="199">
        <v>2009</v>
      </c>
      <c r="C27" s="1143">
        <f>'10. Final Load Forecast'!$H$47</f>
        <v>121083045.91800001</v>
      </c>
      <c r="D27" s="1145">
        <f t="shared" si="0"/>
        <v>3909674.1460000128</v>
      </c>
      <c r="E27" s="1146">
        <f t="shared" si="1"/>
        <v>3.3366575416192611E-2</v>
      </c>
      <c r="F27" s="1143">
        <f>'10. Final Load Forecast'!$H$46</f>
        <v>14222</v>
      </c>
      <c r="G27" s="1145">
        <f t="shared" si="2"/>
        <v>313.5</v>
      </c>
      <c r="H27" s="1151">
        <f t="shared" si="3"/>
        <v>2.2540173275335227E-2</v>
      </c>
    </row>
    <row r="28" spans="2:16" x14ac:dyDescent="0.2">
      <c r="B28" s="199">
        <v>2010</v>
      </c>
      <c r="C28" s="1143">
        <f>'10. Final Load Forecast'!$I$47</f>
        <v>125814571.27</v>
      </c>
      <c r="D28" s="1145">
        <f t="shared" si="0"/>
        <v>4731525.3519999832</v>
      </c>
      <c r="E28" s="1146">
        <f t="shared" si="1"/>
        <v>3.9076695801031236E-2</v>
      </c>
      <c r="F28" s="1143">
        <f>'10. Final Load Forecast'!$I$46</f>
        <v>14447.5</v>
      </c>
      <c r="G28" s="1145">
        <f t="shared" si="2"/>
        <v>225.5</v>
      </c>
      <c r="H28" s="1151">
        <f t="shared" si="3"/>
        <v>1.5855716495570243E-2</v>
      </c>
    </row>
    <row r="29" spans="2:16" x14ac:dyDescent="0.2">
      <c r="B29" s="199">
        <v>2011</v>
      </c>
      <c r="C29" s="1143">
        <f>'10. Final Load Forecast'!$J$47</f>
        <v>124253328</v>
      </c>
      <c r="D29" s="1145">
        <f t="shared" si="0"/>
        <v>-1561243.2699999958</v>
      </c>
      <c r="E29" s="1146">
        <f t="shared" si="1"/>
        <v>-1.2409081509720712E-2</v>
      </c>
      <c r="F29" s="1143">
        <f>'10. Final Load Forecast'!$J$46</f>
        <v>14720</v>
      </c>
      <c r="G29" s="1145">
        <f t="shared" si="2"/>
        <v>272.5</v>
      </c>
      <c r="H29" s="1151">
        <f t="shared" si="3"/>
        <v>1.8861394704966256E-2</v>
      </c>
    </row>
    <row r="30" spans="2:16" x14ac:dyDescent="0.2">
      <c r="B30" s="199">
        <v>2012</v>
      </c>
      <c r="C30" s="1143">
        <f>'10. Final Load Forecast'!$K$47</f>
        <v>121706363.46424992</v>
      </c>
      <c r="D30" s="1145">
        <f t="shared" si="0"/>
        <v>-2546964.5357500762</v>
      </c>
      <c r="E30" s="1146">
        <f t="shared" si="1"/>
        <v>-2.0498159500002094E-2</v>
      </c>
      <c r="F30" s="1143">
        <f>'10. Final Load Forecast'!$K$46</f>
        <v>15058</v>
      </c>
      <c r="G30" s="1145">
        <f t="shared" si="2"/>
        <v>338</v>
      </c>
      <c r="H30" s="1151">
        <f t="shared" si="3"/>
        <v>2.296195652173913E-2</v>
      </c>
    </row>
    <row r="31" spans="2:16" x14ac:dyDescent="0.2">
      <c r="B31" s="199">
        <v>2013</v>
      </c>
      <c r="C31" s="1143">
        <f>'10. Final Load Forecast'!$L$47</f>
        <v>126042209.27012025</v>
      </c>
      <c r="D31" s="1145">
        <f t="shared" si="0"/>
        <v>4335845.8058703244</v>
      </c>
      <c r="E31" s="1146">
        <f t="shared" si="1"/>
        <v>3.5625465115009677E-2</v>
      </c>
      <c r="F31" s="1143">
        <f>'10. Final Load Forecast'!$L$46</f>
        <v>15413</v>
      </c>
      <c r="G31" s="1145">
        <f t="shared" si="2"/>
        <v>355</v>
      </c>
      <c r="H31" s="1151">
        <f t="shared" si="3"/>
        <v>2.3575508035595695E-2</v>
      </c>
    </row>
    <row r="32" spans="2:16" x14ac:dyDescent="0.2">
      <c r="B32" s="199">
        <v>2014</v>
      </c>
      <c r="C32" s="1143">
        <f>'10. Final Load Forecast'!$M$47</f>
        <v>127011198.77517015</v>
      </c>
      <c r="D32" s="1145">
        <f t="shared" si="0"/>
        <v>968989.50504989922</v>
      </c>
      <c r="E32" s="1146">
        <f t="shared" si="1"/>
        <v>7.6878175228844497E-3</v>
      </c>
      <c r="F32" s="1143">
        <f>'10. Final Load Forecast'!$M$46</f>
        <v>15681</v>
      </c>
      <c r="G32" s="1145">
        <f t="shared" si="2"/>
        <v>268</v>
      </c>
      <c r="H32" s="1151">
        <f t="shared" si="3"/>
        <v>1.7387919288911959E-2</v>
      </c>
    </row>
    <row r="33" spans="2:8" x14ac:dyDescent="0.2">
      <c r="B33" s="200" t="s">
        <v>81</v>
      </c>
      <c r="C33" s="1143">
        <f>'10. Final Load Forecast'!$N$47</f>
        <v>127217372.74443601</v>
      </c>
      <c r="D33" s="1145">
        <f t="shared" si="0"/>
        <v>206173.9692658633</v>
      </c>
      <c r="E33" s="1146">
        <f t="shared" si="1"/>
        <v>1.6232739416216656E-3</v>
      </c>
      <c r="F33" s="1143">
        <f>'10. Final Load Forecast'!$N$46</f>
        <v>15908.4</v>
      </c>
      <c r="G33" s="1145">
        <f t="shared" si="2"/>
        <v>227.39999999999964</v>
      </c>
      <c r="H33" s="1151">
        <f t="shared" si="3"/>
        <v>1.4501626171800244E-2</v>
      </c>
    </row>
    <row r="34" spans="2:8" ht="13.5" thickBot="1" x14ac:dyDescent="0.25">
      <c r="B34" s="201" t="s">
        <v>241</v>
      </c>
      <c r="C34" s="1152">
        <f>'10. Final Load Forecast'!$O$47</f>
        <v>127120382.75561158</v>
      </c>
      <c r="D34" s="1153">
        <f t="shared" si="0"/>
        <v>-96989.988824427128</v>
      </c>
      <c r="E34" s="1154">
        <f t="shared" si="1"/>
        <v>-7.6239578551325722E-4</v>
      </c>
      <c r="F34" s="1152">
        <f>'10. Final Load Forecast'!$O$46</f>
        <v>16157.858899999999</v>
      </c>
      <c r="G34" s="1153">
        <f t="shared" si="2"/>
        <v>249.45889999999963</v>
      </c>
      <c r="H34" s="1155">
        <f t="shared" si="3"/>
        <v>1.5680954715747632E-2</v>
      </c>
    </row>
  </sheetData>
  <mergeCells count="7">
    <mergeCell ref="C5:D5"/>
    <mergeCell ref="E5:F5"/>
    <mergeCell ref="O5:P5"/>
    <mergeCell ref="M5:N5"/>
    <mergeCell ref="G5:H5"/>
    <mergeCell ref="K5:L5"/>
    <mergeCell ref="I5: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8"/>
  <sheetViews>
    <sheetView showGridLines="0" zoomScaleNormal="100" workbookViewId="0"/>
  </sheetViews>
  <sheetFormatPr defaultColWidth="10.5" defaultRowHeight="12.75" x14ac:dyDescent="0.2"/>
  <cols>
    <col min="1" max="1" width="10.5" style="1"/>
    <col min="2" max="2" width="14" style="1" customWidth="1"/>
    <col min="3" max="8" width="13.33203125" style="1" customWidth="1"/>
    <col min="9" max="9" width="11.33203125" style="1" bestFit="1" customWidth="1"/>
    <col min="10" max="11" width="6.6640625" style="1" customWidth="1"/>
    <col min="12" max="12" width="13" style="1" bestFit="1" customWidth="1"/>
    <col min="13" max="13" width="14.33203125" style="1" bestFit="1" customWidth="1"/>
    <col min="14" max="14" width="18" style="1" customWidth="1"/>
    <col min="15" max="15" width="17.6640625" style="1" customWidth="1"/>
    <col min="16" max="16" width="15" style="1" customWidth="1"/>
    <col min="17" max="17" width="12.83203125" style="1" customWidth="1"/>
    <col min="18" max="18" width="15.6640625" style="1" customWidth="1"/>
    <col min="19" max="19" width="10" style="1" customWidth="1"/>
    <col min="20" max="20" width="14.1640625" style="1" customWidth="1"/>
    <col min="21" max="21" width="13" style="1" bestFit="1" customWidth="1"/>
    <col min="22" max="22" width="7.6640625" style="1" customWidth="1"/>
    <col min="23" max="23" width="11.33203125" style="1" bestFit="1" customWidth="1"/>
    <col min="24" max="24" width="4.5" style="1" bestFit="1" customWidth="1"/>
    <col min="25" max="25" width="11.33203125" style="1" bestFit="1" customWidth="1"/>
    <col min="26" max="26" width="6.5" style="1" bestFit="1" customWidth="1"/>
    <col min="27" max="28" width="11.33203125" style="1" bestFit="1" customWidth="1"/>
    <col min="29" max="30" width="10.5" style="1" customWidth="1"/>
    <col min="31" max="32" width="1.83203125" style="1" bestFit="1" customWidth="1"/>
    <col min="33" max="16384" width="10.5" style="1"/>
  </cols>
  <sheetData>
    <row r="2" spans="2:22" ht="23.25" x14ac:dyDescent="0.2">
      <c r="B2" s="127" t="s">
        <v>386</v>
      </c>
    </row>
    <row r="3" spans="2:22" ht="15" x14ac:dyDescent="0.2">
      <c r="B3" s="3"/>
      <c r="K3" s="1451" t="s">
        <v>705</v>
      </c>
      <c r="L3" s="1452"/>
      <c r="M3" s="1452"/>
      <c r="N3" s="1452"/>
      <c r="O3" s="1452"/>
      <c r="P3" s="1452"/>
      <c r="Q3" s="1452"/>
      <c r="R3" s="1452"/>
      <c r="S3" s="1452"/>
      <c r="T3" s="1452"/>
      <c r="U3" s="1452"/>
      <c r="V3" s="1453"/>
    </row>
    <row r="4" spans="2:22" ht="43.5" customHeight="1" thickBot="1" x14ac:dyDescent="0.25">
      <c r="B4" s="59"/>
      <c r="C4" s="139" t="s">
        <v>30</v>
      </c>
      <c r="D4" s="139"/>
      <c r="E4" s="139"/>
      <c r="F4" s="139"/>
      <c r="K4" s="1447" t="s">
        <v>33</v>
      </c>
      <c r="L4" s="1238" t="str">
        <f>B5</f>
        <v>Residential</v>
      </c>
      <c r="M4" s="1156" t="str">
        <f>B21</f>
        <v>General Service &lt; 50 kW</v>
      </c>
      <c r="N4" s="1445" t="str">
        <f>B37</f>
        <v>General Service &gt; 50 kW - 4999 kW - Excluding Wholesale Market Participant</v>
      </c>
      <c r="O4" s="1446"/>
      <c r="P4" s="1454" t="str">
        <f>B53</f>
        <v>General Service &gt; 50 kW - 4999 kW - Wholesale Market Participant</v>
      </c>
      <c r="Q4" s="1454"/>
      <c r="R4" s="1454" t="str">
        <f>B69</f>
        <v>Streetlighting</v>
      </c>
      <c r="S4" s="1454"/>
      <c r="T4" s="1156" t="str">
        <f>B85</f>
        <v>Unmetered Scattered Load</v>
      </c>
      <c r="U4" s="1449" t="s">
        <v>16</v>
      </c>
      <c r="V4" s="1450"/>
    </row>
    <row r="5" spans="2:22" ht="13.5" thickBot="1" x14ac:dyDescent="0.25">
      <c r="B5" s="1125" t="str">
        <f>+'10. Final Load Forecast'!B6</f>
        <v>Residential</v>
      </c>
      <c r="C5" s="1126"/>
      <c r="D5" s="1126"/>
      <c r="E5" s="1126"/>
      <c r="F5" s="1127"/>
      <c r="G5" s="1126"/>
      <c r="H5" s="1127"/>
      <c r="K5" s="1448"/>
      <c r="L5" s="13" t="s">
        <v>36</v>
      </c>
      <c r="M5" s="13" t="s">
        <v>36</v>
      </c>
      <c r="N5" s="13" t="s">
        <v>36</v>
      </c>
      <c r="O5" s="13" t="s">
        <v>37</v>
      </c>
      <c r="P5" s="13" t="s">
        <v>36</v>
      </c>
      <c r="Q5" s="13" t="s">
        <v>37</v>
      </c>
      <c r="R5" s="13" t="s">
        <v>36</v>
      </c>
      <c r="S5" s="13" t="s">
        <v>37</v>
      </c>
      <c r="T5" s="13" t="s">
        <v>36</v>
      </c>
      <c r="U5" s="13" t="s">
        <v>36</v>
      </c>
      <c r="V5" s="13" t="s">
        <v>37</v>
      </c>
    </row>
    <row r="6" spans="2:22" ht="13.5" thickBot="1" x14ac:dyDescent="0.25">
      <c r="B6" s="82" t="s">
        <v>33</v>
      </c>
      <c r="C6" s="655" t="s">
        <v>35</v>
      </c>
      <c r="D6" s="656" t="s">
        <v>660</v>
      </c>
      <c r="E6" s="657" t="s">
        <v>36</v>
      </c>
      <c r="F6" s="656" t="s">
        <v>660</v>
      </c>
      <c r="G6" s="1128" t="s">
        <v>37</v>
      </c>
      <c r="H6" s="658" t="s">
        <v>660</v>
      </c>
      <c r="K6" s="1157">
        <v>2005</v>
      </c>
      <c r="L6" s="94">
        <f>+'10. Final Load Forecast'!$D$7</f>
        <v>74670218.300000012</v>
      </c>
      <c r="M6" s="94">
        <f>+'10. Final Load Forecast'!$D$11</f>
        <v>14537477.4</v>
      </c>
      <c r="N6" s="94">
        <f>+'10. Final Load Forecast'!$D$15</f>
        <v>12388793.66</v>
      </c>
      <c r="O6" s="94">
        <f>+'10. Final Load Forecast'!$D$16</f>
        <v>0</v>
      </c>
      <c r="P6" s="94">
        <f>+'10. Final Load Forecast'!$D$19</f>
        <v>994198.57999999984</v>
      </c>
      <c r="Q6" s="94">
        <f>+'10. Final Load Forecast'!$D$20</f>
        <v>0</v>
      </c>
      <c r="R6" s="94">
        <f>+'10. Final Load Forecast'!$D$23</f>
        <v>1506679.0199999998</v>
      </c>
      <c r="S6" s="94">
        <f>+'10. Final Load Forecast'!$D$24</f>
        <v>0</v>
      </c>
      <c r="T6" s="94">
        <f>+'10. Final Load Forecast'!$D$27</f>
        <v>264617</v>
      </c>
      <c r="U6" s="1158">
        <f>L6+M6+N6+P6+R6+T6</f>
        <v>104361983.96000001</v>
      </c>
      <c r="V6" s="1158">
        <f>O6+Q6+S6</f>
        <v>0</v>
      </c>
    </row>
    <row r="7" spans="2:22" x14ac:dyDescent="0.2">
      <c r="B7" s="83">
        <v>2005</v>
      </c>
      <c r="C7" s="653">
        <f>'10. Final Load Forecast'!$D$6</f>
        <v>9440</v>
      </c>
      <c r="D7" s="653"/>
      <c r="E7" s="653">
        <f>+'10. Final Load Forecast'!$D$7</f>
        <v>74670218.300000012</v>
      </c>
      <c r="F7" s="654"/>
      <c r="G7" s="1129">
        <f>+'10. Final Load Forecast'!$D$8</f>
        <v>0</v>
      </c>
      <c r="H7" s="654"/>
      <c r="K7" s="1157">
        <v>2006</v>
      </c>
      <c r="L7" s="94">
        <f>+'10. Final Load Forecast'!$E$7</f>
        <v>73494501.180000007</v>
      </c>
      <c r="M7" s="94">
        <f>+'10. Final Load Forecast'!$E$11</f>
        <v>14223773.710000001</v>
      </c>
      <c r="N7" s="94">
        <f>+'10. Final Load Forecast'!$E$15</f>
        <v>12633563.929999998</v>
      </c>
      <c r="O7" s="94">
        <f>+'10. Final Load Forecast'!$E$16</f>
        <v>0</v>
      </c>
      <c r="P7" s="94">
        <f>+'10. Final Load Forecast'!$E$19</f>
        <v>4233263.5499999989</v>
      </c>
      <c r="Q7" s="94">
        <f>+'10. Final Load Forecast'!$E$20</f>
        <v>0</v>
      </c>
      <c r="R7" s="94">
        <f>+'10. Final Load Forecast'!$E$23</f>
        <v>1581464.98</v>
      </c>
      <c r="S7" s="94">
        <f>+'10. Final Load Forecast'!$E$24</f>
        <v>0</v>
      </c>
      <c r="T7" s="94">
        <f>+'10. Final Load Forecast'!$E$27</f>
        <v>255784</v>
      </c>
      <c r="U7" s="1158">
        <f t="shared" ref="U7:U17" si="0">L7+M7+N7+P7+R7+T7</f>
        <v>106422351.35000001</v>
      </c>
      <c r="V7" s="1158">
        <f t="shared" ref="V7:V17" si="1">O7+Q7+S7</f>
        <v>0</v>
      </c>
    </row>
    <row r="8" spans="2:22" x14ac:dyDescent="0.2">
      <c r="B8" s="84">
        <v>2006</v>
      </c>
      <c r="C8" s="94">
        <f>'10. Final Load Forecast'!$E$6</f>
        <v>9857.5</v>
      </c>
      <c r="D8" s="1134">
        <f t="shared" ref="D8:D18" si="2">(C8-C7)/C7</f>
        <v>4.4226694915254237E-2</v>
      </c>
      <c r="E8" s="94">
        <f>+'10. Final Load Forecast'!$E$7</f>
        <v>73494501.180000007</v>
      </c>
      <c r="F8" s="1131">
        <f>IF(E7&gt;0,+((E8-E7)/E7),0)</f>
        <v>-1.5745462471749658E-2</v>
      </c>
      <c r="G8" s="704">
        <f>+'10. Final Load Forecast'!$E$8</f>
        <v>0</v>
      </c>
      <c r="H8" s="659">
        <f>IF(G7&gt;0,+((G8-G7)/G7),0)</f>
        <v>0</v>
      </c>
      <c r="K8" s="1157">
        <v>2007</v>
      </c>
      <c r="L8" s="94">
        <f>+'10. Final Load Forecast'!$F$7</f>
        <v>74223886.610000014</v>
      </c>
      <c r="M8" s="94">
        <f>+'10. Final Load Forecast'!$F$11</f>
        <v>14339658.07</v>
      </c>
      <c r="N8" s="94">
        <f>+'10. Final Load Forecast'!$F$15</f>
        <v>14970174.015999999</v>
      </c>
      <c r="O8" s="94">
        <f>+'10. Final Load Forecast'!$F$16</f>
        <v>0</v>
      </c>
      <c r="P8" s="94">
        <f>+'10. Final Load Forecast'!$F$19</f>
        <v>4141943.8099999996</v>
      </c>
      <c r="Q8" s="94">
        <f>+'10. Final Load Forecast'!$F$20</f>
        <v>0</v>
      </c>
      <c r="R8" s="94">
        <f>+'10. Final Load Forecast'!$F$23</f>
        <v>1649562.9100000001</v>
      </c>
      <c r="S8" s="94">
        <f>+'10. Final Load Forecast'!$F$24</f>
        <v>0</v>
      </c>
      <c r="T8" s="94">
        <f>+'10. Final Load Forecast'!$F$27</f>
        <v>220922</v>
      </c>
      <c r="U8" s="1158">
        <f t="shared" si="0"/>
        <v>109546147.41600001</v>
      </c>
      <c r="V8" s="1158">
        <f t="shared" si="1"/>
        <v>0</v>
      </c>
    </row>
    <row r="9" spans="2:22" x14ac:dyDescent="0.2">
      <c r="B9" s="83">
        <v>2007</v>
      </c>
      <c r="C9" s="94">
        <f>'10. Final Load Forecast'!$F$6</f>
        <v>10273.5</v>
      </c>
      <c r="D9" s="1134">
        <f t="shared" si="2"/>
        <v>4.2201369515597262E-2</v>
      </c>
      <c r="E9" s="94">
        <f>+'10. Final Load Forecast'!$F$7</f>
        <v>74223886.610000014</v>
      </c>
      <c r="F9" s="1131">
        <f t="shared" ref="F9:F18" si="3">IF(E8&gt;0,+((E9-E8)/E8),0)</f>
        <v>9.9243537719049674E-3</v>
      </c>
      <c r="G9" s="704">
        <f>+'10. Final Load Forecast'!$F$8</f>
        <v>0</v>
      </c>
      <c r="H9" s="659">
        <f t="shared" ref="H9:H18" si="4">IF(G8&gt;0,+((G9-G8)/G8),0)</f>
        <v>0</v>
      </c>
      <c r="K9" s="1157">
        <v>2008</v>
      </c>
      <c r="L9" s="94">
        <f>+'10. Final Load Forecast'!$G$7</f>
        <v>78678925.103</v>
      </c>
      <c r="M9" s="94">
        <f>+'10. Final Load Forecast'!$G$11</f>
        <v>15092313.370000001</v>
      </c>
      <c r="N9" s="94">
        <f>+'10. Final Load Forecast'!$G$15</f>
        <v>17386048.783999998</v>
      </c>
      <c r="O9" s="94">
        <f>+'10. Final Load Forecast'!$G$16</f>
        <v>0</v>
      </c>
      <c r="P9" s="94">
        <f>+'10. Final Load Forecast'!$G$19</f>
        <v>4099392.6199999996</v>
      </c>
      <c r="Q9" s="94">
        <f>+'10. Final Load Forecast'!$G$20</f>
        <v>0</v>
      </c>
      <c r="R9" s="94">
        <f>+'10. Final Load Forecast'!$G$23</f>
        <v>1743399.895</v>
      </c>
      <c r="S9" s="94">
        <f>+'10. Final Load Forecast'!$G$24</f>
        <v>0</v>
      </c>
      <c r="T9" s="94">
        <f>+'10. Final Load Forecast'!$G$27</f>
        <v>173292</v>
      </c>
      <c r="U9" s="1158">
        <f t="shared" si="0"/>
        <v>117173371.772</v>
      </c>
      <c r="V9" s="1158">
        <f t="shared" si="1"/>
        <v>0</v>
      </c>
    </row>
    <row r="10" spans="2:22" x14ac:dyDescent="0.2">
      <c r="B10" s="84">
        <v>2008</v>
      </c>
      <c r="C10" s="94">
        <f>'10. Final Load Forecast'!$G$6</f>
        <v>10658.5</v>
      </c>
      <c r="D10" s="1134">
        <f t="shared" si="2"/>
        <v>3.7475057185963889E-2</v>
      </c>
      <c r="E10" s="94">
        <f>+'10. Final Load Forecast'!$G$7</f>
        <v>78678925.103</v>
      </c>
      <c r="F10" s="1131">
        <f t="shared" si="3"/>
        <v>6.0021627759920738E-2</v>
      </c>
      <c r="G10" s="704">
        <f>+'10. Final Load Forecast'!$G$8</f>
        <v>0</v>
      </c>
      <c r="H10" s="659">
        <f t="shared" si="4"/>
        <v>0</v>
      </c>
      <c r="K10" s="1157">
        <v>2009</v>
      </c>
      <c r="L10" s="94">
        <f>+'10. Final Load Forecast'!$H$7</f>
        <v>82719010.360000014</v>
      </c>
      <c r="M10" s="94">
        <f>+'10. Final Load Forecast'!$H$11</f>
        <v>15369939.543000001</v>
      </c>
      <c r="N10" s="94">
        <f>+'10. Final Load Forecast'!$H$15</f>
        <v>16872487.509999998</v>
      </c>
      <c r="O10" s="94">
        <f>+'10. Final Load Forecast'!$H$16</f>
        <v>43811.69</v>
      </c>
      <c r="P10" s="94">
        <f>+'10. Final Load Forecast'!$H$19</f>
        <v>4143210.3299999996</v>
      </c>
      <c r="Q10" s="94">
        <f>+'10. Final Load Forecast'!$H$20</f>
        <v>7024.26</v>
      </c>
      <c r="R10" s="94">
        <f>+'10. Final Load Forecast'!$H$23</f>
        <v>1723126.175</v>
      </c>
      <c r="S10" s="94">
        <f>+'10. Final Load Forecast'!$H$24</f>
        <v>4962.5399999999991</v>
      </c>
      <c r="T10" s="94">
        <f>+'10. Final Load Forecast'!$H$27</f>
        <v>255272</v>
      </c>
      <c r="U10" s="1158">
        <f t="shared" si="0"/>
        <v>121083045.91800001</v>
      </c>
      <c r="V10" s="1158">
        <f t="shared" si="1"/>
        <v>55798.490000000005</v>
      </c>
    </row>
    <row r="11" spans="2:22" x14ac:dyDescent="0.2">
      <c r="B11" s="83">
        <v>2009</v>
      </c>
      <c r="C11" s="94">
        <f>'10. Final Load Forecast'!$H$6</f>
        <v>10918.5</v>
      </c>
      <c r="D11" s="1134">
        <f t="shared" si="2"/>
        <v>2.4393676408500257E-2</v>
      </c>
      <c r="E11" s="94">
        <f>+'10. Final Load Forecast'!$H$7</f>
        <v>82719010.360000014</v>
      </c>
      <c r="F11" s="1131">
        <f t="shared" si="3"/>
        <v>5.1349014386140451E-2</v>
      </c>
      <c r="G11" s="704">
        <f>+'10. Final Load Forecast'!$H$8</f>
        <v>0</v>
      </c>
      <c r="H11" s="659">
        <f t="shared" si="4"/>
        <v>0</v>
      </c>
      <c r="K11" s="1157">
        <v>2010</v>
      </c>
      <c r="L11" s="94">
        <f>+'10. Final Load Forecast'!$I$7</f>
        <v>84575463.599999994</v>
      </c>
      <c r="M11" s="94">
        <f>+'10. Final Load Forecast'!$I$11</f>
        <v>17287125.199999999</v>
      </c>
      <c r="N11" s="94">
        <f>+'10. Final Load Forecast'!$I$15</f>
        <v>17629407.020000003</v>
      </c>
      <c r="O11" s="94">
        <f>+'10. Final Load Forecast'!$I$16</f>
        <v>44115.7</v>
      </c>
      <c r="P11" s="94">
        <f>+'10. Final Load Forecast'!$I$19</f>
        <v>4263662.9799999995</v>
      </c>
      <c r="Q11" s="94">
        <f>+'10. Final Load Forecast'!$I$20</f>
        <v>7300.7999999999993</v>
      </c>
      <c r="R11" s="94">
        <f>+'10. Final Load Forecast'!$I$23</f>
        <v>1736181.47</v>
      </c>
      <c r="S11" s="94">
        <f>+'10. Final Load Forecast'!$I$24</f>
        <v>4976.3099999999995</v>
      </c>
      <c r="T11" s="94">
        <f>+'10. Final Load Forecast'!$I$27</f>
        <v>322731</v>
      </c>
      <c r="U11" s="1158">
        <f t="shared" si="0"/>
        <v>125814571.27</v>
      </c>
      <c r="V11" s="1158">
        <f t="shared" si="1"/>
        <v>56392.81</v>
      </c>
    </row>
    <row r="12" spans="2:22" x14ac:dyDescent="0.2">
      <c r="B12" s="84">
        <v>2010</v>
      </c>
      <c r="C12" s="94">
        <f>'10. Final Load Forecast'!$I$6</f>
        <v>11119.5</v>
      </c>
      <c r="D12" s="1134">
        <f t="shared" si="2"/>
        <v>1.8409122132161011E-2</v>
      </c>
      <c r="E12" s="94">
        <f>+'10. Final Load Forecast'!$I$7</f>
        <v>84575463.599999994</v>
      </c>
      <c r="F12" s="1131">
        <f t="shared" si="3"/>
        <v>2.2442885038403394E-2</v>
      </c>
      <c r="G12" s="704">
        <f>+'10. Final Load Forecast'!$I$8</f>
        <v>0</v>
      </c>
      <c r="H12" s="659">
        <f t="shared" si="4"/>
        <v>0</v>
      </c>
      <c r="K12" s="1157">
        <v>2011</v>
      </c>
      <c r="L12" s="94">
        <f>+'10. Final Load Forecast'!$J$7</f>
        <v>84023443</v>
      </c>
      <c r="M12" s="94">
        <f>+'10. Final Load Forecast'!$J$11</f>
        <v>16948879</v>
      </c>
      <c r="N12" s="94">
        <f>+'10. Final Load Forecast'!$J$15</f>
        <v>17073810.420000002</v>
      </c>
      <c r="O12" s="94">
        <f>+'10. Final Load Forecast'!$J$16</f>
        <v>45358.5</v>
      </c>
      <c r="P12" s="94">
        <f>+'10. Final Load Forecast'!$J$19</f>
        <v>4201222.58</v>
      </c>
      <c r="Q12" s="94">
        <f>+'10. Final Load Forecast'!$J$20</f>
        <v>7185.5999999999995</v>
      </c>
      <c r="R12" s="94">
        <f>+'10. Final Load Forecast'!$J$23</f>
        <v>1695783</v>
      </c>
      <c r="S12" s="94">
        <f>+'10. Final Load Forecast'!$J$24</f>
        <v>5014.5</v>
      </c>
      <c r="T12" s="94">
        <f>+'10. Final Load Forecast'!$J$27</f>
        <v>310190</v>
      </c>
      <c r="U12" s="1158">
        <f t="shared" si="0"/>
        <v>124253328</v>
      </c>
      <c r="V12" s="1158">
        <f t="shared" si="1"/>
        <v>57558.6</v>
      </c>
    </row>
    <row r="13" spans="2:22" x14ac:dyDescent="0.2">
      <c r="B13" s="83">
        <v>2011</v>
      </c>
      <c r="C13" s="94">
        <f>'10. Final Load Forecast'!$J$6</f>
        <v>11370.5</v>
      </c>
      <c r="D13" s="1134">
        <f t="shared" si="2"/>
        <v>2.2572957417150052E-2</v>
      </c>
      <c r="E13" s="94">
        <f>+'10. Final Load Forecast'!$J$7</f>
        <v>84023443</v>
      </c>
      <c r="F13" s="1131">
        <f t="shared" si="3"/>
        <v>-6.5269591971825035E-3</v>
      </c>
      <c r="G13" s="704">
        <f>+'10. Final Load Forecast'!$J$8</f>
        <v>0</v>
      </c>
      <c r="H13" s="659">
        <f t="shared" si="4"/>
        <v>0</v>
      </c>
      <c r="K13" s="1157">
        <v>2012</v>
      </c>
      <c r="L13" s="94">
        <f>+'10. Final Load Forecast'!$K$7</f>
        <v>82588039.052825093</v>
      </c>
      <c r="M13" s="94">
        <f>+'10. Final Load Forecast'!$K$11</f>
        <v>15746949.627995308</v>
      </c>
      <c r="N13" s="94">
        <f>+'10. Final Load Forecast'!$K$15</f>
        <v>17613527.535856102</v>
      </c>
      <c r="O13" s="94">
        <f>+'10. Final Load Forecast'!$K$16</f>
        <v>47594.97</v>
      </c>
      <c r="P13" s="94">
        <f>+'10. Final Load Forecast'!$K$19</f>
        <v>3761855.8131238185</v>
      </c>
      <c r="Q13" s="94">
        <f>+'10. Final Load Forecast'!$K$20</f>
        <v>6698.9100000000008</v>
      </c>
      <c r="R13" s="94">
        <f>+'10. Final Load Forecast'!$K$23</f>
        <v>1731441.9339870713</v>
      </c>
      <c r="S13" s="94">
        <f>+'10. Final Load Forecast'!$K$24</f>
        <v>5202.74</v>
      </c>
      <c r="T13" s="94">
        <f>+'10. Final Load Forecast'!$K$27</f>
        <v>264549.50046253472</v>
      </c>
      <c r="U13" s="1158">
        <f t="shared" si="0"/>
        <v>121706363.46424992</v>
      </c>
      <c r="V13" s="1158">
        <f t="shared" si="1"/>
        <v>59496.62</v>
      </c>
    </row>
    <row r="14" spans="2:22" x14ac:dyDescent="0.2">
      <c r="B14" s="84">
        <v>2012</v>
      </c>
      <c r="C14" s="94">
        <f>'10. Final Load Forecast'!$K$6</f>
        <v>11609</v>
      </c>
      <c r="D14" s="1134">
        <f t="shared" si="2"/>
        <v>2.0975330900136317E-2</v>
      </c>
      <c r="E14" s="94">
        <f>+'10. Final Load Forecast'!$K$7</f>
        <v>82588039.052825093</v>
      </c>
      <c r="F14" s="1131">
        <f t="shared" si="3"/>
        <v>-1.7083374543160612E-2</v>
      </c>
      <c r="G14" s="704">
        <f>+'10. Final Load Forecast'!$K$8</f>
        <v>0</v>
      </c>
      <c r="H14" s="659">
        <f t="shared" si="4"/>
        <v>0</v>
      </c>
      <c r="K14" s="1157">
        <v>2013</v>
      </c>
      <c r="L14" s="94">
        <f>+'10. Final Load Forecast'!$L$7</f>
        <v>86276531.942645699</v>
      </c>
      <c r="M14" s="94">
        <f>+'10. Final Load Forecast'!$L$11</f>
        <v>16432348.094357079</v>
      </c>
      <c r="N14" s="94">
        <f>+'10. Final Load Forecast'!$L$15</f>
        <v>17691775.363432009</v>
      </c>
      <c r="O14" s="94">
        <f>+'10. Final Load Forecast'!$L$16</f>
        <v>46866.61</v>
      </c>
      <c r="P14" s="94">
        <f>+'10. Final Load Forecast'!$L$19</f>
        <v>3594883.73</v>
      </c>
      <c r="Q14" s="94">
        <f>+'10. Final Load Forecast'!$L$20</f>
        <v>6556.56</v>
      </c>
      <c r="R14" s="94">
        <f>+'10. Final Load Forecast'!$L$23</f>
        <v>1796174.3293246992</v>
      </c>
      <c r="S14" s="94">
        <f>+'10. Final Load Forecast'!$L$24</f>
        <v>5310.59</v>
      </c>
      <c r="T14" s="94">
        <f>+'10. Final Load Forecast'!$L$27</f>
        <v>250495.81036077708</v>
      </c>
      <c r="U14" s="1158">
        <f t="shared" si="0"/>
        <v>126042209.27012025</v>
      </c>
      <c r="V14" s="1158">
        <f t="shared" si="1"/>
        <v>58733.759999999995</v>
      </c>
    </row>
    <row r="15" spans="2:22" x14ac:dyDescent="0.2">
      <c r="B15" s="83">
        <v>2013</v>
      </c>
      <c r="C15" s="94">
        <f>'10. Final Load Forecast'!$L$6</f>
        <v>11857</v>
      </c>
      <c r="D15" s="1134">
        <f t="shared" si="2"/>
        <v>2.1362735808424498E-2</v>
      </c>
      <c r="E15" s="94">
        <f>+'10. Final Load Forecast'!$L$7</f>
        <v>86276531.942645699</v>
      </c>
      <c r="F15" s="1131">
        <f t="shared" si="3"/>
        <v>4.4661344816061876E-2</v>
      </c>
      <c r="G15" s="704">
        <f>+'10. Final Load Forecast'!$L$8</f>
        <v>0</v>
      </c>
      <c r="H15" s="659">
        <f t="shared" si="4"/>
        <v>0</v>
      </c>
      <c r="K15" s="1157">
        <v>2014</v>
      </c>
      <c r="L15" s="94">
        <f>+'10. Final Load Forecast'!$M$7</f>
        <v>87611189.555966705</v>
      </c>
      <c r="M15" s="94">
        <f>+'10. Final Load Forecast'!$M$11</f>
        <v>16552639.278445883</v>
      </c>
      <c r="N15" s="94">
        <f>+'10. Final Load Forecast'!$M$15</f>
        <v>17311423.283422757</v>
      </c>
      <c r="O15" s="94">
        <f>+'10. Final Load Forecast'!$M$16</f>
        <v>45989.17</v>
      </c>
      <c r="P15" s="94">
        <f>+'10. Final Load Forecast'!$M$19</f>
        <v>3453199.0199999996</v>
      </c>
      <c r="Q15" s="94">
        <f>+'10. Final Load Forecast'!$M$20</f>
        <v>6080.47</v>
      </c>
      <c r="R15" s="94">
        <f>+'10. Final Load Forecast'!$M$23</f>
        <v>1834663.3857539315</v>
      </c>
      <c r="S15" s="94">
        <f>+'10. Final Load Forecast'!$M$24</f>
        <v>5426.1900000000014</v>
      </c>
      <c r="T15" s="94">
        <f>+'10. Final Load Forecast'!$M$27</f>
        <v>248084.25158088063</v>
      </c>
      <c r="U15" s="1158">
        <f t="shared" si="0"/>
        <v>127011198.77517015</v>
      </c>
      <c r="V15" s="1158">
        <f t="shared" si="1"/>
        <v>57495.83</v>
      </c>
    </row>
    <row r="16" spans="2:22" x14ac:dyDescent="0.2">
      <c r="B16" s="84">
        <v>2014</v>
      </c>
      <c r="C16" s="94">
        <f>'10. Final Load Forecast'!$M$6</f>
        <v>12082</v>
      </c>
      <c r="D16" s="1134">
        <f t="shared" si="2"/>
        <v>1.8976132242557141E-2</v>
      </c>
      <c r="E16" s="94">
        <f>+'10. Final Load Forecast'!$M$7</f>
        <v>87611189.555966705</v>
      </c>
      <c r="F16" s="1131">
        <f t="shared" si="3"/>
        <v>1.5469532481999282E-2</v>
      </c>
      <c r="G16" s="704">
        <f>+'10. Final Load Forecast'!$M$8</f>
        <v>0</v>
      </c>
      <c r="H16" s="659">
        <f t="shared" si="4"/>
        <v>0</v>
      </c>
      <c r="K16" s="1161">
        <v>2015</v>
      </c>
      <c r="L16" s="94">
        <f>+'10. Final Load Forecast'!$N$7</f>
        <v>88187973.318098068</v>
      </c>
      <c r="M16" s="94">
        <f>+'10. Final Load Forecast'!$N$11</f>
        <v>16814371.240322266</v>
      </c>
      <c r="N16" s="94">
        <f>+'10. Final Load Forecast'!$N$15</f>
        <v>17360785.622136727</v>
      </c>
      <c r="O16" s="94">
        <f>+'10. Final Load Forecast'!$N$16</f>
        <v>45717.300698394283</v>
      </c>
      <c r="P16" s="94">
        <f>+'10. Final Load Forecast'!$N$19</f>
        <v>3399554.7352855722</v>
      </c>
      <c r="Q16" s="94">
        <f>+'10. Final Load Forecast'!$N$20</f>
        <v>5975.1368658716037</v>
      </c>
      <c r="R16" s="94">
        <f>+'10. Final Load Forecast'!$N$23</f>
        <v>1222277.2140331415</v>
      </c>
      <c r="S16" s="94">
        <f>+'10. Final Load Forecast'!$N$24</f>
        <v>3603.8465059511477</v>
      </c>
      <c r="T16" s="94">
        <f>+'10. Final Load Forecast'!$N$27</f>
        <v>232410.61456023974</v>
      </c>
      <c r="U16" s="1158">
        <f t="shared" si="0"/>
        <v>127217372.74443601</v>
      </c>
      <c r="V16" s="1158">
        <f t="shared" si="1"/>
        <v>55296.284070217036</v>
      </c>
    </row>
    <row r="17" spans="1:32" x14ac:dyDescent="0.2">
      <c r="B17" s="1130">
        <v>2015</v>
      </c>
      <c r="C17" s="94">
        <f>'10. Final Load Forecast'!$N$6</f>
        <v>12267</v>
      </c>
      <c r="D17" s="1135">
        <f t="shared" si="2"/>
        <v>1.5312034431385532E-2</v>
      </c>
      <c r="E17" s="94">
        <f>+'10. Final Load Forecast'!$N$7</f>
        <v>88187973.318098068</v>
      </c>
      <c r="F17" s="1132">
        <f t="shared" si="3"/>
        <v>6.5834485874993083E-3</v>
      </c>
      <c r="G17" s="704">
        <f>+'10. Final Load Forecast'!$N$8</f>
        <v>0</v>
      </c>
      <c r="H17" s="660">
        <f t="shared" si="4"/>
        <v>0</v>
      </c>
      <c r="K17" s="1161">
        <v>2016</v>
      </c>
      <c r="L17" s="94">
        <f>+'10. Final Load Forecast'!$O$7</f>
        <v>88424733.481852382</v>
      </c>
      <c r="M17" s="94">
        <f>+'10. Final Load Forecast'!$O$11</f>
        <v>17097027.04489236</v>
      </c>
      <c r="N17" s="94">
        <f>+'10. Final Load Forecast'!$O$15</f>
        <v>17434184.595869441</v>
      </c>
      <c r="O17" s="94">
        <f>+'10. Final Load Forecast'!$O$16</f>
        <v>45910.587052256822</v>
      </c>
      <c r="P17" s="94">
        <f>+'10. Final Load Forecast'!$O$19</f>
        <v>3332216.527336997</v>
      </c>
      <c r="Q17" s="94">
        <f>+'10. Final Load Forecast'!$O$20</f>
        <v>5856.7816575794623</v>
      </c>
      <c r="R17" s="94">
        <f>+'10. Final Load Forecast'!$O$23</f>
        <v>611199.20104438625</v>
      </c>
      <c r="S17" s="94">
        <f>+'10. Final Load Forecast'!$O$24</f>
        <v>1802.1019125897085</v>
      </c>
      <c r="T17" s="94">
        <f>+'10. Final Load Forecast'!$O$27</f>
        <v>221021.90461603086</v>
      </c>
      <c r="U17" s="1158">
        <f t="shared" si="0"/>
        <v>127120382.75561158</v>
      </c>
      <c r="V17" s="1158">
        <f t="shared" si="1"/>
        <v>53569.470622425993</v>
      </c>
      <c r="AE17" s="1" t="s">
        <v>30</v>
      </c>
      <c r="AF17" s="1" t="s">
        <v>30</v>
      </c>
    </row>
    <row r="18" spans="1:32" ht="13.5" thickBot="1" x14ac:dyDescent="0.25">
      <c r="A18" s="292"/>
      <c r="B18" s="85">
        <v>2016</v>
      </c>
      <c r="C18" s="96">
        <f>'10. Final Load Forecast'!$O$6</f>
        <v>12471.858899999999</v>
      </c>
      <c r="D18" s="1136">
        <f t="shared" si="2"/>
        <v>1.6699999999999941E-2</v>
      </c>
      <c r="E18" s="96">
        <f>+'10. Final Load Forecast'!$O$7</f>
        <v>88424733.481852382</v>
      </c>
      <c r="F18" s="1133">
        <f t="shared" si="3"/>
        <v>2.6847216785480421E-3</v>
      </c>
      <c r="G18" s="705">
        <f>+'10. Final Load Forecast'!$O$8</f>
        <v>0</v>
      </c>
      <c r="H18" s="661">
        <f t="shared" si="4"/>
        <v>0</v>
      </c>
    </row>
    <row r="19" spans="1:32" ht="12.75" customHeight="1" x14ac:dyDescent="0.2">
      <c r="A19" s="292"/>
      <c r="C19" s="292"/>
      <c r="K19" s="1455" t="s">
        <v>704</v>
      </c>
      <c r="L19" s="1456"/>
      <c r="M19" s="1456"/>
      <c r="N19" s="1456"/>
      <c r="O19" s="1456"/>
      <c r="P19" s="1456"/>
      <c r="Q19" s="1456"/>
      <c r="R19" s="1457"/>
    </row>
    <row r="20" spans="1:32" ht="48.75" customHeight="1" thickBot="1" x14ac:dyDescent="0.25">
      <c r="B20" s="1262"/>
      <c r="C20" s="1141"/>
      <c r="D20" s="139"/>
      <c r="E20" s="139"/>
      <c r="F20" s="139"/>
      <c r="K20" s="1159" t="s">
        <v>33</v>
      </c>
      <c r="L20" s="1156" t="str">
        <f>L4</f>
        <v>Residential</v>
      </c>
      <c r="M20" s="1156" t="str">
        <f>M4</f>
        <v>General Service &lt; 50 kW</v>
      </c>
      <c r="N20" s="1156" t="str">
        <f>N4</f>
        <v>General Service &gt; 50 kW - 4999 kW - Excluding Wholesale Market Participant</v>
      </c>
      <c r="O20" s="1156" t="str">
        <f>P4</f>
        <v>General Service &gt; 50 kW - 4999 kW - Wholesale Market Participant</v>
      </c>
      <c r="P20" s="1156" t="str">
        <f>R4</f>
        <v>Streetlighting</v>
      </c>
      <c r="Q20" s="1156" t="str">
        <f>T4</f>
        <v>Unmetered Scattered Load</v>
      </c>
      <c r="R20" s="1160" t="s">
        <v>16</v>
      </c>
    </row>
    <row r="21" spans="1:32" ht="12.75" customHeight="1" thickBot="1" x14ac:dyDescent="0.25">
      <c r="B21" s="1125" t="str">
        <f>+'10. Final Load Forecast'!B10</f>
        <v>General Service &lt; 50 kW</v>
      </c>
      <c r="C21" s="1126"/>
      <c r="D21" s="1126"/>
      <c r="E21" s="1126"/>
      <c r="F21" s="1127"/>
      <c r="G21" s="1126"/>
      <c r="H21" s="1127"/>
      <c r="K21" s="1157">
        <v>2005</v>
      </c>
      <c r="L21" s="94">
        <f>'10. Final Load Forecast'!$D$6</f>
        <v>9440</v>
      </c>
      <c r="M21" s="94">
        <f>'10. Final Load Forecast'!$D$10</f>
        <v>743</v>
      </c>
      <c r="N21" s="94">
        <f>'10. Final Load Forecast'!$D$14</f>
        <v>42</v>
      </c>
      <c r="O21" s="94">
        <f>'10. Final Load Forecast'!$D$18</f>
        <v>1</v>
      </c>
      <c r="P21" s="94">
        <f>'10. Final Load Forecast'!$D$22</f>
        <v>2181.5</v>
      </c>
      <c r="Q21" s="94">
        <f>'10. Final Load Forecast'!$D$26</f>
        <v>52.5</v>
      </c>
      <c r="R21" s="1158">
        <f t="shared" ref="R21:R32" si="5">SUM(L21:Q21)</f>
        <v>12460</v>
      </c>
    </row>
    <row r="22" spans="1:32" ht="13.5" thickBot="1" x14ac:dyDescent="0.25">
      <c r="B22" s="82" t="s">
        <v>33</v>
      </c>
      <c r="C22" s="655" t="s">
        <v>35</v>
      </c>
      <c r="D22" s="656" t="s">
        <v>660</v>
      </c>
      <c r="E22" s="657" t="s">
        <v>36</v>
      </c>
      <c r="F22" s="656" t="s">
        <v>660</v>
      </c>
      <c r="G22" s="1128" t="s">
        <v>37</v>
      </c>
      <c r="H22" s="658" t="s">
        <v>660</v>
      </c>
      <c r="K22" s="1157">
        <v>2006</v>
      </c>
      <c r="L22" s="94">
        <f>'10. Final Load Forecast'!$E$6</f>
        <v>9857.5</v>
      </c>
      <c r="M22" s="94">
        <f>'10. Final Load Forecast'!$E$10</f>
        <v>747</v>
      </c>
      <c r="N22" s="94">
        <f>'10. Final Load Forecast'!$E$14</f>
        <v>40.5</v>
      </c>
      <c r="O22" s="94">
        <f>'10. Final Load Forecast'!$E$18</f>
        <v>1</v>
      </c>
      <c r="P22" s="94">
        <f>'10. Final Load Forecast'!$E$22</f>
        <v>2259.5</v>
      </c>
      <c r="Q22" s="94">
        <f>'10. Final Load Forecast'!$E$26</f>
        <v>46.5</v>
      </c>
      <c r="R22" s="1158">
        <f t="shared" si="5"/>
        <v>12952</v>
      </c>
    </row>
    <row r="23" spans="1:32" ht="12.75" customHeight="1" x14ac:dyDescent="0.2">
      <c r="B23" s="83">
        <v>2005</v>
      </c>
      <c r="C23" s="653">
        <f>'10. Final Load Forecast'!$D$10</f>
        <v>743</v>
      </c>
      <c r="D23" s="653"/>
      <c r="E23" s="653">
        <f>+'10. Final Load Forecast'!$D$11</f>
        <v>14537477.4</v>
      </c>
      <c r="F23" s="654"/>
      <c r="G23" s="1129">
        <f>+'10. Final Load Forecast'!$D$12</f>
        <v>0</v>
      </c>
      <c r="H23" s="654"/>
      <c r="K23" s="1157">
        <v>2007</v>
      </c>
      <c r="L23" s="94">
        <f>'10. Final Load Forecast'!$F$6</f>
        <v>10273.5</v>
      </c>
      <c r="M23" s="94">
        <f>'10. Final Load Forecast'!$F$10</f>
        <v>754</v>
      </c>
      <c r="N23" s="94">
        <f>'10. Final Load Forecast'!$F$14</f>
        <v>36</v>
      </c>
      <c r="O23" s="94">
        <f>'10. Final Load Forecast'!$F$18</f>
        <v>1</v>
      </c>
      <c r="P23" s="94">
        <f>'10. Final Load Forecast'!$F$22</f>
        <v>2340</v>
      </c>
      <c r="Q23" s="94">
        <f>'10. Final Load Forecast'!$F$26</f>
        <v>41.5</v>
      </c>
      <c r="R23" s="1158">
        <f t="shared" si="5"/>
        <v>13446</v>
      </c>
    </row>
    <row r="24" spans="1:32" x14ac:dyDescent="0.2">
      <c r="B24" s="84">
        <v>2006</v>
      </c>
      <c r="C24" s="94">
        <f>'10. Final Load Forecast'!$E$10</f>
        <v>747</v>
      </c>
      <c r="D24" s="1134">
        <f t="shared" ref="D24:D34" si="6">(C24-C23)/C23</f>
        <v>5.3835800807537013E-3</v>
      </c>
      <c r="E24" s="94">
        <f>+'10. Final Load Forecast'!$E$11</f>
        <v>14223773.710000001</v>
      </c>
      <c r="F24" s="1131">
        <f>IF(E23&gt;0,+((E24-E23)/E23),0)</f>
        <v>-2.1578963211320246E-2</v>
      </c>
      <c r="G24" s="704">
        <f>+'10. Final Load Forecast'!$E$12</f>
        <v>0</v>
      </c>
      <c r="H24" s="659">
        <f>IF(G23&gt;0,+((G24-G23)/G23),0)</f>
        <v>0</v>
      </c>
      <c r="K24" s="1157">
        <v>2008</v>
      </c>
      <c r="L24" s="94">
        <f>'10. Final Load Forecast'!$G$6</f>
        <v>10658.5</v>
      </c>
      <c r="M24" s="94">
        <f>'10. Final Load Forecast'!$G$10</f>
        <v>756.5</v>
      </c>
      <c r="N24" s="94">
        <f>'10. Final Load Forecast'!$G$14</f>
        <v>31</v>
      </c>
      <c r="O24" s="94">
        <f>'10. Final Load Forecast'!$G$18</f>
        <v>1</v>
      </c>
      <c r="P24" s="94">
        <f>'10. Final Load Forecast'!$G$22</f>
        <v>2421.5</v>
      </c>
      <c r="Q24" s="94">
        <f>'10. Final Load Forecast'!$G$26</f>
        <v>40</v>
      </c>
      <c r="R24" s="1158">
        <f t="shared" si="5"/>
        <v>13908.5</v>
      </c>
    </row>
    <row r="25" spans="1:32" x14ac:dyDescent="0.2">
      <c r="B25" s="83">
        <v>2007</v>
      </c>
      <c r="C25" s="94">
        <f>'10. Final Load Forecast'!$F$10</f>
        <v>754</v>
      </c>
      <c r="D25" s="1134">
        <f t="shared" si="6"/>
        <v>9.3708165997322627E-3</v>
      </c>
      <c r="E25" s="94">
        <f>+'10. Final Load Forecast'!$F$11</f>
        <v>14339658.07</v>
      </c>
      <c r="F25" s="1131">
        <f t="shared" ref="F25:F34" si="7">IF(E24&gt;0,+((E25-E24)/E24),0)</f>
        <v>8.1472302894222155E-3</v>
      </c>
      <c r="G25" s="704">
        <f>+'10. Final Load Forecast'!$F$12</f>
        <v>0</v>
      </c>
      <c r="H25" s="659">
        <f t="shared" ref="H25:H34" si="8">IF(G24&gt;0,+((G25-G24)/G24),0)</f>
        <v>0</v>
      </c>
      <c r="K25" s="1157">
        <v>2009</v>
      </c>
      <c r="L25" s="94">
        <f>'10. Final Load Forecast'!$H$6</f>
        <v>10918.5</v>
      </c>
      <c r="M25" s="94">
        <f>'10. Final Load Forecast'!$H$10</f>
        <v>767</v>
      </c>
      <c r="N25" s="94">
        <f>'10. Final Load Forecast'!$H$14</f>
        <v>30</v>
      </c>
      <c r="O25" s="94">
        <f>+'10. Final Load Forecast'!$H$18</f>
        <v>1</v>
      </c>
      <c r="P25" s="94">
        <f>'10. Final Load Forecast'!$H$22</f>
        <v>2473</v>
      </c>
      <c r="Q25" s="94">
        <f>'10. Final Load Forecast'!$H$26</f>
        <v>32.5</v>
      </c>
      <c r="R25" s="1158">
        <f t="shared" si="5"/>
        <v>14222</v>
      </c>
    </row>
    <row r="26" spans="1:32" x14ac:dyDescent="0.2">
      <c r="B26" s="84">
        <v>2008</v>
      </c>
      <c r="C26" s="94">
        <f>'10. Final Load Forecast'!$G$10</f>
        <v>756.5</v>
      </c>
      <c r="D26" s="1134">
        <f t="shared" si="6"/>
        <v>3.3156498673740055E-3</v>
      </c>
      <c r="E26" s="94">
        <f>+'10. Final Load Forecast'!$G$11</f>
        <v>15092313.370000001</v>
      </c>
      <c r="F26" s="1131">
        <f t="shared" si="7"/>
        <v>5.2487674136012415E-2</v>
      </c>
      <c r="G26" s="704">
        <f>+'10. Final Load Forecast'!$G$12</f>
        <v>0</v>
      </c>
      <c r="H26" s="659">
        <f t="shared" si="8"/>
        <v>0</v>
      </c>
      <c r="K26" s="1157">
        <v>2010</v>
      </c>
      <c r="L26" s="94">
        <f>'10. Final Load Forecast'!$I$6</f>
        <v>11119.5</v>
      </c>
      <c r="M26" s="94">
        <f>'10. Final Load Forecast'!$I$10</f>
        <v>776.5</v>
      </c>
      <c r="N26" s="94">
        <f>+'10. Final Load Forecast'!$I$14</f>
        <v>31</v>
      </c>
      <c r="O26" s="94">
        <f>+'10. Final Load Forecast'!$I$18</f>
        <v>1</v>
      </c>
      <c r="P26" s="94">
        <f>'10. Final Load Forecast'!$I$22</f>
        <v>2483</v>
      </c>
      <c r="Q26" s="94">
        <f>'10. Final Load Forecast'!$I$26</f>
        <v>36.5</v>
      </c>
      <c r="R26" s="1158">
        <f t="shared" si="5"/>
        <v>14447.5</v>
      </c>
    </row>
    <row r="27" spans="1:32" x14ac:dyDescent="0.2">
      <c r="B27" s="83">
        <v>2009</v>
      </c>
      <c r="C27" s="94">
        <f>'10. Final Load Forecast'!$H$10</f>
        <v>767</v>
      </c>
      <c r="D27" s="1134">
        <f t="shared" si="6"/>
        <v>1.3879709187045605E-2</v>
      </c>
      <c r="E27" s="94">
        <f>+'10. Final Load Forecast'!$H$11</f>
        <v>15369939.543000001</v>
      </c>
      <c r="F27" s="1131">
        <f t="shared" si="7"/>
        <v>1.8395203319317269E-2</v>
      </c>
      <c r="G27" s="704">
        <f>+'10. Final Load Forecast'!$H$12</f>
        <v>0</v>
      </c>
      <c r="H27" s="659">
        <f t="shared" si="8"/>
        <v>0</v>
      </c>
      <c r="K27" s="1157">
        <v>2011</v>
      </c>
      <c r="L27" s="94">
        <f>'10. Final Load Forecast'!$J$6</f>
        <v>11370.5</v>
      </c>
      <c r="M27" s="94">
        <f>'10. Final Load Forecast'!$J$10</f>
        <v>781</v>
      </c>
      <c r="N27" s="94">
        <f>'10. Final Load Forecast'!$J$14</f>
        <v>32.5</v>
      </c>
      <c r="O27" s="94">
        <f>'10. Final Load Forecast'!$J$18</f>
        <v>1</v>
      </c>
      <c r="P27" s="94">
        <f>'10. Final Load Forecast'!$J$22</f>
        <v>2493.5</v>
      </c>
      <c r="Q27" s="94">
        <f>'10. Final Load Forecast'!$J$26</f>
        <v>41.5</v>
      </c>
      <c r="R27" s="1158">
        <f t="shared" si="5"/>
        <v>14720</v>
      </c>
    </row>
    <row r="28" spans="1:32" x14ac:dyDescent="0.2">
      <c r="B28" s="84">
        <v>2010</v>
      </c>
      <c r="C28" s="94">
        <f>'10. Final Load Forecast'!$I$10</f>
        <v>776.5</v>
      </c>
      <c r="D28" s="1134">
        <f t="shared" si="6"/>
        <v>1.2385919165580182E-2</v>
      </c>
      <c r="E28" s="94">
        <f>+'10. Final Load Forecast'!$I$11</f>
        <v>17287125.199999999</v>
      </c>
      <c r="F28" s="1131">
        <f t="shared" si="7"/>
        <v>0.12473605713518568</v>
      </c>
      <c r="G28" s="704">
        <f>+'10. Final Load Forecast'!$I$12</f>
        <v>0</v>
      </c>
      <c r="H28" s="659">
        <f t="shared" si="8"/>
        <v>0</v>
      </c>
      <c r="K28" s="1157">
        <v>2012</v>
      </c>
      <c r="L28" s="94">
        <f>'10. Final Load Forecast'!$K$6</f>
        <v>11609</v>
      </c>
      <c r="M28" s="94">
        <f>'10. Final Load Forecast'!$K$10</f>
        <v>786</v>
      </c>
      <c r="N28" s="94">
        <f>'10. Final Load Forecast'!$K$14</f>
        <v>35</v>
      </c>
      <c r="O28" s="94">
        <f>'10. Final Load Forecast'!$K$18</f>
        <v>1</v>
      </c>
      <c r="P28" s="94">
        <f>'10. Final Load Forecast'!$K$22</f>
        <v>2588</v>
      </c>
      <c r="Q28" s="94">
        <f>'10. Final Load Forecast'!$K$26</f>
        <v>39</v>
      </c>
      <c r="R28" s="1158">
        <f t="shared" si="5"/>
        <v>15058</v>
      </c>
    </row>
    <row r="29" spans="1:32" ht="12.75" customHeight="1" x14ac:dyDescent="0.2">
      <c r="B29" s="83">
        <v>2011</v>
      </c>
      <c r="C29" s="94">
        <f>'10. Final Load Forecast'!$J$10</f>
        <v>781</v>
      </c>
      <c r="D29" s="1134">
        <f t="shared" si="6"/>
        <v>5.7952350289761749E-3</v>
      </c>
      <c r="E29" s="94">
        <f>+'10. Final Load Forecast'!$J$11</f>
        <v>16948879</v>
      </c>
      <c r="F29" s="1131">
        <f t="shared" si="7"/>
        <v>-1.9566364915318556E-2</v>
      </c>
      <c r="G29" s="704">
        <f>+'10. Final Load Forecast'!$J$12</f>
        <v>0</v>
      </c>
      <c r="H29" s="659">
        <f t="shared" si="8"/>
        <v>0</v>
      </c>
      <c r="K29" s="1157">
        <v>2013</v>
      </c>
      <c r="L29" s="94">
        <f>'10. Final Load Forecast'!$L$6</f>
        <v>11857</v>
      </c>
      <c r="M29" s="94">
        <f>+'10. Final Load Forecast'!$L$10</f>
        <v>784</v>
      </c>
      <c r="N29" s="94">
        <f>'10. Final Load Forecast'!$L$14</f>
        <v>35</v>
      </c>
      <c r="O29" s="94">
        <f>'10. Final Load Forecast'!$L$18</f>
        <v>1</v>
      </c>
      <c r="P29" s="94">
        <f>'10. Final Load Forecast'!$L$22</f>
        <v>2693.5</v>
      </c>
      <c r="Q29" s="94">
        <f>'10. Final Load Forecast'!$L$26</f>
        <v>42.5</v>
      </c>
      <c r="R29" s="1158">
        <f t="shared" si="5"/>
        <v>15413</v>
      </c>
    </row>
    <row r="30" spans="1:32" x14ac:dyDescent="0.2">
      <c r="B30" s="84">
        <v>2012</v>
      </c>
      <c r="C30" s="94">
        <f>'10. Final Load Forecast'!$K$10</f>
        <v>786</v>
      </c>
      <c r="D30" s="1134">
        <f t="shared" si="6"/>
        <v>6.4020486555697821E-3</v>
      </c>
      <c r="E30" s="94">
        <f>+'10. Final Load Forecast'!$K$11</f>
        <v>15746949.627995308</v>
      </c>
      <c r="F30" s="1131">
        <f t="shared" si="7"/>
        <v>-7.0914977445097782E-2</v>
      </c>
      <c r="G30" s="704">
        <f>+'10. Final Load Forecast'!$K$12</f>
        <v>0</v>
      </c>
      <c r="H30" s="659">
        <f t="shared" si="8"/>
        <v>0</v>
      </c>
      <c r="K30" s="1157">
        <v>2014</v>
      </c>
      <c r="L30" s="94">
        <f>'10. Final Load Forecast'!$M$6</f>
        <v>12082</v>
      </c>
      <c r="M30" s="94">
        <f>'10. Final Load Forecast'!$M$10</f>
        <v>783</v>
      </c>
      <c r="N30" s="94">
        <f>'10. Final Load Forecast'!$M$14</f>
        <v>36</v>
      </c>
      <c r="O30" s="94">
        <f>'10. Final Load Forecast'!$M$18</f>
        <v>1</v>
      </c>
      <c r="P30" s="94">
        <f>'10. Final Load Forecast'!$M$22</f>
        <v>2738</v>
      </c>
      <c r="Q30" s="94">
        <f>'10. Final Load Forecast'!$M$26</f>
        <v>41</v>
      </c>
      <c r="R30" s="1158">
        <f t="shared" si="5"/>
        <v>15681</v>
      </c>
    </row>
    <row r="31" spans="1:32" ht="12.75" customHeight="1" x14ac:dyDescent="0.2">
      <c r="B31" s="83">
        <v>2013</v>
      </c>
      <c r="C31" s="94">
        <f>+'10. Final Load Forecast'!$L$10</f>
        <v>784</v>
      </c>
      <c r="D31" s="1134">
        <f t="shared" si="6"/>
        <v>-2.5445292620865142E-3</v>
      </c>
      <c r="E31" s="94">
        <f>+'10. Final Load Forecast'!$L$11</f>
        <v>16432348.094357079</v>
      </c>
      <c r="F31" s="1131">
        <f t="shared" si="7"/>
        <v>4.3525792775970552E-2</v>
      </c>
      <c r="G31" s="704">
        <f>+'10. Final Load Forecast'!$L$12</f>
        <v>0</v>
      </c>
      <c r="H31" s="659">
        <f t="shared" si="8"/>
        <v>0</v>
      </c>
      <c r="K31" s="1161">
        <v>2015</v>
      </c>
      <c r="L31" s="94">
        <f>'10. Final Load Forecast'!$N$6</f>
        <v>12267</v>
      </c>
      <c r="M31" s="94">
        <f>'10. Final Load Forecast'!$N$10</f>
        <v>786</v>
      </c>
      <c r="N31" s="94">
        <f>'10. Final Load Forecast'!$N$14</f>
        <v>37</v>
      </c>
      <c r="O31" s="94">
        <f>'10. Final Load Forecast'!$N$18</f>
        <v>1</v>
      </c>
      <c r="P31" s="94">
        <f>'10. Final Load Forecast'!$N$22</f>
        <v>2777.4</v>
      </c>
      <c r="Q31" s="94">
        <f>'10. Final Load Forecast'!$N$26</f>
        <v>40</v>
      </c>
      <c r="R31" s="1158">
        <f t="shared" si="5"/>
        <v>15908.4</v>
      </c>
    </row>
    <row r="32" spans="1:32" x14ac:dyDescent="0.2">
      <c r="B32" s="84">
        <v>2014</v>
      </c>
      <c r="C32" s="94">
        <f>'10. Final Load Forecast'!$M$10</f>
        <v>783</v>
      </c>
      <c r="D32" s="1134">
        <f t="shared" si="6"/>
        <v>-1.2755102040816326E-3</v>
      </c>
      <c r="E32" s="94">
        <f>+'10. Final Load Forecast'!$M$11</f>
        <v>16552639.278445883</v>
      </c>
      <c r="F32" s="1131">
        <f t="shared" si="7"/>
        <v>7.3203892345800664E-3</v>
      </c>
      <c r="G32" s="704">
        <f>+'10. Final Load Forecast'!$M$12</f>
        <v>0</v>
      </c>
      <c r="H32" s="659">
        <f t="shared" si="8"/>
        <v>0</v>
      </c>
      <c r="K32" s="1161">
        <v>2016</v>
      </c>
      <c r="L32" s="94">
        <f>'10. Final Load Forecast'!$O$6</f>
        <v>12471.858899999999</v>
      </c>
      <c r="M32" s="94">
        <f>'10. Final Load Forecast'!$O$10</f>
        <v>789</v>
      </c>
      <c r="N32" s="94">
        <f>'10. Final Load Forecast'!$O$14</f>
        <v>37</v>
      </c>
      <c r="O32" s="94">
        <f>'10. Final Load Forecast'!$O$18</f>
        <v>1</v>
      </c>
      <c r="P32" s="94">
        <f>'10. Final Load Forecast'!$O$22</f>
        <v>2819</v>
      </c>
      <c r="Q32" s="94">
        <f>'10. Final Load Forecast'!$O$26</f>
        <v>40</v>
      </c>
      <c r="R32" s="1158">
        <f t="shared" si="5"/>
        <v>16157.858899999999</v>
      </c>
    </row>
    <row r="33" spans="2:9" x14ac:dyDescent="0.2">
      <c r="B33" s="1130">
        <v>2015</v>
      </c>
      <c r="C33" s="94">
        <f>'10. Final Load Forecast'!$N$10</f>
        <v>786</v>
      </c>
      <c r="D33" s="1135">
        <f t="shared" si="6"/>
        <v>3.8314176245210726E-3</v>
      </c>
      <c r="E33" s="94">
        <f>+'10. Final Load Forecast'!$N$11</f>
        <v>16814371.240322266</v>
      </c>
      <c r="F33" s="1132">
        <f t="shared" si="7"/>
        <v>1.5812098449894868E-2</v>
      </c>
      <c r="G33" s="704">
        <f>+'10. Final Load Forecast'!$N$12</f>
        <v>0</v>
      </c>
      <c r="H33" s="660">
        <f t="shared" si="8"/>
        <v>0</v>
      </c>
    </row>
    <row r="34" spans="2:9" ht="13.5" thickBot="1" x14ac:dyDescent="0.25">
      <c r="B34" s="85">
        <v>2016</v>
      </c>
      <c r="C34" s="96">
        <f>'10. Final Load Forecast'!$O$10</f>
        <v>789</v>
      </c>
      <c r="D34" s="1136">
        <f t="shared" si="6"/>
        <v>3.8167938931297708E-3</v>
      </c>
      <c r="E34" s="96">
        <f>+'10. Final Load Forecast'!$O$11</f>
        <v>17097027.04489236</v>
      </c>
      <c r="F34" s="1133">
        <f t="shared" si="7"/>
        <v>1.6810370160750439E-2</v>
      </c>
      <c r="G34" s="705">
        <f>+'10. Final Load Forecast'!$O$12</f>
        <v>0</v>
      </c>
      <c r="H34" s="661">
        <f t="shared" si="8"/>
        <v>0</v>
      </c>
    </row>
    <row r="36" spans="2:9" ht="13.5" thickBot="1" x14ac:dyDescent="0.25">
      <c r="C36" s="139"/>
      <c r="D36" s="139"/>
      <c r="E36" s="139"/>
      <c r="F36" s="139"/>
      <c r="G36" s="139"/>
      <c r="H36" s="139"/>
      <c r="I36" s="59"/>
    </row>
    <row r="37" spans="2:9" ht="13.5" thickBot="1" x14ac:dyDescent="0.25">
      <c r="B37" s="1444" t="str">
        <f>+'10. Final Load Forecast'!B14</f>
        <v>General Service &gt; 50 kW - 4999 kW - Excluding Wholesale Market Participant</v>
      </c>
      <c r="C37" s="1344"/>
      <c r="D37" s="1344"/>
      <c r="E37" s="1344"/>
      <c r="F37" s="1344"/>
      <c r="G37" s="1344"/>
      <c r="H37" s="1345"/>
    </row>
    <row r="38" spans="2:9" ht="13.5" thickBot="1" x14ac:dyDescent="0.25">
      <c r="B38" s="82" t="s">
        <v>33</v>
      </c>
      <c r="C38" s="655" t="s">
        <v>35</v>
      </c>
      <c r="D38" s="656" t="s">
        <v>660</v>
      </c>
      <c r="E38" s="657" t="s">
        <v>36</v>
      </c>
      <c r="F38" s="656" t="s">
        <v>660</v>
      </c>
      <c r="G38" s="1128" t="s">
        <v>37</v>
      </c>
      <c r="H38" s="658" t="s">
        <v>660</v>
      </c>
    </row>
    <row r="39" spans="2:9" x14ac:dyDescent="0.2">
      <c r="B39" s="83">
        <v>2005</v>
      </c>
      <c r="C39" s="653">
        <f>'10. Final Load Forecast'!$D$14</f>
        <v>42</v>
      </c>
      <c r="D39" s="653"/>
      <c r="E39" s="653">
        <f>+'10. Final Load Forecast'!$D$15</f>
        <v>12388793.66</v>
      </c>
      <c r="F39" s="1137"/>
      <c r="G39" s="653">
        <f>+'10. Final Load Forecast'!$D$16</f>
        <v>0</v>
      </c>
      <c r="H39" s="654"/>
    </row>
    <row r="40" spans="2:9" x14ac:dyDescent="0.2">
      <c r="B40" s="84">
        <v>2006</v>
      </c>
      <c r="C40" s="94">
        <f>'10. Final Load Forecast'!$E$14</f>
        <v>40.5</v>
      </c>
      <c r="D40" s="1134">
        <f t="shared" ref="D40:D50" si="9">(C40-C39)/C39</f>
        <v>-3.5714285714285712E-2</v>
      </c>
      <c r="E40" s="94">
        <f>+'10. Final Load Forecast'!$E$15</f>
        <v>12633563.929999998</v>
      </c>
      <c r="F40" s="1138">
        <f>IF(E39&gt;0,+((E40-E39)/E39),0)</f>
        <v>1.9757393392570047E-2</v>
      </c>
      <c r="G40" s="94">
        <f>+'10. Final Load Forecast'!$E$16</f>
        <v>0</v>
      </c>
      <c r="H40" s="659">
        <f>IF(G39&gt;0,+((G40-G39)/G39),0)</f>
        <v>0</v>
      </c>
    </row>
    <row r="41" spans="2:9" x14ac:dyDescent="0.2">
      <c r="B41" s="83">
        <v>2007</v>
      </c>
      <c r="C41" s="94">
        <f>'10. Final Load Forecast'!$F$14</f>
        <v>36</v>
      </c>
      <c r="D41" s="1134">
        <f t="shared" si="9"/>
        <v>-0.1111111111111111</v>
      </c>
      <c r="E41" s="94">
        <f>+'10. Final Load Forecast'!$F$15</f>
        <v>14970174.015999999</v>
      </c>
      <c r="F41" s="1138">
        <f t="shared" ref="F41:F50" si="10">IF(E40&gt;0,+((E41-E40)/E40),0)</f>
        <v>0.18495256753729045</v>
      </c>
      <c r="G41" s="94">
        <f>+'10. Final Load Forecast'!$F$16</f>
        <v>0</v>
      </c>
      <c r="H41" s="659">
        <f t="shared" ref="H41:H50" si="11">IF(G40&gt;0,+((G41-G40)/G40),0)</f>
        <v>0</v>
      </c>
    </row>
    <row r="42" spans="2:9" x14ac:dyDescent="0.2">
      <c r="B42" s="84">
        <v>2008</v>
      </c>
      <c r="C42" s="94">
        <f>'10. Final Load Forecast'!$G$14</f>
        <v>31</v>
      </c>
      <c r="D42" s="1134">
        <f t="shared" si="9"/>
        <v>-0.1388888888888889</v>
      </c>
      <c r="E42" s="94">
        <f>+'10. Final Load Forecast'!$G$15</f>
        <v>17386048.783999998</v>
      </c>
      <c r="F42" s="1138">
        <f t="shared" si="10"/>
        <v>0.16137920410396914</v>
      </c>
      <c r="G42" s="94">
        <f>+'10. Final Load Forecast'!$G$16</f>
        <v>0</v>
      </c>
      <c r="H42" s="659">
        <f t="shared" si="11"/>
        <v>0</v>
      </c>
    </row>
    <row r="43" spans="2:9" x14ac:dyDescent="0.2">
      <c r="B43" s="83">
        <v>2009</v>
      </c>
      <c r="C43" s="94">
        <f>'10. Final Load Forecast'!$H$14</f>
        <v>30</v>
      </c>
      <c r="D43" s="1134">
        <f t="shared" si="9"/>
        <v>-3.2258064516129031E-2</v>
      </c>
      <c r="E43" s="94">
        <f>+'10. Final Load Forecast'!$H$15</f>
        <v>16872487.509999998</v>
      </c>
      <c r="F43" s="1138">
        <f t="shared" si="10"/>
        <v>-2.953869969999276E-2</v>
      </c>
      <c r="G43" s="94">
        <f>+'10. Final Load Forecast'!$H$16</f>
        <v>43811.69</v>
      </c>
      <c r="H43" s="659">
        <f t="shared" si="11"/>
        <v>0</v>
      </c>
    </row>
    <row r="44" spans="2:9" x14ac:dyDescent="0.2">
      <c r="B44" s="84">
        <v>2010</v>
      </c>
      <c r="C44" s="94">
        <f>+'10. Final Load Forecast'!$I$14</f>
        <v>31</v>
      </c>
      <c r="D44" s="1134">
        <f t="shared" si="9"/>
        <v>3.3333333333333333E-2</v>
      </c>
      <c r="E44" s="94">
        <f>+'10. Final Load Forecast'!$I$15</f>
        <v>17629407.020000003</v>
      </c>
      <c r="F44" s="1138">
        <f t="shared" si="10"/>
        <v>4.4861168784471987E-2</v>
      </c>
      <c r="G44" s="94">
        <f>+'10. Final Load Forecast'!$I$16</f>
        <v>44115.7</v>
      </c>
      <c r="H44" s="659">
        <f t="shared" si="11"/>
        <v>6.9390155915006876E-3</v>
      </c>
    </row>
    <row r="45" spans="2:9" x14ac:dyDescent="0.2">
      <c r="B45" s="83">
        <v>2011</v>
      </c>
      <c r="C45" s="94">
        <f>'10. Final Load Forecast'!$J$14</f>
        <v>32.5</v>
      </c>
      <c r="D45" s="1134">
        <f t="shared" si="9"/>
        <v>4.8387096774193547E-2</v>
      </c>
      <c r="E45" s="94">
        <f>+'10. Final Load Forecast'!$J$15</f>
        <v>17073810.420000002</v>
      </c>
      <c r="F45" s="1138">
        <f t="shared" si="10"/>
        <v>-3.1515331137893336E-2</v>
      </c>
      <c r="G45" s="94">
        <f>+'10. Final Load Forecast'!$J$16</f>
        <v>45358.5</v>
      </c>
      <c r="H45" s="659">
        <f t="shared" si="11"/>
        <v>2.8171376630088677E-2</v>
      </c>
    </row>
    <row r="46" spans="2:9" x14ac:dyDescent="0.2">
      <c r="B46" s="84">
        <v>2012</v>
      </c>
      <c r="C46" s="94">
        <f>'10. Final Load Forecast'!$K$14</f>
        <v>35</v>
      </c>
      <c r="D46" s="1134">
        <f t="shared" si="9"/>
        <v>7.6923076923076927E-2</v>
      </c>
      <c r="E46" s="94">
        <f>+'10. Final Load Forecast'!$K$15</f>
        <v>17613527.535856102</v>
      </c>
      <c r="F46" s="1138">
        <f t="shared" si="10"/>
        <v>3.1610818123169709E-2</v>
      </c>
      <c r="G46" s="94">
        <f>+'10. Final Load Forecast'!$K$16</f>
        <v>47594.97</v>
      </c>
      <c r="H46" s="659">
        <f t="shared" si="11"/>
        <v>4.9306524686662946E-2</v>
      </c>
    </row>
    <row r="47" spans="2:9" x14ac:dyDescent="0.2">
      <c r="B47" s="83">
        <v>2013</v>
      </c>
      <c r="C47" s="94">
        <f>'10. Final Load Forecast'!$L$14</f>
        <v>35</v>
      </c>
      <c r="D47" s="1134">
        <f t="shared" si="9"/>
        <v>0</v>
      </c>
      <c r="E47" s="94">
        <f>+'10. Final Load Forecast'!$L$15</f>
        <v>17691775.363432009</v>
      </c>
      <c r="F47" s="1138">
        <f t="shared" si="10"/>
        <v>4.4424847559137101E-3</v>
      </c>
      <c r="G47" s="94">
        <f>+'10. Final Load Forecast'!$L$16</f>
        <v>46866.61</v>
      </c>
      <c r="H47" s="659">
        <f t="shared" si="11"/>
        <v>-1.5303297806469896E-2</v>
      </c>
    </row>
    <row r="48" spans="2:9" x14ac:dyDescent="0.2">
      <c r="B48" s="84">
        <v>2014</v>
      </c>
      <c r="C48" s="94">
        <f>'10. Final Load Forecast'!$M$14</f>
        <v>36</v>
      </c>
      <c r="D48" s="1134">
        <f t="shared" si="9"/>
        <v>2.8571428571428571E-2</v>
      </c>
      <c r="E48" s="94">
        <f>+'10. Final Load Forecast'!$M$15</f>
        <v>17311423.283422757</v>
      </c>
      <c r="F48" s="1138">
        <f t="shared" si="10"/>
        <v>-2.1498807903440831E-2</v>
      </c>
      <c r="G48" s="94">
        <f>+'10. Final Load Forecast'!$M$16</f>
        <v>45989.17</v>
      </c>
      <c r="H48" s="659">
        <f t="shared" si="11"/>
        <v>-1.8722071001081631E-2</v>
      </c>
    </row>
    <row r="49" spans="2:8" x14ac:dyDescent="0.2">
      <c r="B49" s="1130">
        <v>2015</v>
      </c>
      <c r="C49" s="94">
        <f>'10. Final Load Forecast'!$N$14</f>
        <v>37</v>
      </c>
      <c r="D49" s="1135">
        <f t="shared" si="9"/>
        <v>2.7777777777777776E-2</v>
      </c>
      <c r="E49" s="94">
        <f>+'10. Final Load Forecast'!$N$15</f>
        <v>17360785.622136727</v>
      </c>
      <c r="F49" s="1139">
        <f t="shared" si="10"/>
        <v>2.8514315608722312E-3</v>
      </c>
      <c r="G49" s="94">
        <f>+'10. Final Load Forecast'!$N$16</f>
        <v>45717.300698394283</v>
      </c>
      <c r="H49" s="660">
        <f t="shared" si="11"/>
        <v>-5.9115940036690165E-3</v>
      </c>
    </row>
    <row r="50" spans="2:8" ht="13.5" thickBot="1" x14ac:dyDescent="0.25">
      <c r="B50" s="85">
        <v>2016</v>
      </c>
      <c r="C50" s="96">
        <f>'10. Final Load Forecast'!$O$14</f>
        <v>37</v>
      </c>
      <c r="D50" s="1136">
        <f t="shared" si="9"/>
        <v>0</v>
      </c>
      <c r="E50" s="96">
        <f>+'10. Final Load Forecast'!$O$15</f>
        <v>17434184.595869441</v>
      </c>
      <c r="F50" s="1140">
        <f t="shared" si="10"/>
        <v>4.227860151623704E-3</v>
      </c>
      <c r="G50" s="96">
        <f>+'10. Final Load Forecast'!$O$16</f>
        <v>45910.587052256822</v>
      </c>
      <c r="H50" s="661">
        <f t="shared" si="11"/>
        <v>4.227860151623684E-3</v>
      </c>
    </row>
    <row r="52" spans="2:8" ht="13.5" thickBot="1" x14ac:dyDescent="0.25">
      <c r="B52" s="31"/>
      <c r="C52" s="33" t="s">
        <v>30</v>
      </c>
      <c r="D52" s="33"/>
      <c r="E52" s="33"/>
      <c r="F52" s="33"/>
      <c r="G52" s="33"/>
      <c r="H52" s="33"/>
    </row>
    <row r="53" spans="2:8" ht="13.5" thickBot="1" x14ac:dyDescent="0.25">
      <c r="B53" s="1444" t="str">
        <f>+'10. Final Load Forecast'!B18</f>
        <v>General Service &gt; 50 kW - 4999 kW - Wholesale Market Participant</v>
      </c>
      <c r="C53" s="1344"/>
      <c r="D53" s="1344"/>
      <c r="E53" s="1344"/>
      <c r="F53" s="1344"/>
      <c r="G53" s="1344"/>
      <c r="H53" s="1345"/>
    </row>
    <row r="54" spans="2:8" ht="13.5" thickBot="1" x14ac:dyDescent="0.25">
      <c r="B54" s="82" t="s">
        <v>33</v>
      </c>
      <c r="C54" s="655" t="s">
        <v>35</v>
      </c>
      <c r="D54" s="656" t="s">
        <v>660</v>
      </c>
      <c r="E54" s="657" t="s">
        <v>36</v>
      </c>
      <c r="F54" s="656" t="s">
        <v>660</v>
      </c>
      <c r="G54" s="1128" t="s">
        <v>37</v>
      </c>
      <c r="H54" s="658" t="s">
        <v>660</v>
      </c>
    </row>
    <row r="55" spans="2:8" x14ac:dyDescent="0.2">
      <c r="B55" s="83">
        <v>2005</v>
      </c>
      <c r="C55" s="653">
        <f>'10. Final Load Forecast'!$D$18</f>
        <v>1</v>
      </c>
      <c r="D55" s="653"/>
      <c r="E55" s="653">
        <f>+'10. Final Load Forecast'!$D$19</f>
        <v>994198.57999999984</v>
      </c>
      <c r="F55" s="653"/>
      <c r="G55" s="653">
        <f>+'10. Final Load Forecast'!$D$20</f>
        <v>0</v>
      </c>
      <c r="H55" s="654"/>
    </row>
    <row r="56" spans="2:8" x14ac:dyDescent="0.2">
      <c r="B56" s="84">
        <v>2006</v>
      </c>
      <c r="C56" s="94">
        <f>'10. Final Load Forecast'!$E$18</f>
        <v>1</v>
      </c>
      <c r="D56" s="182">
        <f t="shared" ref="D56:D66" si="12">(C56-C55)/C55</f>
        <v>0</v>
      </c>
      <c r="E56" s="94">
        <f>+'10. Final Load Forecast'!$E$19</f>
        <v>4233263.5499999989</v>
      </c>
      <c r="F56" s="182">
        <f>IF(E55&gt;0,+((E56-E55)/E55),0)</f>
        <v>3.2579657979394816</v>
      </c>
      <c r="G56" s="94">
        <f>+'10. Final Load Forecast'!$E$20</f>
        <v>0</v>
      </c>
      <c r="H56" s="659">
        <f>IF(G55&gt;0,+((G56-G55)/G55),0)</f>
        <v>0</v>
      </c>
    </row>
    <row r="57" spans="2:8" x14ac:dyDescent="0.2">
      <c r="B57" s="83">
        <v>2007</v>
      </c>
      <c r="C57" s="94">
        <f>'10. Final Load Forecast'!$F$18</f>
        <v>1</v>
      </c>
      <c r="D57" s="182">
        <f t="shared" si="12"/>
        <v>0</v>
      </c>
      <c r="E57" s="94">
        <f>+'10. Final Load Forecast'!$F$19</f>
        <v>4141943.8099999996</v>
      </c>
      <c r="F57" s="182">
        <f t="shared" ref="F57:F66" si="13">IF(E56&gt;0,+((E57-E56)/E56),0)</f>
        <v>-2.1571947723405815E-2</v>
      </c>
      <c r="G57" s="94">
        <f>+'10. Final Load Forecast'!$F$20</f>
        <v>0</v>
      </c>
      <c r="H57" s="659">
        <f t="shared" ref="H57:H66" si="14">IF(G56&gt;0,+((G57-G56)/G56),0)</f>
        <v>0</v>
      </c>
    </row>
    <row r="58" spans="2:8" x14ac:dyDescent="0.2">
      <c r="B58" s="84">
        <v>2008</v>
      </c>
      <c r="C58" s="94">
        <f>'10. Final Load Forecast'!$G$18</f>
        <v>1</v>
      </c>
      <c r="D58" s="182">
        <f t="shared" si="12"/>
        <v>0</v>
      </c>
      <c r="E58" s="94">
        <f>+'10. Final Load Forecast'!$G$19</f>
        <v>4099392.6199999996</v>
      </c>
      <c r="F58" s="182">
        <f t="shared" si="13"/>
        <v>-1.0273241731881426E-2</v>
      </c>
      <c r="G58" s="94">
        <f>+'10. Final Load Forecast'!$G$20</f>
        <v>0</v>
      </c>
      <c r="H58" s="659">
        <f t="shared" si="14"/>
        <v>0</v>
      </c>
    </row>
    <row r="59" spans="2:8" x14ac:dyDescent="0.2">
      <c r="B59" s="83">
        <v>2009</v>
      </c>
      <c r="C59" s="94">
        <f>+'10. Final Load Forecast'!$H$18</f>
        <v>1</v>
      </c>
      <c r="D59" s="182">
        <f t="shared" si="12"/>
        <v>0</v>
      </c>
      <c r="E59" s="94">
        <f>+'10. Final Load Forecast'!$H$19</f>
        <v>4143210.3299999996</v>
      </c>
      <c r="F59" s="182">
        <f t="shared" si="13"/>
        <v>1.0688829800352221E-2</v>
      </c>
      <c r="G59" s="94">
        <f>+'10. Final Load Forecast'!$H$20</f>
        <v>7024.26</v>
      </c>
      <c r="H59" s="659">
        <f t="shared" si="14"/>
        <v>0</v>
      </c>
    </row>
    <row r="60" spans="2:8" x14ac:dyDescent="0.2">
      <c r="B60" s="84">
        <v>2010</v>
      </c>
      <c r="C60" s="94">
        <f>+'10. Final Load Forecast'!$I$18</f>
        <v>1</v>
      </c>
      <c r="D60" s="182">
        <f t="shared" si="12"/>
        <v>0</v>
      </c>
      <c r="E60" s="94">
        <f>+'10. Final Load Forecast'!$I$19</f>
        <v>4263662.9799999995</v>
      </c>
      <c r="F60" s="182">
        <f t="shared" si="13"/>
        <v>2.9072299112557948E-2</v>
      </c>
      <c r="G60" s="94">
        <f>+'10. Final Load Forecast'!$I$20</f>
        <v>7300.7999999999993</v>
      </c>
      <c r="H60" s="659">
        <f t="shared" si="14"/>
        <v>3.936927163857816E-2</v>
      </c>
    </row>
    <row r="61" spans="2:8" x14ac:dyDescent="0.2">
      <c r="B61" s="83">
        <v>2011</v>
      </c>
      <c r="C61" s="94">
        <f>'10. Final Load Forecast'!$J$18</f>
        <v>1</v>
      </c>
      <c r="D61" s="182">
        <f t="shared" si="12"/>
        <v>0</v>
      </c>
      <c r="E61" s="94">
        <f>+'10. Final Load Forecast'!$J$19</f>
        <v>4201222.58</v>
      </c>
      <c r="F61" s="182">
        <f t="shared" si="13"/>
        <v>-1.4644778513896388E-2</v>
      </c>
      <c r="G61" s="94">
        <f>+'10. Final Load Forecast'!$J$20</f>
        <v>7185.5999999999995</v>
      </c>
      <c r="H61" s="659">
        <f t="shared" si="14"/>
        <v>-1.5779092702169602E-2</v>
      </c>
    </row>
    <row r="62" spans="2:8" x14ac:dyDescent="0.2">
      <c r="B62" s="84">
        <v>2012</v>
      </c>
      <c r="C62" s="94">
        <f>'10. Final Load Forecast'!$K$18</f>
        <v>1</v>
      </c>
      <c r="D62" s="182">
        <f t="shared" si="12"/>
        <v>0</v>
      </c>
      <c r="E62" s="94">
        <f>+'10. Final Load Forecast'!$K$19</f>
        <v>3761855.8131238185</v>
      </c>
      <c r="F62" s="182">
        <f t="shared" si="13"/>
        <v>-0.10458069252693143</v>
      </c>
      <c r="G62" s="94">
        <f>+'10. Final Load Forecast'!$K$20</f>
        <v>6698.9100000000008</v>
      </c>
      <c r="H62" s="659">
        <f t="shared" si="14"/>
        <v>-6.7731295925183524E-2</v>
      </c>
    </row>
    <row r="63" spans="2:8" x14ac:dyDescent="0.2">
      <c r="B63" s="83">
        <v>2013</v>
      </c>
      <c r="C63" s="94">
        <f>'10. Final Load Forecast'!$L$18</f>
        <v>1</v>
      </c>
      <c r="D63" s="182">
        <f t="shared" si="12"/>
        <v>0</v>
      </c>
      <c r="E63" s="94">
        <f>+'10. Final Load Forecast'!$L$19</f>
        <v>3594883.73</v>
      </c>
      <c r="F63" s="182">
        <f t="shared" si="13"/>
        <v>-4.4385561653190013E-2</v>
      </c>
      <c r="G63" s="94">
        <f>+'10. Final Load Forecast'!$L$20</f>
        <v>6556.56</v>
      </c>
      <c r="H63" s="659">
        <f t="shared" si="14"/>
        <v>-2.1249725701644049E-2</v>
      </c>
    </row>
    <row r="64" spans="2:8" x14ac:dyDescent="0.2">
      <c r="B64" s="84">
        <v>2014</v>
      </c>
      <c r="C64" s="94">
        <f>'10. Final Load Forecast'!$M$18</f>
        <v>1</v>
      </c>
      <c r="D64" s="182">
        <f t="shared" si="12"/>
        <v>0</v>
      </c>
      <c r="E64" s="94">
        <f>+'10. Final Load Forecast'!$M$19</f>
        <v>3453199.0199999996</v>
      </c>
      <c r="F64" s="182">
        <f t="shared" si="13"/>
        <v>-3.9412876922169729E-2</v>
      </c>
      <c r="G64" s="94">
        <f>+'10. Final Load Forecast'!$M$20</f>
        <v>6080.47</v>
      </c>
      <c r="H64" s="659">
        <f t="shared" si="14"/>
        <v>-7.2612772551459925E-2</v>
      </c>
    </row>
    <row r="65" spans="2:8" x14ac:dyDescent="0.2">
      <c r="B65" s="1130">
        <v>2015</v>
      </c>
      <c r="C65" s="94">
        <f>'10. Final Load Forecast'!$N$18</f>
        <v>1</v>
      </c>
      <c r="D65" s="183">
        <f t="shared" si="12"/>
        <v>0</v>
      </c>
      <c r="E65" s="94">
        <f>+'10. Final Load Forecast'!$N$19</f>
        <v>3399554.7352855722</v>
      </c>
      <c r="F65" s="183">
        <f t="shared" si="13"/>
        <v>-1.5534663482682015E-2</v>
      </c>
      <c r="G65" s="94">
        <f>+'10. Final Load Forecast'!$N$20</f>
        <v>5975.1368658716037</v>
      </c>
      <c r="H65" s="660">
        <f t="shared" si="14"/>
        <v>-1.7323189511402329E-2</v>
      </c>
    </row>
    <row r="66" spans="2:8" ht="13.5" thickBot="1" x14ac:dyDescent="0.25">
      <c r="B66" s="85">
        <v>2016</v>
      </c>
      <c r="C66" s="96">
        <f>'10. Final Load Forecast'!$O$18</f>
        <v>1</v>
      </c>
      <c r="D66" s="184">
        <f t="shared" si="12"/>
        <v>0</v>
      </c>
      <c r="E66" s="96">
        <f>+'10. Final Load Forecast'!$O$19</f>
        <v>3332216.527336997</v>
      </c>
      <c r="F66" s="184">
        <f t="shared" si="13"/>
        <v>-1.9807949332199429E-2</v>
      </c>
      <c r="G66" s="96">
        <f>+'10. Final Load Forecast'!$O$20</f>
        <v>5856.7816575794623</v>
      </c>
      <c r="H66" s="661">
        <f t="shared" si="14"/>
        <v>-1.9807949332199402E-2</v>
      </c>
    </row>
    <row r="68" spans="2:8" ht="13.5" thickBot="1" x14ac:dyDescent="0.25">
      <c r="B68" s="59"/>
      <c r="C68" s="139"/>
      <c r="D68" s="139"/>
      <c r="E68" s="139"/>
      <c r="F68" s="59"/>
    </row>
    <row r="69" spans="2:8" ht="13.5" thickBot="1" x14ac:dyDescent="0.25">
      <c r="B69" s="1444" t="str">
        <f>+'10. Final Load Forecast'!B22</f>
        <v>Streetlighting</v>
      </c>
      <c r="C69" s="1344"/>
      <c r="D69" s="1344"/>
      <c r="E69" s="1344"/>
      <c r="F69" s="1344"/>
      <c r="G69" s="1344"/>
      <c r="H69" s="1345"/>
    </row>
    <row r="70" spans="2:8" ht="13.5" thickBot="1" x14ac:dyDescent="0.25">
      <c r="B70" s="82" t="s">
        <v>33</v>
      </c>
      <c r="C70" s="655" t="s">
        <v>35</v>
      </c>
      <c r="D70" s="656" t="s">
        <v>660</v>
      </c>
      <c r="E70" s="657" t="s">
        <v>36</v>
      </c>
      <c r="F70" s="656" t="s">
        <v>660</v>
      </c>
      <c r="G70" s="1128" t="s">
        <v>37</v>
      </c>
      <c r="H70" s="658" t="s">
        <v>660</v>
      </c>
    </row>
    <row r="71" spans="2:8" x14ac:dyDescent="0.2">
      <c r="B71" s="83">
        <v>2005</v>
      </c>
      <c r="C71" s="653">
        <f>'10. Final Load Forecast'!$D$22</f>
        <v>2181.5</v>
      </c>
      <c r="D71" s="653"/>
      <c r="E71" s="653">
        <f>+'10. Final Load Forecast'!$D$23</f>
        <v>1506679.0199999998</v>
      </c>
      <c r="F71" s="653"/>
      <c r="G71" s="653">
        <f>+'10. Final Load Forecast'!$D$24</f>
        <v>0</v>
      </c>
      <c r="H71" s="654"/>
    </row>
    <row r="72" spans="2:8" x14ac:dyDescent="0.2">
      <c r="B72" s="84">
        <v>2006</v>
      </c>
      <c r="C72" s="94">
        <f>'10. Final Load Forecast'!$E$22</f>
        <v>2259.5</v>
      </c>
      <c r="D72" s="182">
        <f t="shared" ref="D72:D82" si="15">(C72-C71)/C71</f>
        <v>3.5755214302085718E-2</v>
      </c>
      <c r="E72" s="94">
        <f>+'10. Final Load Forecast'!$E$23</f>
        <v>1581464.98</v>
      </c>
      <c r="F72" s="182">
        <f>IF(E71&gt;0,+((E72-E71)/E71),0)</f>
        <v>4.9636292141374751E-2</v>
      </c>
      <c r="G72" s="94">
        <f>+'10. Final Load Forecast'!$E$24</f>
        <v>0</v>
      </c>
      <c r="H72" s="659">
        <f>IF(G71&gt;0,+((G72-G71)/G71),0)</f>
        <v>0</v>
      </c>
    </row>
    <row r="73" spans="2:8" x14ac:dyDescent="0.2">
      <c r="B73" s="83">
        <v>2007</v>
      </c>
      <c r="C73" s="94">
        <f>'10. Final Load Forecast'!$F$22</f>
        <v>2340</v>
      </c>
      <c r="D73" s="182">
        <f t="shared" si="15"/>
        <v>3.5627351183890238E-2</v>
      </c>
      <c r="E73" s="94">
        <f>+'10. Final Load Forecast'!$F$23</f>
        <v>1649562.9100000001</v>
      </c>
      <c r="F73" s="182">
        <f t="shared" ref="F73:F82" si="16">IF(E72&gt;0,+((E73-E72)/E72),0)</f>
        <v>4.3060030327070641E-2</v>
      </c>
      <c r="G73" s="94">
        <f>+'10. Final Load Forecast'!$F$24</f>
        <v>0</v>
      </c>
      <c r="H73" s="659">
        <f t="shared" ref="H73:H82" si="17">IF(G72&gt;0,+((G73-G72)/G72),0)</f>
        <v>0</v>
      </c>
    </row>
    <row r="74" spans="2:8" x14ac:dyDescent="0.2">
      <c r="B74" s="84">
        <v>2008</v>
      </c>
      <c r="C74" s="94">
        <f>'10. Final Load Forecast'!$G$22</f>
        <v>2421.5</v>
      </c>
      <c r="D74" s="182">
        <f t="shared" si="15"/>
        <v>3.482905982905983E-2</v>
      </c>
      <c r="E74" s="94">
        <f>+'10. Final Load Forecast'!$G$23</f>
        <v>1743399.895</v>
      </c>
      <c r="F74" s="182">
        <f t="shared" si="16"/>
        <v>5.6885969265640109E-2</v>
      </c>
      <c r="G74" s="94">
        <f>+'10. Final Load Forecast'!$G$24</f>
        <v>0</v>
      </c>
      <c r="H74" s="659">
        <f t="shared" si="17"/>
        <v>0</v>
      </c>
    </row>
    <row r="75" spans="2:8" x14ac:dyDescent="0.2">
      <c r="B75" s="83">
        <v>2009</v>
      </c>
      <c r="C75" s="94">
        <f>'10. Final Load Forecast'!$H$22</f>
        <v>2473</v>
      </c>
      <c r="D75" s="182">
        <f t="shared" si="15"/>
        <v>2.1267809209167873E-2</v>
      </c>
      <c r="E75" s="94">
        <f>+'10. Final Load Forecast'!$H$23</f>
        <v>1723126.175</v>
      </c>
      <c r="F75" s="182">
        <f t="shared" si="16"/>
        <v>-1.1628840897687431E-2</v>
      </c>
      <c r="G75" s="94">
        <f>+'10. Final Load Forecast'!$H$24</f>
        <v>4962.5399999999991</v>
      </c>
      <c r="H75" s="659">
        <f t="shared" si="17"/>
        <v>0</v>
      </c>
    </row>
    <row r="76" spans="2:8" x14ac:dyDescent="0.2">
      <c r="B76" s="84">
        <v>2010</v>
      </c>
      <c r="C76" s="94">
        <f>'10. Final Load Forecast'!$I$22</f>
        <v>2483</v>
      </c>
      <c r="D76" s="182">
        <f t="shared" si="15"/>
        <v>4.0436716538617065E-3</v>
      </c>
      <c r="E76" s="94">
        <f>+'10. Final Load Forecast'!$I$23</f>
        <v>1736181.47</v>
      </c>
      <c r="F76" s="182">
        <f t="shared" si="16"/>
        <v>7.576517140423524E-3</v>
      </c>
      <c r="G76" s="94">
        <f>+'10. Final Load Forecast'!$I$24</f>
        <v>4976.3099999999995</v>
      </c>
      <c r="H76" s="659">
        <f t="shared" si="17"/>
        <v>2.7747887170683641E-3</v>
      </c>
    </row>
    <row r="77" spans="2:8" x14ac:dyDescent="0.2">
      <c r="B77" s="83">
        <v>2011</v>
      </c>
      <c r="C77" s="94">
        <f>'10. Final Load Forecast'!$J$22</f>
        <v>2493.5</v>
      </c>
      <c r="D77" s="182">
        <f t="shared" si="15"/>
        <v>4.228755537656061E-3</v>
      </c>
      <c r="E77" s="94">
        <f>+'10. Final Load Forecast'!$J$23</f>
        <v>1695783</v>
      </c>
      <c r="F77" s="182">
        <f t="shared" si="16"/>
        <v>-2.3268575720946944E-2</v>
      </c>
      <c r="G77" s="94">
        <f>+'10. Final Load Forecast'!$J$24</f>
        <v>5014.5</v>
      </c>
      <c r="H77" s="659">
        <f t="shared" si="17"/>
        <v>7.6743611230008805E-3</v>
      </c>
    </row>
    <row r="78" spans="2:8" x14ac:dyDescent="0.2">
      <c r="B78" s="84">
        <v>2012</v>
      </c>
      <c r="C78" s="94">
        <f>'10. Final Load Forecast'!$K$22</f>
        <v>2588</v>
      </c>
      <c r="D78" s="182">
        <f t="shared" si="15"/>
        <v>3.7898536194104673E-2</v>
      </c>
      <c r="E78" s="94">
        <f>+'10. Final Load Forecast'!$K$23</f>
        <v>1731441.9339870713</v>
      </c>
      <c r="F78" s="182">
        <f t="shared" si="16"/>
        <v>2.1028005344475839E-2</v>
      </c>
      <c r="G78" s="94">
        <f>+'10. Final Load Forecast'!$K$24</f>
        <v>5202.74</v>
      </c>
      <c r="H78" s="659">
        <f t="shared" si="17"/>
        <v>3.7539136504137954E-2</v>
      </c>
    </row>
    <row r="79" spans="2:8" x14ac:dyDescent="0.2">
      <c r="B79" s="83">
        <v>2013</v>
      </c>
      <c r="C79" s="94">
        <f>'10. Final Load Forecast'!$L$22</f>
        <v>2693.5</v>
      </c>
      <c r="D79" s="182">
        <f t="shared" si="15"/>
        <v>4.0765069551777437E-2</v>
      </c>
      <c r="E79" s="94">
        <f>+'10. Final Load Forecast'!$L$23</f>
        <v>1796174.3293246992</v>
      </c>
      <c r="F79" s="182">
        <f t="shared" si="16"/>
        <v>3.7386408441988983E-2</v>
      </c>
      <c r="G79" s="94">
        <f>+'10. Final Load Forecast'!$L$24</f>
        <v>5310.59</v>
      </c>
      <c r="H79" s="659">
        <f t="shared" si="17"/>
        <v>2.0729461783598711E-2</v>
      </c>
    </row>
    <row r="80" spans="2:8" x14ac:dyDescent="0.2">
      <c r="B80" s="84">
        <v>2014</v>
      </c>
      <c r="C80" s="94">
        <f>'10. Final Load Forecast'!$M$22</f>
        <v>2738</v>
      </c>
      <c r="D80" s="182">
        <f t="shared" si="15"/>
        <v>1.6521254872842027E-2</v>
      </c>
      <c r="E80" s="94">
        <f>+'10. Final Load Forecast'!$M$23</f>
        <v>1834663.3857539315</v>
      </c>
      <c r="F80" s="182">
        <f t="shared" si="16"/>
        <v>2.1428352360264954E-2</v>
      </c>
      <c r="G80" s="94">
        <f>+'10. Final Load Forecast'!$M$24</f>
        <v>5426.1900000000014</v>
      </c>
      <c r="H80" s="659">
        <f t="shared" si="17"/>
        <v>2.1767826173739881E-2</v>
      </c>
    </row>
    <row r="81" spans="2:8" x14ac:dyDescent="0.2">
      <c r="B81" s="1130">
        <v>2015</v>
      </c>
      <c r="C81" s="94">
        <f>'10. Final Load Forecast'!$N$22</f>
        <v>2777.4</v>
      </c>
      <c r="D81" s="183">
        <f t="shared" si="15"/>
        <v>1.4390065741417126E-2</v>
      </c>
      <c r="E81" s="94">
        <f>+'10. Final Load Forecast'!$N$23</f>
        <v>1222277.2140331415</v>
      </c>
      <c r="F81" s="183">
        <f t="shared" si="16"/>
        <v>-0.3337866643417739</v>
      </c>
      <c r="G81" s="94">
        <f>+'10. Final Load Forecast'!$N$24</f>
        <v>3603.8465059511477</v>
      </c>
      <c r="H81" s="660">
        <f t="shared" si="17"/>
        <v>-0.33584218282973011</v>
      </c>
    </row>
    <row r="82" spans="2:8" ht="13.5" thickBot="1" x14ac:dyDescent="0.25">
      <c r="B82" s="85">
        <v>2016</v>
      </c>
      <c r="C82" s="96">
        <f>'10. Final Load Forecast'!$O$22</f>
        <v>2819</v>
      </c>
      <c r="D82" s="184">
        <f t="shared" si="15"/>
        <v>1.4978037013033739E-2</v>
      </c>
      <c r="E82" s="96">
        <f>+'10. Final Load Forecast'!$O$23</f>
        <v>611199.20104438625</v>
      </c>
      <c r="F82" s="184">
        <f t="shared" si="16"/>
        <v>-0.49995042529868033</v>
      </c>
      <c r="G82" s="96">
        <f>+'10. Final Load Forecast'!$O$24</f>
        <v>1802.1019125897085</v>
      </c>
      <c r="H82" s="661">
        <f t="shared" si="17"/>
        <v>-0.49995042529868028</v>
      </c>
    </row>
    <row r="84" spans="2:8" ht="13.5" thickBot="1" x14ac:dyDescent="0.25"/>
    <row r="85" spans="2:8" ht="13.5" thickBot="1" x14ac:dyDescent="0.25">
      <c r="B85" s="1125" t="str">
        <f>+'10. Final Load Forecast'!B26</f>
        <v>Unmetered Scattered Load</v>
      </c>
      <c r="C85" s="1126"/>
      <c r="D85" s="1126"/>
      <c r="E85" s="1126"/>
      <c r="F85" s="1127"/>
      <c r="G85" s="1126"/>
      <c r="H85" s="1127"/>
    </row>
    <row r="86" spans="2:8" ht="13.5" thickBot="1" x14ac:dyDescent="0.25">
      <c r="B86" s="82" t="s">
        <v>33</v>
      </c>
      <c r="C86" s="655" t="s">
        <v>35</v>
      </c>
      <c r="D86" s="656" t="s">
        <v>660</v>
      </c>
      <c r="E86" s="657" t="s">
        <v>36</v>
      </c>
      <c r="F86" s="656" t="s">
        <v>660</v>
      </c>
      <c r="G86" s="1128" t="s">
        <v>37</v>
      </c>
      <c r="H86" s="658" t="s">
        <v>660</v>
      </c>
    </row>
    <row r="87" spans="2:8" x14ac:dyDescent="0.2">
      <c r="B87" s="83">
        <v>2005</v>
      </c>
      <c r="C87" s="653">
        <f>'10. Final Load Forecast'!$D$26</f>
        <v>52.5</v>
      </c>
      <c r="D87" s="653"/>
      <c r="E87" s="653">
        <f>+'10. Final Load Forecast'!$D$27</f>
        <v>264617</v>
      </c>
      <c r="F87" s="654"/>
      <c r="G87" s="1129">
        <f>+'10. Final Load Forecast'!$D$28</f>
        <v>0</v>
      </c>
      <c r="H87" s="654"/>
    </row>
    <row r="88" spans="2:8" x14ac:dyDescent="0.2">
      <c r="B88" s="84">
        <v>2006</v>
      </c>
      <c r="C88" s="94">
        <f>'10. Final Load Forecast'!$E$26</f>
        <v>46.5</v>
      </c>
      <c r="D88" s="182">
        <f t="shared" ref="D88:D98" si="18">(C88-C87)/C87</f>
        <v>-0.11428571428571428</v>
      </c>
      <c r="E88" s="94">
        <f>+'10. Final Load Forecast'!$E$27</f>
        <v>255784</v>
      </c>
      <c r="F88" s="659">
        <f t="shared" ref="F88:F98" si="19">(E88-E87)/E87</f>
        <v>-3.3380319480607823E-2</v>
      </c>
      <c r="G88" s="704">
        <f>+'10. Final Load Forecast'!$E$28</f>
        <v>0</v>
      </c>
      <c r="H88" s="659" t="e">
        <f t="shared" ref="H88:H98" si="20">(G88-G87)/G87</f>
        <v>#DIV/0!</v>
      </c>
    </row>
    <row r="89" spans="2:8" x14ac:dyDescent="0.2">
      <c r="B89" s="83">
        <v>2007</v>
      </c>
      <c r="C89" s="94">
        <f>'10. Final Load Forecast'!$F$26</f>
        <v>41.5</v>
      </c>
      <c r="D89" s="182">
        <f t="shared" si="18"/>
        <v>-0.10752688172043011</v>
      </c>
      <c r="E89" s="94">
        <f>+'10. Final Load Forecast'!$F$27</f>
        <v>220922</v>
      </c>
      <c r="F89" s="659">
        <f t="shared" si="19"/>
        <v>-0.13629468614143184</v>
      </c>
      <c r="G89" s="704">
        <f>+'10. Final Load Forecast'!$F$28</f>
        <v>0</v>
      </c>
      <c r="H89" s="659" t="e">
        <f t="shared" si="20"/>
        <v>#DIV/0!</v>
      </c>
    </row>
    <row r="90" spans="2:8" x14ac:dyDescent="0.2">
      <c r="B90" s="84">
        <v>2008</v>
      </c>
      <c r="C90" s="94">
        <f>'10. Final Load Forecast'!$G$26</f>
        <v>40</v>
      </c>
      <c r="D90" s="182">
        <f t="shared" si="18"/>
        <v>-3.614457831325301E-2</v>
      </c>
      <c r="E90" s="94">
        <f>+'10. Final Load Forecast'!$G$27</f>
        <v>173292</v>
      </c>
      <c r="F90" s="659">
        <f t="shared" si="19"/>
        <v>-0.21559645485737047</v>
      </c>
      <c r="G90" s="704">
        <f>+'10. Final Load Forecast'!$G$28</f>
        <v>0</v>
      </c>
      <c r="H90" s="659" t="e">
        <f t="shared" si="20"/>
        <v>#DIV/0!</v>
      </c>
    </row>
    <row r="91" spans="2:8" x14ac:dyDescent="0.2">
      <c r="B91" s="83">
        <v>2009</v>
      </c>
      <c r="C91" s="94">
        <f>'10. Final Load Forecast'!$H$26</f>
        <v>32.5</v>
      </c>
      <c r="D91" s="182">
        <f t="shared" si="18"/>
        <v>-0.1875</v>
      </c>
      <c r="E91" s="94">
        <f>+'10. Final Load Forecast'!$H$27</f>
        <v>255272</v>
      </c>
      <c r="F91" s="659">
        <f t="shared" si="19"/>
        <v>0.47307434849848812</v>
      </c>
      <c r="G91" s="704">
        <f>+'10. Final Load Forecast'!$H$28</f>
        <v>0</v>
      </c>
      <c r="H91" s="659" t="e">
        <f t="shared" si="20"/>
        <v>#DIV/0!</v>
      </c>
    </row>
    <row r="92" spans="2:8" x14ac:dyDescent="0.2">
      <c r="B92" s="84">
        <v>2010</v>
      </c>
      <c r="C92" s="94">
        <f>'10. Final Load Forecast'!$I$26</f>
        <v>36.5</v>
      </c>
      <c r="D92" s="182">
        <f t="shared" si="18"/>
        <v>0.12307692307692308</v>
      </c>
      <c r="E92" s="94">
        <f>+'10. Final Load Forecast'!$I$27</f>
        <v>322731</v>
      </c>
      <c r="F92" s="659">
        <f t="shared" si="19"/>
        <v>0.26426321727412327</v>
      </c>
      <c r="G92" s="704">
        <f>+'10. Final Load Forecast'!$I$28</f>
        <v>0</v>
      </c>
      <c r="H92" s="659" t="e">
        <f t="shared" si="20"/>
        <v>#DIV/0!</v>
      </c>
    </row>
    <row r="93" spans="2:8" x14ac:dyDescent="0.2">
      <c r="B93" s="83">
        <v>2011</v>
      </c>
      <c r="C93" s="94">
        <f>'10. Final Load Forecast'!$J$26</f>
        <v>41.5</v>
      </c>
      <c r="D93" s="182">
        <f t="shared" si="18"/>
        <v>0.13698630136986301</v>
      </c>
      <c r="E93" s="94">
        <f>+'10. Final Load Forecast'!$J$27</f>
        <v>310190</v>
      </c>
      <c r="F93" s="659">
        <f t="shared" si="19"/>
        <v>-3.8858987825774405E-2</v>
      </c>
      <c r="G93" s="704">
        <f>+'10. Final Load Forecast'!$J$28</f>
        <v>0</v>
      </c>
      <c r="H93" s="659" t="e">
        <f t="shared" si="20"/>
        <v>#DIV/0!</v>
      </c>
    </row>
    <row r="94" spans="2:8" x14ac:dyDescent="0.2">
      <c r="B94" s="84">
        <v>2012</v>
      </c>
      <c r="C94" s="94">
        <f>'10. Final Load Forecast'!$K$26</f>
        <v>39</v>
      </c>
      <c r="D94" s="182">
        <f t="shared" si="18"/>
        <v>-6.0240963855421686E-2</v>
      </c>
      <c r="E94" s="94">
        <f>+'10. Final Load Forecast'!$K$27</f>
        <v>264549.50046253472</v>
      </c>
      <c r="F94" s="659">
        <f t="shared" si="19"/>
        <v>-0.14713723697561262</v>
      </c>
      <c r="G94" s="704">
        <f>+'10. Final Load Forecast'!$K$28</f>
        <v>0</v>
      </c>
      <c r="H94" s="659" t="e">
        <f t="shared" si="20"/>
        <v>#DIV/0!</v>
      </c>
    </row>
    <row r="95" spans="2:8" x14ac:dyDescent="0.2">
      <c r="B95" s="83">
        <v>2013</v>
      </c>
      <c r="C95" s="94">
        <f>'10. Final Load Forecast'!$L$26</f>
        <v>42.5</v>
      </c>
      <c r="D95" s="182">
        <f t="shared" si="18"/>
        <v>8.9743589743589744E-2</v>
      </c>
      <c r="E95" s="94">
        <f>+'10. Final Load Forecast'!$L$27</f>
        <v>250495.81036077708</v>
      </c>
      <c r="F95" s="659">
        <f t="shared" si="19"/>
        <v>-5.3123102017529296E-2</v>
      </c>
      <c r="G95" s="704">
        <f>+'10. Final Load Forecast'!$L$28</f>
        <v>0</v>
      </c>
      <c r="H95" s="659" t="e">
        <f t="shared" si="20"/>
        <v>#DIV/0!</v>
      </c>
    </row>
    <row r="96" spans="2:8" x14ac:dyDescent="0.2">
      <c r="B96" s="84">
        <v>2014</v>
      </c>
      <c r="C96" s="94">
        <f>'10. Final Load Forecast'!$M$26</f>
        <v>41</v>
      </c>
      <c r="D96" s="182">
        <f t="shared" si="18"/>
        <v>-3.5294117647058823E-2</v>
      </c>
      <c r="E96" s="94">
        <f>+'10. Final Load Forecast'!$M$27</f>
        <v>248084.25158088063</v>
      </c>
      <c r="F96" s="659">
        <f t="shared" si="19"/>
        <v>-9.6271421722510589E-3</v>
      </c>
      <c r="G96" s="704">
        <f>+'10. Final Load Forecast'!$M$28</f>
        <v>0</v>
      </c>
      <c r="H96" s="659" t="e">
        <f t="shared" si="20"/>
        <v>#DIV/0!</v>
      </c>
    </row>
    <row r="97" spans="2:8" x14ac:dyDescent="0.2">
      <c r="B97" s="1130">
        <v>2015</v>
      </c>
      <c r="C97" s="94">
        <f>'10. Final Load Forecast'!$N$26</f>
        <v>40</v>
      </c>
      <c r="D97" s="183">
        <f t="shared" si="18"/>
        <v>-2.4390243902439025E-2</v>
      </c>
      <c r="E97" s="94">
        <f>+'10. Final Load Forecast'!$N$27</f>
        <v>232410.61456023974</v>
      </c>
      <c r="F97" s="660">
        <f t="shared" si="19"/>
        <v>-6.3178685953513489E-2</v>
      </c>
      <c r="G97" s="704">
        <f>+'10. Final Load Forecast'!$N$28</f>
        <v>0</v>
      </c>
      <c r="H97" s="660" t="e">
        <f t="shared" si="20"/>
        <v>#DIV/0!</v>
      </c>
    </row>
    <row r="98" spans="2:8" ht="13.5" thickBot="1" x14ac:dyDescent="0.25">
      <c r="B98" s="85">
        <v>2016</v>
      </c>
      <c r="C98" s="96">
        <f>'10. Final Load Forecast'!$O$26</f>
        <v>40</v>
      </c>
      <c r="D98" s="184">
        <f t="shared" si="18"/>
        <v>0</v>
      </c>
      <c r="E98" s="96">
        <f>+'10. Final Load Forecast'!$O$27</f>
        <v>221021.90461603086</v>
      </c>
      <c r="F98" s="661">
        <f t="shared" si="19"/>
        <v>-4.9002537882179988E-2</v>
      </c>
      <c r="G98" s="705">
        <f>+'10. Final Load Forecast'!$O$28</f>
        <v>0</v>
      </c>
      <c r="H98" s="661" t="e">
        <f t="shared" si="20"/>
        <v>#DIV/0!</v>
      </c>
    </row>
  </sheetData>
  <mergeCells count="10">
    <mergeCell ref="U4:V4"/>
    <mergeCell ref="K3:V3"/>
    <mergeCell ref="P4:Q4"/>
    <mergeCell ref="R4:S4"/>
    <mergeCell ref="K19:R19"/>
    <mergeCell ref="B69:H69"/>
    <mergeCell ref="B53:H53"/>
    <mergeCell ref="B37:H37"/>
    <mergeCell ref="N4:O4"/>
    <mergeCell ref="K4:K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1"/>
  <sheetViews>
    <sheetView zoomScale="80" zoomScaleNormal="80" workbookViewId="0">
      <selection activeCell="A18" sqref="A18"/>
    </sheetView>
  </sheetViews>
  <sheetFormatPr defaultRowHeight="12.75" x14ac:dyDescent="0.2"/>
  <cols>
    <col min="1" max="1" width="43.5" style="56" bestFit="1" customWidth="1"/>
    <col min="2" max="2" width="20.5" style="1" bestFit="1" customWidth="1"/>
    <col min="3" max="3" width="16.6640625" style="1" bestFit="1" customWidth="1"/>
    <col min="4" max="4" width="19" style="1" bestFit="1" customWidth="1"/>
    <col min="5" max="5" width="16.6640625" style="1" bestFit="1" customWidth="1"/>
    <col min="6" max="6" width="18" style="1" bestFit="1" customWidth="1"/>
    <col min="7" max="7" width="25.1640625" style="1" customWidth="1"/>
    <col min="8" max="8" width="23.83203125" style="1" customWidth="1"/>
    <col min="9" max="9" width="3.33203125" style="1" customWidth="1"/>
    <col min="10" max="10" width="15.1640625" style="1" bestFit="1" customWidth="1"/>
    <col min="11" max="11" width="3.1640625" style="1" customWidth="1"/>
    <col min="12" max="12" width="12.5" style="1" customWidth="1"/>
    <col min="13" max="15" width="30" style="1" customWidth="1"/>
    <col min="16" max="16" width="4.83203125" style="1" customWidth="1"/>
    <col min="17" max="18" width="30" style="1" customWidth="1"/>
    <col min="19" max="19" width="16.33203125" style="1" bestFit="1" customWidth="1"/>
    <col min="20" max="20" width="22.5" style="1" bestFit="1" customWidth="1"/>
    <col min="21" max="21" width="16.33203125" style="1" bestFit="1" customWidth="1"/>
    <col min="22" max="16384" width="9.33203125" style="1"/>
  </cols>
  <sheetData>
    <row r="1" spans="1:21" ht="15.75" x14ac:dyDescent="0.25">
      <c r="A1" s="806" t="s">
        <v>255</v>
      </c>
      <c r="D1" s="813"/>
    </row>
    <row r="2" spans="1:21" ht="15.75" x14ac:dyDescent="0.25">
      <c r="A2" s="806" t="s">
        <v>389</v>
      </c>
      <c r="D2" s="813"/>
    </row>
    <row r="4" spans="1:21" s="796" customFormat="1" ht="45.75" x14ac:dyDescent="0.25">
      <c r="A4" s="823" t="s">
        <v>372</v>
      </c>
      <c r="B4" s="824" t="s">
        <v>256</v>
      </c>
      <c r="C4" s="824" t="s">
        <v>257</v>
      </c>
      <c r="D4" s="824" t="s">
        <v>366</v>
      </c>
      <c r="E4" s="824" t="s">
        <v>367</v>
      </c>
      <c r="F4" s="823" t="s">
        <v>368</v>
      </c>
      <c r="G4" s="825"/>
      <c r="H4" s="825"/>
      <c r="I4" s="825"/>
      <c r="J4" s="826" t="s">
        <v>374</v>
      </c>
      <c r="L4" s="817" t="s">
        <v>599</v>
      </c>
      <c r="M4" s="822"/>
      <c r="N4" s="818"/>
      <c r="O4" s="818"/>
      <c r="P4" s="818"/>
      <c r="Q4" s="818"/>
      <c r="R4" s="816"/>
      <c r="S4" s="816"/>
      <c r="T4" s="1"/>
      <c r="U4" s="1"/>
    </row>
    <row r="5" spans="1:21" s="796" customFormat="1" ht="15" x14ac:dyDescent="0.2">
      <c r="A5" s="797">
        <v>2006</v>
      </c>
      <c r="B5" s="798">
        <f>+'X.2.CDM Data Extraction'!C8</f>
        <v>688739.31666189851</v>
      </c>
      <c r="C5" s="798">
        <f>+B5</f>
        <v>688739.31666189851</v>
      </c>
      <c r="D5" s="798">
        <f t="shared" ref="D5:D15" si="0">+C5*0.5</f>
        <v>344369.65833094926</v>
      </c>
      <c r="E5" s="798">
        <f>+B5</f>
        <v>688739.31666189851</v>
      </c>
      <c r="F5" s="798">
        <f>+D5/72</f>
        <v>4782.911921263184</v>
      </c>
      <c r="G5" s="798">
        <f>78*F5</f>
        <v>373067.12985852838</v>
      </c>
      <c r="H5" s="845"/>
      <c r="J5" s="799">
        <v>1</v>
      </c>
      <c r="L5" s="1"/>
      <c r="M5" s="814" t="s">
        <v>400</v>
      </c>
      <c r="N5" s="1"/>
      <c r="O5" s="1"/>
      <c r="P5" s="1"/>
      <c r="Q5" s="1"/>
      <c r="R5" s="1"/>
      <c r="S5" s="1"/>
      <c r="T5" s="1"/>
      <c r="U5" s="1"/>
    </row>
    <row r="6" spans="1:21" s="796" customFormat="1" ht="15" x14ac:dyDescent="0.2">
      <c r="A6" s="797">
        <v>2007</v>
      </c>
      <c r="B6" s="798">
        <f>+'X.2.CDM Data Extraction'!D12</f>
        <v>756950.17010434438</v>
      </c>
      <c r="C6" s="798">
        <f>+B6-B5</f>
        <v>68210.853442445863</v>
      </c>
      <c r="D6" s="798">
        <f t="shared" si="0"/>
        <v>34105.426721222932</v>
      </c>
      <c r="E6" s="798">
        <f>+B6*0.5+B5*0.5</f>
        <v>722844.74338312144</v>
      </c>
      <c r="F6" s="798">
        <f>+D6/72</f>
        <v>473.68648223920741</v>
      </c>
      <c r="G6" s="798">
        <f t="shared" ref="G6:G15" si="1">+B5+F6*78</f>
        <v>725686.86227655667</v>
      </c>
      <c r="H6" s="845"/>
      <c r="J6" s="799">
        <v>2</v>
      </c>
      <c r="K6" s="800"/>
      <c r="L6" s="815" t="s">
        <v>397</v>
      </c>
      <c r="M6" s="815" t="s">
        <v>589</v>
      </c>
      <c r="N6" s="815" t="s">
        <v>590</v>
      </c>
      <c r="O6" s="815" t="s">
        <v>16</v>
      </c>
      <c r="P6" s="51"/>
      <c r="Q6" s="815" t="s">
        <v>397</v>
      </c>
      <c r="R6" s="815" t="s">
        <v>402</v>
      </c>
      <c r="S6" s="815" t="s">
        <v>398</v>
      </c>
      <c r="T6" s="1"/>
      <c r="U6" s="1"/>
    </row>
    <row r="7" spans="1:21" s="796" customFormat="1" ht="15" x14ac:dyDescent="0.2">
      <c r="A7" s="797">
        <v>2008</v>
      </c>
      <c r="B7" s="798">
        <f>+'X.2.CDM Data Extraction'!E16</f>
        <v>452437.27769635577</v>
      </c>
      <c r="C7" s="798">
        <f t="shared" ref="C7:C15" si="2">+B7-B6</f>
        <v>-304512.89240798861</v>
      </c>
      <c r="D7" s="798">
        <f t="shared" si="0"/>
        <v>-152256.4462039943</v>
      </c>
      <c r="E7" s="798">
        <f>+B7*0.5+B6*0.5</f>
        <v>604693.72390035004</v>
      </c>
      <c r="F7" s="798">
        <f t="shared" ref="F7:F15" si="3">+D7/72</f>
        <v>-2114.6728639443654</v>
      </c>
      <c r="G7" s="798">
        <f t="shared" si="1"/>
        <v>592005.68671668391</v>
      </c>
      <c r="H7" s="845"/>
      <c r="J7" s="799">
        <v>3</v>
      </c>
      <c r="K7" s="801"/>
      <c r="L7" s="52">
        <v>30</v>
      </c>
      <c r="M7" s="953">
        <v>32788.713250000001</v>
      </c>
      <c r="N7" s="52">
        <v>0</v>
      </c>
      <c r="O7" s="805">
        <f>+M7+N7</f>
        <v>32788.713250000001</v>
      </c>
      <c r="P7" s="813"/>
      <c r="Q7" s="52">
        <v>92</v>
      </c>
      <c r="R7" s="804">
        <v>6242.2</v>
      </c>
      <c r="S7" s="804">
        <v>0.22575066381298808</v>
      </c>
      <c r="T7" s="1"/>
      <c r="U7" s="1"/>
    </row>
    <row r="8" spans="1:21" s="796" customFormat="1" ht="15" x14ac:dyDescent="0.2">
      <c r="A8" s="797">
        <v>2009</v>
      </c>
      <c r="B8" s="798">
        <f>+'X.2.CDM Data Extraction'!F20</f>
        <v>693054.47729591874</v>
      </c>
      <c r="C8" s="798">
        <f t="shared" si="2"/>
        <v>240617.19959956297</v>
      </c>
      <c r="D8" s="798">
        <f t="shared" si="0"/>
        <v>120308.59979978148</v>
      </c>
      <c r="E8" s="798">
        <f t="shared" ref="E8:E15" si="4">+B8*0.5+B7*0.5</f>
        <v>572745.87749613728</v>
      </c>
      <c r="F8" s="798">
        <f t="shared" si="3"/>
        <v>1670.952774996965</v>
      </c>
      <c r="G8" s="798">
        <f t="shared" si="1"/>
        <v>582771.59414611908</v>
      </c>
      <c r="H8" s="845"/>
      <c r="J8" s="799">
        <v>4</v>
      </c>
      <c r="K8" s="801"/>
      <c r="L8" s="52">
        <v>31</v>
      </c>
      <c r="M8" s="953">
        <v>33881.670358333336</v>
      </c>
      <c r="N8" s="52">
        <v>0</v>
      </c>
      <c r="O8" s="805">
        <f t="shared" ref="O8:O39" si="5">+M8+N8</f>
        <v>33881.670358333336</v>
      </c>
      <c r="P8" s="813"/>
      <c r="Q8" s="52">
        <v>273</v>
      </c>
      <c r="R8" s="804">
        <v>21408.66</v>
      </c>
      <c r="S8" s="804">
        <v>0.77424933618701186</v>
      </c>
      <c r="T8" s="1"/>
      <c r="U8" s="1"/>
    </row>
    <row r="9" spans="1:21" s="796" customFormat="1" ht="15" x14ac:dyDescent="0.2">
      <c r="A9" s="797">
        <v>2010</v>
      </c>
      <c r="B9" s="798">
        <f>+'X.2.CDM Data Extraction'!G24</f>
        <v>416265.06512717786</v>
      </c>
      <c r="C9" s="798">
        <f t="shared" si="2"/>
        <v>-276789.41216874088</v>
      </c>
      <c r="D9" s="798">
        <f t="shared" si="0"/>
        <v>-138394.70608437044</v>
      </c>
      <c r="E9" s="798">
        <f t="shared" si="4"/>
        <v>554659.77121154824</v>
      </c>
      <c r="F9" s="798">
        <f t="shared" si="3"/>
        <v>-1922.1486956162562</v>
      </c>
      <c r="G9" s="798">
        <f t="shared" si="1"/>
        <v>543126.87903785077</v>
      </c>
      <c r="H9" s="845"/>
      <c r="J9" s="799">
        <v>5</v>
      </c>
      <c r="K9" s="801"/>
      <c r="L9" s="52">
        <v>30</v>
      </c>
      <c r="M9" s="953">
        <v>28369.111769021743</v>
      </c>
      <c r="N9" s="52">
        <v>0</v>
      </c>
      <c r="O9" s="805">
        <f t="shared" si="5"/>
        <v>28369.111769021743</v>
      </c>
      <c r="P9" s="813"/>
      <c r="Q9" s="819"/>
      <c r="R9" s="820">
        <v>27650.86</v>
      </c>
      <c r="S9" s="820"/>
      <c r="T9" s="1"/>
      <c r="U9" s="1"/>
    </row>
    <row r="10" spans="1:21" s="796" customFormat="1" ht="15" x14ac:dyDescent="0.2">
      <c r="A10" s="797">
        <v>2011</v>
      </c>
      <c r="B10" s="1271">
        <f>+'X.2.CDM Data Extraction'!H28+'X.2.CDM Data Extraction'!H32</f>
        <v>318591.91079052869</v>
      </c>
      <c r="C10" s="798">
        <f t="shared" si="2"/>
        <v>-97673.154336649168</v>
      </c>
      <c r="D10" s="798">
        <f t="shared" si="0"/>
        <v>-48836.577168324584</v>
      </c>
      <c r="E10" s="798">
        <f t="shared" si="4"/>
        <v>367428.48795885325</v>
      </c>
      <c r="F10" s="798">
        <f t="shared" si="3"/>
        <v>-678.28579400450815</v>
      </c>
      <c r="G10" s="798">
        <f t="shared" si="1"/>
        <v>363358.77319482621</v>
      </c>
      <c r="H10" s="845"/>
      <c r="J10" s="799">
        <v>6</v>
      </c>
      <c r="K10" s="801"/>
      <c r="L10" s="52">
        <v>31</v>
      </c>
      <c r="M10" s="953">
        <v>29314.748827989137</v>
      </c>
      <c r="N10" s="52">
        <v>0</v>
      </c>
      <c r="O10" s="805">
        <f t="shared" si="5"/>
        <v>29314.748827989137</v>
      </c>
      <c r="P10" s="813"/>
      <c r="Q10" s="813"/>
      <c r="R10" s="1"/>
      <c r="S10" s="1"/>
      <c r="T10" s="1"/>
      <c r="U10" s="1"/>
    </row>
    <row r="11" spans="1:21" s="796" customFormat="1" ht="15" x14ac:dyDescent="0.2">
      <c r="A11" s="797">
        <v>2012</v>
      </c>
      <c r="B11" s="1271">
        <f>+'X.2.CDM Data Extraction'!I32+'X.2.CDM Data Extraction'!I36+'X.2.CDM Data Extraction'!I40-'X.2.CDM Data Extraction'!H32</f>
        <v>617693.44700736611</v>
      </c>
      <c r="C11" s="798">
        <f t="shared" si="2"/>
        <v>299101.53621683741</v>
      </c>
      <c r="D11" s="798">
        <f t="shared" si="0"/>
        <v>149550.76810841871</v>
      </c>
      <c r="E11" s="798">
        <f t="shared" si="4"/>
        <v>468142.67889894743</v>
      </c>
      <c r="F11" s="798">
        <f t="shared" si="3"/>
        <v>2077.0940015058154</v>
      </c>
      <c r="G11" s="798">
        <f t="shared" si="1"/>
        <v>480605.24290798232</v>
      </c>
      <c r="H11" s="845"/>
      <c r="J11" s="799">
        <v>7</v>
      </c>
      <c r="K11" s="801"/>
      <c r="L11" s="52">
        <v>31</v>
      </c>
      <c r="M11" s="953">
        <v>29314.748827989137</v>
      </c>
      <c r="N11" s="52">
        <v>0</v>
      </c>
      <c r="O11" s="805">
        <f t="shared" si="5"/>
        <v>29314.748827989137</v>
      </c>
      <c r="P11" s="813"/>
      <c r="Q11" s="812" t="s">
        <v>401</v>
      </c>
      <c r="R11" s="1"/>
      <c r="S11" s="1"/>
      <c r="T11" s="1"/>
      <c r="U11" s="1"/>
    </row>
    <row r="12" spans="1:21" s="796" customFormat="1" ht="15" x14ac:dyDescent="0.2">
      <c r="A12" s="797">
        <v>2013</v>
      </c>
      <c r="B12" s="1271">
        <f>+'X.2.CDM Data Extraction'!J36+'X.2.CDM Data Extraction'!J40-'X.2.CDM Data Extraction'!I36-'X.2.CDM Data Extraction'!I40</f>
        <v>213897.99712704602</v>
      </c>
      <c r="C12" s="798">
        <f t="shared" si="2"/>
        <v>-403795.44988032011</v>
      </c>
      <c r="D12" s="798">
        <f t="shared" si="0"/>
        <v>-201897.72494016006</v>
      </c>
      <c r="E12" s="798">
        <f>+B12*0.5+B11*0.5</f>
        <v>415795.72206720605</v>
      </c>
      <c r="F12" s="798">
        <f t="shared" si="3"/>
        <v>-2804.1350686133342</v>
      </c>
      <c r="G12" s="798">
        <f t="shared" si="1"/>
        <v>398970.91165552603</v>
      </c>
      <c r="H12" s="845"/>
      <c r="J12" s="799">
        <v>8</v>
      </c>
      <c r="K12" s="801"/>
      <c r="L12" s="52">
        <v>30</v>
      </c>
      <c r="M12" s="953">
        <v>32788.713250000001</v>
      </c>
      <c r="N12" s="52">
        <v>0</v>
      </c>
      <c r="O12" s="805">
        <f t="shared" si="5"/>
        <v>32788.713250000001</v>
      </c>
      <c r="P12" s="813"/>
      <c r="Q12" s="812" t="s">
        <v>396</v>
      </c>
      <c r="R12" s="1"/>
      <c r="S12" s="1"/>
      <c r="T12" s="1"/>
      <c r="U12" s="1"/>
    </row>
    <row r="13" spans="1:21" s="796" customFormat="1" ht="15" x14ac:dyDescent="0.2">
      <c r="A13" s="797">
        <v>2014</v>
      </c>
      <c r="B13" s="1271">
        <f>+'X.2.CDM Data Extraction'!K40-'X.2.CDM Data Extraction'!I40-'X.2.CDM Data Extraction'!J40</f>
        <v>781079</v>
      </c>
      <c r="C13" s="798">
        <f t="shared" si="2"/>
        <v>567181.00287295401</v>
      </c>
      <c r="D13" s="798">
        <f t="shared" si="0"/>
        <v>283590.501436477</v>
      </c>
      <c r="E13" s="798">
        <f>+B13*0.5+B12*0.5</f>
        <v>497488.498563523</v>
      </c>
      <c r="F13" s="798">
        <f t="shared" si="3"/>
        <v>3938.7569643955139</v>
      </c>
      <c r="G13" s="798">
        <f t="shared" si="1"/>
        <v>521121.04034989607</v>
      </c>
      <c r="H13" s="845"/>
      <c r="J13" s="799">
        <v>9</v>
      </c>
      <c r="K13" s="801"/>
      <c r="L13" s="52">
        <v>31</v>
      </c>
      <c r="M13" s="953">
        <v>33881.670358333336</v>
      </c>
      <c r="N13" s="52">
        <v>0</v>
      </c>
      <c r="O13" s="805">
        <f t="shared" si="5"/>
        <v>33881.670358333336</v>
      </c>
      <c r="P13" s="813"/>
      <c r="Q13" s="813"/>
      <c r="R13" s="1"/>
      <c r="S13" s="1"/>
      <c r="T13" s="1"/>
      <c r="U13" s="1"/>
    </row>
    <row r="14" spans="1:21" s="796" customFormat="1" ht="15" x14ac:dyDescent="0.2">
      <c r="A14" s="802">
        <v>2015</v>
      </c>
      <c r="B14" s="798">
        <f>+'X.2.CDM Data Extraction'!L44</f>
        <v>0</v>
      </c>
      <c r="C14" s="798">
        <f t="shared" si="2"/>
        <v>-781079</v>
      </c>
      <c r="D14" s="798">
        <f t="shared" si="0"/>
        <v>-390539.5</v>
      </c>
      <c r="E14" s="798">
        <f>+B14*0.5+B13*0.5</f>
        <v>390539.5</v>
      </c>
      <c r="F14" s="798">
        <f t="shared" si="3"/>
        <v>-5424.1597222222226</v>
      </c>
      <c r="G14" s="798">
        <f t="shared" si="1"/>
        <v>357994.54166666663</v>
      </c>
      <c r="H14" s="845"/>
      <c r="J14" s="799">
        <v>10</v>
      </c>
      <c r="K14" s="801"/>
      <c r="L14" s="52">
        <v>30</v>
      </c>
      <c r="M14" s="953">
        <v>32788.713250000001</v>
      </c>
      <c r="N14" s="52">
        <v>0</v>
      </c>
      <c r="O14" s="805">
        <f t="shared" si="5"/>
        <v>32788.713250000001</v>
      </c>
      <c r="P14" s="813"/>
      <c r="Q14" s="813"/>
      <c r="R14" s="1"/>
      <c r="S14" s="1"/>
      <c r="T14" s="1"/>
      <c r="U14" s="1"/>
    </row>
    <row r="15" spans="1:21" s="796" customFormat="1" ht="15" x14ac:dyDescent="0.2">
      <c r="A15" s="802">
        <v>2016</v>
      </c>
      <c r="B15" s="798">
        <f>+'X.2.CDM Data Extraction'!M48</f>
        <v>0</v>
      </c>
      <c r="C15" s="798">
        <f t="shared" si="2"/>
        <v>0</v>
      </c>
      <c r="D15" s="798">
        <f t="shared" si="0"/>
        <v>0</v>
      </c>
      <c r="E15" s="798">
        <f t="shared" si="4"/>
        <v>0</v>
      </c>
      <c r="F15" s="798">
        <f t="shared" si="3"/>
        <v>0</v>
      </c>
      <c r="G15" s="798">
        <f t="shared" si="1"/>
        <v>0</v>
      </c>
      <c r="H15" s="845"/>
      <c r="J15" s="799">
        <v>11</v>
      </c>
      <c r="K15" s="801"/>
      <c r="L15" s="52">
        <v>31</v>
      </c>
      <c r="M15" s="953">
        <v>33881.670358333336</v>
      </c>
      <c r="N15" s="52">
        <v>0</v>
      </c>
      <c r="O15" s="805">
        <f t="shared" si="5"/>
        <v>33881.670358333336</v>
      </c>
      <c r="P15" s="813"/>
      <c r="Q15" s="813"/>
      <c r="R15" s="1"/>
    </row>
    <row r="16" spans="1:21" s="796" customFormat="1" ht="15" x14ac:dyDescent="0.2">
      <c r="B16" s="801">
        <f>B10*4+B11*3+B12*2+B13</f>
        <v>4336322.9784383047</v>
      </c>
      <c r="J16" s="799">
        <v>12</v>
      </c>
      <c r="K16" s="801"/>
      <c r="L16" s="52">
        <v>31</v>
      </c>
      <c r="M16" s="217">
        <v>33881.670358333336</v>
      </c>
      <c r="N16" s="52">
        <v>0</v>
      </c>
      <c r="O16" s="805">
        <f t="shared" si="5"/>
        <v>33881.670358333336</v>
      </c>
      <c r="P16" s="813"/>
      <c r="Q16" s="813"/>
      <c r="R16" s="780"/>
    </row>
    <row r="17" spans="1:19" s="796" customFormat="1" ht="15.75" thickBot="1" x14ac:dyDescent="0.25">
      <c r="A17" s="803"/>
      <c r="B17" s="801"/>
      <c r="C17" s="801"/>
      <c r="D17" s="801"/>
      <c r="E17" s="801"/>
      <c r="F17" s="801"/>
      <c r="G17" s="801"/>
      <c r="H17" s="801"/>
      <c r="J17" s="811">
        <f>SUM(J5:J16)</f>
        <v>78</v>
      </c>
      <c r="K17" s="801"/>
      <c r="L17" s="52">
        <v>28</v>
      </c>
      <c r="M17" s="217">
        <v>30602.799033333336</v>
      </c>
      <c r="N17" s="52">
        <v>0</v>
      </c>
      <c r="O17" s="805">
        <f t="shared" si="5"/>
        <v>30602.799033333336</v>
      </c>
      <c r="P17" s="813"/>
      <c r="Q17" s="813"/>
      <c r="R17" s="1"/>
    </row>
    <row r="18" spans="1:19" ht="44.25" customHeight="1" thickBot="1" x14ac:dyDescent="0.25">
      <c r="A18" s="808" t="s">
        <v>380</v>
      </c>
      <c r="B18" s="809" t="s">
        <v>369</v>
      </c>
      <c r="C18" s="809" t="s">
        <v>370</v>
      </c>
      <c r="D18" s="809" t="s">
        <v>371</v>
      </c>
      <c r="E18" s="810" t="s">
        <v>373</v>
      </c>
      <c r="F18" s="827" t="s">
        <v>375</v>
      </c>
      <c r="G18" s="828" t="s">
        <v>379</v>
      </c>
      <c r="H18" s="846" t="s">
        <v>418</v>
      </c>
      <c r="L18" s="52">
        <v>31</v>
      </c>
      <c r="M18" s="217">
        <v>33881.670358333336</v>
      </c>
      <c r="N18" s="52">
        <v>0</v>
      </c>
      <c r="O18" s="805">
        <f t="shared" si="5"/>
        <v>33881.670358333336</v>
      </c>
      <c r="P18" s="813"/>
      <c r="Q18" s="813"/>
    </row>
    <row r="19" spans="1:19" x14ac:dyDescent="0.2">
      <c r="A19" s="768" t="s">
        <v>258</v>
      </c>
      <c r="B19" s="807">
        <f>+$B$5/$J$17</f>
        <v>8829.9912392551087</v>
      </c>
      <c r="C19" s="1282">
        <f>+F5/2</f>
        <v>2391.455960631592</v>
      </c>
      <c r="D19" s="87"/>
      <c r="E19" s="87"/>
      <c r="F19" s="807">
        <v>0</v>
      </c>
      <c r="G19" s="807">
        <f>+C19+F19</f>
        <v>2391.455960631592</v>
      </c>
      <c r="H19" s="807">
        <f>G19*1.079</f>
        <v>2580.3809815214877</v>
      </c>
      <c r="L19" s="52">
        <v>30</v>
      </c>
      <c r="M19" s="217">
        <v>32788.713250000001</v>
      </c>
      <c r="N19" s="52">
        <v>0</v>
      </c>
      <c r="O19" s="805">
        <f t="shared" si="5"/>
        <v>32788.713250000001</v>
      </c>
      <c r="P19" s="813"/>
      <c r="Q19" s="813"/>
      <c r="S19" s="59"/>
    </row>
    <row r="20" spans="1:19" x14ac:dyDescent="0.2">
      <c r="A20" s="768" t="s">
        <v>259</v>
      </c>
      <c r="B20" s="804">
        <f t="shared" ref="B20:B30" si="6">+B19*J6/J5</f>
        <v>17659.982478510217</v>
      </c>
      <c r="C20" s="1283">
        <f>+C19+$F$5</f>
        <v>7174.3678818947756</v>
      </c>
      <c r="D20" s="52"/>
      <c r="E20" s="52"/>
      <c r="F20" s="804">
        <v>0</v>
      </c>
      <c r="G20" s="804">
        <f t="shared" ref="G20:G83" si="7">+C20+F20</f>
        <v>7174.3678818947756</v>
      </c>
      <c r="H20" s="804">
        <f t="shared" ref="H20:H83" si="8">G20*1.079</f>
        <v>7741.1429445644626</v>
      </c>
      <c r="L20" s="52">
        <v>31</v>
      </c>
      <c r="M20" s="217">
        <v>33881.670358333336</v>
      </c>
      <c r="N20" s="52">
        <v>0</v>
      </c>
      <c r="O20" s="805">
        <f t="shared" si="5"/>
        <v>33881.670358333336</v>
      </c>
      <c r="P20" s="813"/>
      <c r="Q20" s="813"/>
      <c r="S20" s="59"/>
    </row>
    <row r="21" spans="1:19" x14ac:dyDescent="0.2">
      <c r="A21" s="768" t="s">
        <v>260</v>
      </c>
      <c r="B21" s="804">
        <f t="shared" si="6"/>
        <v>26489.973717765326</v>
      </c>
      <c r="C21" s="1283">
        <f t="shared" ref="C21:C30" si="9">+C20+$F$5</f>
        <v>11957.279803157959</v>
      </c>
      <c r="D21" s="52"/>
      <c r="E21" s="52"/>
      <c r="F21" s="804">
        <v>0</v>
      </c>
      <c r="G21" s="804">
        <f t="shared" si="7"/>
        <v>11957.279803157959</v>
      </c>
      <c r="H21" s="804">
        <f t="shared" si="8"/>
        <v>12901.904907607437</v>
      </c>
      <c r="L21" s="52">
        <v>30</v>
      </c>
      <c r="M21" s="217">
        <v>28369.111769021743</v>
      </c>
      <c r="N21" s="804">
        <f>29587.2*L21/365</f>
        <v>2431.8246575342464</v>
      </c>
      <c r="O21" s="805">
        <f t="shared" si="5"/>
        <v>30800.936426555989</v>
      </c>
      <c r="P21" s="813"/>
      <c r="Q21" s="813"/>
      <c r="S21" s="59"/>
    </row>
    <row r="22" spans="1:19" x14ac:dyDescent="0.2">
      <c r="A22" s="768" t="s">
        <v>261</v>
      </c>
      <c r="B22" s="804">
        <f t="shared" si="6"/>
        <v>35319.964957020435</v>
      </c>
      <c r="C22" s="1283">
        <f t="shared" si="9"/>
        <v>16740.191724421144</v>
      </c>
      <c r="D22" s="52"/>
      <c r="E22" s="52"/>
      <c r="F22" s="804">
        <v>0</v>
      </c>
      <c r="G22" s="804">
        <f t="shared" si="7"/>
        <v>16740.191724421144</v>
      </c>
      <c r="H22" s="804">
        <f t="shared" si="8"/>
        <v>18062.666870650413</v>
      </c>
      <c r="L22" s="52">
        <v>31</v>
      </c>
      <c r="M22" s="217">
        <v>29314.748827989137</v>
      </c>
      <c r="N22" s="804">
        <f t="shared" ref="N22:N39" si="10">29587.2*L22/365</f>
        <v>2512.8854794520548</v>
      </c>
      <c r="O22" s="805">
        <f t="shared" si="5"/>
        <v>31827.634307441193</v>
      </c>
      <c r="P22" s="813"/>
      <c r="Q22" s="813"/>
      <c r="S22" s="59"/>
    </row>
    <row r="23" spans="1:19" x14ac:dyDescent="0.2">
      <c r="A23" s="768" t="s">
        <v>262</v>
      </c>
      <c r="B23" s="804">
        <f t="shared" si="6"/>
        <v>44149.95619627554</v>
      </c>
      <c r="C23" s="1283">
        <f t="shared" si="9"/>
        <v>21523.103645684329</v>
      </c>
      <c r="D23" s="52"/>
      <c r="E23" s="52"/>
      <c r="F23" s="804">
        <v>0</v>
      </c>
      <c r="G23" s="804">
        <f t="shared" si="7"/>
        <v>21523.103645684329</v>
      </c>
      <c r="H23" s="804">
        <f t="shared" si="8"/>
        <v>23223.42883369339</v>
      </c>
      <c r="L23" s="52">
        <v>31</v>
      </c>
      <c r="M23" s="217">
        <v>29314.748827989137</v>
      </c>
      <c r="N23" s="804">
        <f t="shared" si="10"/>
        <v>2512.8854794520548</v>
      </c>
      <c r="O23" s="805">
        <f t="shared" si="5"/>
        <v>31827.634307441193</v>
      </c>
      <c r="P23" s="813"/>
      <c r="Q23" s="813"/>
      <c r="S23" s="59"/>
    </row>
    <row r="24" spans="1:19" x14ac:dyDescent="0.2">
      <c r="A24" s="768" t="s">
        <v>263</v>
      </c>
      <c r="B24" s="804">
        <f t="shared" si="6"/>
        <v>52979.947435530645</v>
      </c>
      <c r="C24" s="1283">
        <f t="shared" si="9"/>
        <v>26306.015566947513</v>
      </c>
      <c r="D24" s="52"/>
      <c r="E24" s="52"/>
      <c r="F24" s="804">
        <v>0</v>
      </c>
      <c r="G24" s="804">
        <f t="shared" si="7"/>
        <v>26306.015566947513</v>
      </c>
      <c r="H24" s="804">
        <f t="shared" si="8"/>
        <v>28384.190796736366</v>
      </c>
      <c r="L24" s="52">
        <v>30</v>
      </c>
      <c r="M24" s="217">
        <v>32788.713250000001</v>
      </c>
      <c r="N24" s="804">
        <f t="shared" si="10"/>
        <v>2431.8246575342464</v>
      </c>
      <c r="O24" s="805">
        <f t="shared" si="5"/>
        <v>35220.53790753425</v>
      </c>
      <c r="P24" s="813"/>
      <c r="Q24" s="813"/>
      <c r="S24" s="59"/>
    </row>
    <row r="25" spans="1:19" x14ac:dyDescent="0.2">
      <c r="A25" s="768" t="s">
        <v>264</v>
      </c>
      <c r="B25" s="804">
        <f t="shared" si="6"/>
        <v>61809.93867478575</v>
      </c>
      <c r="C25" s="1283">
        <f t="shared" si="9"/>
        <v>31088.927488210698</v>
      </c>
      <c r="D25" s="52"/>
      <c r="E25" s="52"/>
      <c r="F25" s="804">
        <v>0</v>
      </c>
      <c r="G25" s="804">
        <f t="shared" si="7"/>
        <v>31088.927488210698</v>
      </c>
      <c r="H25" s="804">
        <f t="shared" si="8"/>
        <v>33544.952759779342</v>
      </c>
      <c r="L25" s="52">
        <v>31</v>
      </c>
      <c r="M25" s="217">
        <v>33881.670358333336</v>
      </c>
      <c r="N25" s="804">
        <f t="shared" si="10"/>
        <v>2512.8854794520548</v>
      </c>
      <c r="O25" s="805">
        <f t="shared" si="5"/>
        <v>36394.555837785389</v>
      </c>
      <c r="P25" s="813"/>
      <c r="Q25" s="813"/>
      <c r="S25" s="59"/>
    </row>
    <row r="26" spans="1:19" x14ac:dyDescent="0.2">
      <c r="A26" s="768" t="s">
        <v>265</v>
      </c>
      <c r="B26" s="804">
        <f t="shared" si="6"/>
        <v>70639.929914040855</v>
      </c>
      <c r="C26" s="1283">
        <f t="shared" si="9"/>
        <v>35871.839409473883</v>
      </c>
      <c r="D26" s="52"/>
      <c r="E26" s="52"/>
      <c r="F26" s="804">
        <v>0</v>
      </c>
      <c r="G26" s="804">
        <f t="shared" si="7"/>
        <v>35871.839409473883</v>
      </c>
      <c r="H26" s="804">
        <f t="shared" si="8"/>
        <v>38705.714722822318</v>
      </c>
      <c r="L26" s="52">
        <v>30</v>
      </c>
      <c r="M26" s="217">
        <v>32788.713250000001</v>
      </c>
      <c r="N26" s="804">
        <f t="shared" si="10"/>
        <v>2431.8246575342464</v>
      </c>
      <c r="O26" s="805">
        <f t="shared" si="5"/>
        <v>35220.53790753425</v>
      </c>
      <c r="P26" s="813"/>
      <c r="Q26" s="813"/>
      <c r="S26" s="59"/>
    </row>
    <row r="27" spans="1:19" x14ac:dyDescent="0.2">
      <c r="A27" s="768" t="s">
        <v>266</v>
      </c>
      <c r="B27" s="804">
        <f t="shared" si="6"/>
        <v>79469.92115329596</v>
      </c>
      <c r="C27" s="1283">
        <f t="shared" si="9"/>
        <v>40654.751330737068</v>
      </c>
      <c r="D27" s="52"/>
      <c r="E27" s="52"/>
      <c r="F27" s="804">
        <v>0</v>
      </c>
      <c r="G27" s="804">
        <f t="shared" si="7"/>
        <v>40654.751330737068</v>
      </c>
      <c r="H27" s="804">
        <f t="shared" si="8"/>
        <v>43866.476685865295</v>
      </c>
      <c r="L27" s="52">
        <v>31</v>
      </c>
      <c r="M27" s="217">
        <v>33881.670358333336</v>
      </c>
      <c r="N27" s="804">
        <f t="shared" si="10"/>
        <v>2512.8854794520548</v>
      </c>
      <c r="O27" s="805">
        <f t="shared" si="5"/>
        <v>36394.555837785389</v>
      </c>
      <c r="P27" s="813"/>
      <c r="Q27" s="813"/>
      <c r="S27" s="59"/>
    </row>
    <row r="28" spans="1:19" x14ac:dyDescent="0.2">
      <c r="A28" s="768" t="s">
        <v>267</v>
      </c>
      <c r="B28" s="804">
        <f t="shared" si="6"/>
        <v>88299.912392551065</v>
      </c>
      <c r="C28" s="1283">
        <f t="shared" si="9"/>
        <v>45437.663252000253</v>
      </c>
      <c r="D28" s="52"/>
      <c r="E28" s="52"/>
      <c r="F28" s="804">
        <v>0</v>
      </c>
      <c r="G28" s="804">
        <f t="shared" si="7"/>
        <v>45437.663252000253</v>
      </c>
      <c r="H28" s="804">
        <f t="shared" si="8"/>
        <v>49027.238648908271</v>
      </c>
      <c r="L28" s="52">
        <v>31</v>
      </c>
      <c r="M28" s="953">
        <v>33881.670358333336</v>
      </c>
      <c r="N28" s="804">
        <f t="shared" si="10"/>
        <v>2512.8854794520548</v>
      </c>
      <c r="O28" s="805">
        <f t="shared" si="5"/>
        <v>36394.555837785389</v>
      </c>
      <c r="P28" s="813"/>
      <c r="Q28" s="813"/>
      <c r="S28" s="59"/>
    </row>
    <row r="29" spans="1:19" x14ac:dyDescent="0.2">
      <c r="A29" s="768" t="s">
        <v>268</v>
      </c>
      <c r="B29" s="804">
        <f t="shared" si="6"/>
        <v>97129.90363180617</v>
      </c>
      <c r="C29" s="1283">
        <f t="shared" si="9"/>
        <v>50220.575173263438</v>
      </c>
      <c r="D29" s="52"/>
      <c r="E29" s="52"/>
      <c r="F29" s="804">
        <v>0</v>
      </c>
      <c r="G29" s="804">
        <f t="shared" si="7"/>
        <v>50220.575173263438</v>
      </c>
      <c r="H29" s="804">
        <f t="shared" si="8"/>
        <v>54188.000611951247</v>
      </c>
      <c r="L29" s="52">
        <v>28</v>
      </c>
      <c r="M29" s="953">
        <v>30602.799033333336</v>
      </c>
      <c r="N29" s="804">
        <f t="shared" si="10"/>
        <v>2269.70301369863</v>
      </c>
      <c r="O29" s="805">
        <f t="shared" si="5"/>
        <v>32872.502047031965</v>
      </c>
      <c r="P29" s="813"/>
      <c r="Q29" s="813"/>
      <c r="S29" s="59"/>
    </row>
    <row r="30" spans="1:19" x14ac:dyDescent="0.2">
      <c r="A30" s="768" t="s">
        <v>269</v>
      </c>
      <c r="B30" s="804">
        <f t="shared" si="6"/>
        <v>105959.89487106129</v>
      </c>
      <c r="C30" s="1283">
        <f t="shared" si="9"/>
        <v>55003.487094526623</v>
      </c>
      <c r="D30" s="805">
        <f>+F$5*0.5+C30</f>
        <v>57394.943055158212</v>
      </c>
      <c r="E30" s="805">
        <f>SUM(C19:C30)</f>
        <v>344369.65833094926</v>
      </c>
      <c r="F30" s="804">
        <v>0</v>
      </c>
      <c r="G30" s="804">
        <f t="shared" si="7"/>
        <v>55003.487094526623</v>
      </c>
      <c r="H30" s="804">
        <f t="shared" si="8"/>
        <v>59348.762574994224</v>
      </c>
      <c r="L30" s="52">
        <v>31</v>
      </c>
      <c r="M30" s="953">
        <v>33881.670358333336</v>
      </c>
      <c r="N30" s="804">
        <f t="shared" si="10"/>
        <v>2512.8854794520548</v>
      </c>
      <c r="O30" s="805">
        <f t="shared" si="5"/>
        <v>36394.555837785389</v>
      </c>
      <c r="P30" s="813"/>
      <c r="Q30" s="813"/>
      <c r="S30" s="59"/>
    </row>
    <row r="31" spans="1:19" x14ac:dyDescent="0.2">
      <c r="A31" s="768" t="s">
        <v>270</v>
      </c>
      <c r="B31" s="804">
        <f>$B$6/$J$17</f>
        <v>9704.4893603121072</v>
      </c>
      <c r="C31" s="1284">
        <f>+D30+0.5*F$6</f>
        <v>57631.786296277816</v>
      </c>
      <c r="D31" s="52"/>
      <c r="E31" s="52"/>
      <c r="F31" s="804">
        <f>+'X.2.CDM Data Extraction'!$D$50/12*0.5</f>
        <v>28697.471527579106</v>
      </c>
      <c r="G31" s="804">
        <f>+C31+F31</f>
        <v>86329.257823856926</v>
      </c>
      <c r="H31" s="804">
        <f t="shared" si="8"/>
        <v>93149.269191941625</v>
      </c>
      <c r="L31" s="52">
        <v>30</v>
      </c>
      <c r="M31" s="953">
        <v>32788.713250000001</v>
      </c>
      <c r="N31" s="804">
        <f t="shared" si="10"/>
        <v>2431.8246575342464</v>
      </c>
      <c r="O31" s="805">
        <f t="shared" si="5"/>
        <v>35220.53790753425</v>
      </c>
      <c r="P31" s="813"/>
      <c r="Q31" s="813"/>
    </row>
    <row r="32" spans="1:19" x14ac:dyDescent="0.2">
      <c r="A32" s="768" t="s">
        <v>271</v>
      </c>
      <c r="B32" s="804">
        <f t="shared" ref="B32:B42" si="11">+B31*J6/J5</f>
        <v>19408.978720624214</v>
      </c>
      <c r="C32" s="1284">
        <f t="shared" ref="C32:C42" si="12">+C31+$F$6</f>
        <v>58105.472778517025</v>
      </c>
      <c r="D32" s="52"/>
      <c r="E32" s="52"/>
      <c r="F32" s="804">
        <f>+'X.2.CDM Data Extraction'!$D$50/12*0.5</f>
        <v>28697.471527579106</v>
      </c>
      <c r="G32" s="804">
        <f t="shared" si="7"/>
        <v>86802.944306096135</v>
      </c>
      <c r="H32" s="804">
        <f t="shared" si="8"/>
        <v>93660.376906277728</v>
      </c>
      <c r="L32" s="52">
        <v>31</v>
      </c>
      <c r="M32" s="953">
        <v>33881.670358333336</v>
      </c>
      <c r="N32" s="804">
        <f t="shared" si="10"/>
        <v>2512.8854794520548</v>
      </c>
      <c r="O32" s="805">
        <f t="shared" si="5"/>
        <v>36394.555837785389</v>
      </c>
      <c r="P32" s="813"/>
      <c r="Q32" s="813"/>
    </row>
    <row r="33" spans="1:17" x14ac:dyDescent="0.2">
      <c r="A33" s="768" t="s">
        <v>272</v>
      </c>
      <c r="B33" s="804">
        <f>+B32*J7/J6</f>
        <v>29113.46808093632</v>
      </c>
      <c r="C33" s="1284">
        <f t="shared" si="12"/>
        <v>58579.159260756234</v>
      </c>
      <c r="D33" s="52"/>
      <c r="E33" s="52"/>
      <c r="F33" s="804">
        <f>+'X.2.CDM Data Extraction'!$D$50/12*0.5</f>
        <v>28697.471527579106</v>
      </c>
      <c r="G33" s="804">
        <f t="shared" si="7"/>
        <v>87276.630788335344</v>
      </c>
      <c r="H33" s="804">
        <f t="shared" si="8"/>
        <v>94171.484620613832</v>
      </c>
      <c r="L33" s="52">
        <v>30</v>
      </c>
      <c r="M33" s="953">
        <v>28369.111769021743</v>
      </c>
      <c r="N33" s="804">
        <f t="shared" si="10"/>
        <v>2431.8246575342464</v>
      </c>
      <c r="O33" s="805">
        <f t="shared" si="5"/>
        <v>30800.936426555989</v>
      </c>
      <c r="P33" s="813"/>
      <c r="Q33" s="813"/>
    </row>
    <row r="34" spans="1:17" x14ac:dyDescent="0.2">
      <c r="A34" s="768" t="s">
        <v>273</v>
      </c>
      <c r="B34" s="804">
        <f t="shared" si="11"/>
        <v>38817.957441248429</v>
      </c>
      <c r="C34" s="1284">
        <f t="shared" si="12"/>
        <v>59052.845742995443</v>
      </c>
      <c r="D34" s="52"/>
      <c r="E34" s="52"/>
      <c r="F34" s="804">
        <f>+'X.2.CDM Data Extraction'!$D$50/12*0.5</f>
        <v>28697.471527579106</v>
      </c>
      <c r="G34" s="804">
        <f t="shared" si="7"/>
        <v>87750.317270574553</v>
      </c>
      <c r="H34" s="804">
        <f t="shared" si="8"/>
        <v>94682.592334949935</v>
      </c>
      <c r="L34" s="52">
        <v>31</v>
      </c>
      <c r="M34" s="953">
        <v>29314.748827989137</v>
      </c>
      <c r="N34" s="804">
        <f t="shared" si="10"/>
        <v>2512.8854794520548</v>
      </c>
      <c r="O34" s="805">
        <f t="shared" si="5"/>
        <v>31827.634307441193</v>
      </c>
      <c r="P34" s="813"/>
      <c r="Q34" s="813"/>
    </row>
    <row r="35" spans="1:17" x14ac:dyDescent="0.2">
      <c r="A35" s="768" t="s">
        <v>274</v>
      </c>
      <c r="B35" s="804">
        <f t="shared" si="11"/>
        <v>48522.446801560538</v>
      </c>
      <c r="C35" s="1284">
        <f t="shared" si="12"/>
        <v>59526.532225234652</v>
      </c>
      <c r="D35" s="52"/>
      <c r="E35" s="52"/>
      <c r="F35" s="804">
        <f>+'X.2.CDM Data Extraction'!$D$50/12*0.5</f>
        <v>28697.471527579106</v>
      </c>
      <c r="G35" s="804">
        <f t="shared" si="7"/>
        <v>88224.003752813762</v>
      </c>
      <c r="H35" s="804">
        <f t="shared" si="8"/>
        <v>95193.700049286039</v>
      </c>
      <c r="L35" s="52">
        <v>31</v>
      </c>
      <c r="M35" s="953">
        <v>29314.748827989137</v>
      </c>
      <c r="N35" s="804">
        <f t="shared" si="10"/>
        <v>2512.8854794520548</v>
      </c>
      <c r="O35" s="805">
        <f t="shared" si="5"/>
        <v>31827.634307441193</v>
      </c>
      <c r="P35" s="813"/>
      <c r="Q35" s="813"/>
    </row>
    <row r="36" spans="1:17" x14ac:dyDescent="0.2">
      <c r="A36" s="768" t="s">
        <v>275</v>
      </c>
      <c r="B36" s="804">
        <f t="shared" si="11"/>
        <v>58226.936161872654</v>
      </c>
      <c r="C36" s="1284">
        <f t="shared" si="12"/>
        <v>60000.218707473861</v>
      </c>
      <c r="D36" s="52"/>
      <c r="E36" s="52"/>
      <c r="F36" s="804">
        <f>+'X.2.CDM Data Extraction'!$D$50/12*0.5</f>
        <v>28697.471527579106</v>
      </c>
      <c r="G36" s="804">
        <f t="shared" si="7"/>
        <v>88697.690235052971</v>
      </c>
      <c r="H36" s="804">
        <f t="shared" si="8"/>
        <v>95704.807763622157</v>
      </c>
      <c r="L36" s="52">
        <v>30</v>
      </c>
      <c r="M36" s="953">
        <v>32788.713250000001</v>
      </c>
      <c r="N36" s="804">
        <f t="shared" si="10"/>
        <v>2431.8246575342464</v>
      </c>
      <c r="O36" s="805">
        <f t="shared" si="5"/>
        <v>35220.53790753425</v>
      </c>
      <c r="P36" s="813"/>
      <c r="Q36" s="813"/>
    </row>
    <row r="37" spans="1:17" x14ac:dyDescent="0.2">
      <c r="A37" s="768" t="s">
        <v>276</v>
      </c>
      <c r="B37" s="804">
        <f t="shared" si="11"/>
        <v>67931.425522184771</v>
      </c>
      <c r="C37" s="1284">
        <f t="shared" si="12"/>
        <v>60473.90518971307</v>
      </c>
      <c r="D37" s="52"/>
      <c r="E37" s="52"/>
      <c r="F37" s="804">
        <f>+'X.2.CDM Data Extraction'!$D$50/12*0.5</f>
        <v>28697.471527579106</v>
      </c>
      <c r="G37" s="804">
        <f t="shared" si="7"/>
        <v>89171.37671729218</v>
      </c>
      <c r="H37" s="804">
        <f t="shared" si="8"/>
        <v>96215.91547795826</v>
      </c>
      <c r="L37" s="52">
        <v>31</v>
      </c>
      <c r="M37" s="953">
        <v>33881.670358333336</v>
      </c>
      <c r="N37" s="804">
        <f t="shared" si="10"/>
        <v>2512.8854794520548</v>
      </c>
      <c r="O37" s="805">
        <f t="shared" si="5"/>
        <v>36394.555837785389</v>
      </c>
      <c r="P37" s="813"/>
      <c r="Q37" s="813"/>
    </row>
    <row r="38" spans="1:17" x14ac:dyDescent="0.2">
      <c r="A38" s="768" t="s">
        <v>277</v>
      </c>
      <c r="B38" s="804">
        <f t="shared" si="11"/>
        <v>77635.914882496887</v>
      </c>
      <c r="C38" s="1284">
        <f t="shared" si="12"/>
        <v>60947.591671952279</v>
      </c>
      <c r="D38" s="52"/>
      <c r="E38" s="52"/>
      <c r="F38" s="804">
        <f>+'X.2.CDM Data Extraction'!$D$50/12*0.5</f>
        <v>28697.471527579106</v>
      </c>
      <c r="G38" s="804">
        <f t="shared" si="7"/>
        <v>89645.063199531389</v>
      </c>
      <c r="H38" s="804">
        <f t="shared" si="8"/>
        <v>96727.023192294364</v>
      </c>
      <c r="L38" s="52">
        <v>30</v>
      </c>
      <c r="M38" s="953">
        <v>32788.713250000001</v>
      </c>
      <c r="N38" s="804">
        <f t="shared" si="10"/>
        <v>2431.8246575342464</v>
      </c>
      <c r="O38" s="805">
        <f t="shared" si="5"/>
        <v>35220.53790753425</v>
      </c>
      <c r="P38" s="813"/>
      <c r="Q38" s="813"/>
    </row>
    <row r="39" spans="1:17" x14ac:dyDescent="0.2">
      <c r="A39" s="768" t="s">
        <v>278</v>
      </c>
      <c r="B39" s="804">
        <f t="shared" si="11"/>
        <v>87340.404242809003</v>
      </c>
      <c r="C39" s="1284">
        <f t="shared" si="12"/>
        <v>61421.278154191488</v>
      </c>
      <c r="D39" s="52"/>
      <c r="E39" s="52"/>
      <c r="F39" s="804">
        <f>+'X.2.CDM Data Extraction'!$D$50/12*0.5</f>
        <v>28697.471527579106</v>
      </c>
      <c r="G39" s="804">
        <f t="shared" si="7"/>
        <v>90118.749681770598</v>
      </c>
      <c r="H39" s="804">
        <f t="shared" si="8"/>
        <v>97238.130906630468</v>
      </c>
      <c r="L39" s="52">
        <v>31</v>
      </c>
      <c r="M39" s="953">
        <v>33881.670358333336</v>
      </c>
      <c r="N39" s="804">
        <f t="shared" si="10"/>
        <v>2512.8854794520548</v>
      </c>
      <c r="O39" s="805">
        <f t="shared" si="5"/>
        <v>36394.555837785389</v>
      </c>
      <c r="P39" s="813"/>
      <c r="Q39" s="813"/>
    </row>
    <row r="40" spans="1:17" x14ac:dyDescent="0.2">
      <c r="A40" s="768" t="s">
        <v>279</v>
      </c>
      <c r="B40" s="804">
        <f t="shared" si="11"/>
        <v>97044.893603121105</v>
      </c>
      <c r="C40" s="1284">
        <f t="shared" si="12"/>
        <v>61894.964636430697</v>
      </c>
      <c r="D40" s="52"/>
      <c r="E40" s="52"/>
      <c r="F40" s="804">
        <f>+'X.2.CDM Data Extraction'!$D$50/12*0.5</f>
        <v>28697.471527579106</v>
      </c>
      <c r="G40" s="804">
        <f>+C40+F40</f>
        <v>90592.436164009807</v>
      </c>
      <c r="H40" s="804">
        <f t="shared" si="8"/>
        <v>97749.238620966571</v>
      </c>
    </row>
    <row r="41" spans="1:17" ht="15" x14ac:dyDescent="0.25">
      <c r="A41" s="768" t="s">
        <v>280</v>
      </c>
      <c r="B41" s="804">
        <f t="shared" si="11"/>
        <v>106749.38296343321</v>
      </c>
      <c r="C41" s="1284">
        <f t="shared" si="12"/>
        <v>62368.651118669906</v>
      </c>
      <c r="D41" s="52"/>
      <c r="E41" s="52"/>
      <c r="F41" s="804">
        <f>+'X.2.CDM Data Extraction'!$D$50/12*0.5</f>
        <v>28697.471527579106</v>
      </c>
      <c r="G41" s="804">
        <f t="shared" si="7"/>
        <v>91066.122646249016</v>
      </c>
      <c r="H41" s="804">
        <f t="shared" si="8"/>
        <v>98260.346335302689</v>
      </c>
      <c r="L41" s="829" t="s">
        <v>404</v>
      </c>
    </row>
    <row r="42" spans="1:17" x14ac:dyDescent="0.2">
      <c r="A42" s="768" t="s">
        <v>281</v>
      </c>
      <c r="B42" s="804">
        <f t="shared" si="11"/>
        <v>116453.87232374531</v>
      </c>
      <c r="C42" s="1284">
        <f t="shared" si="12"/>
        <v>62842.337600909115</v>
      </c>
      <c r="D42" s="805">
        <f>+F$6*0.5+C42</f>
        <v>63079.18084202872</v>
      </c>
      <c r="E42" s="805">
        <f>SUM(C31:C42)</f>
        <v>722844.74338312168</v>
      </c>
      <c r="F42" s="804">
        <f>+'X.2.CDM Data Extraction'!$D$50/12*0.5</f>
        <v>28697.471527579106</v>
      </c>
      <c r="G42" s="804">
        <f t="shared" si="7"/>
        <v>91539.809128488225</v>
      </c>
      <c r="H42" s="804">
        <f t="shared" si="8"/>
        <v>98771.454049638793</v>
      </c>
      <c r="L42" s="812" t="s">
        <v>403</v>
      </c>
    </row>
    <row r="43" spans="1:17" x14ac:dyDescent="0.2">
      <c r="A43" s="768" t="s">
        <v>282</v>
      </c>
      <c r="B43" s="804">
        <f>$B$7/$J$17</f>
        <v>5800.477919184048</v>
      </c>
      <c r="C43" s="1285">
        <f>+D42+0.5*F$7</f>
        <v>62021.844410056539</v>
      </c>
      <c r="D43" s="52"/>
      <c r="E43" s="52"/>
      <c r="F43" s="804">
        <f>+'X.2.CDM Data Extraction'!$E$50/12-'X.2.CDM Data Extraction'!D$12*0.5/12</f>
        <v>60719.071500709382</v>
      </c>
      <c r="G43" s="804">
        <f t="shared" si="7"/>
        <v>122740.91591076592</v>
      </c>
      <c r="H43" s="804">
        <f t="shared" si="8"/>
        <v>132437.44826771642</v>
      </c>
      <c r="L43" s="172" t="s">
        <v>405</v>
      </c>
    </row>
    <row r="44" spans="1:17" x14ac:dyDescent="0.2">
      <c r="A44" s="768" t="s">
        <v>283</v>
      </c>
      <c r="B44" s="804">
        <f t="shared" ref="B44:B54" si="13">+B43*J6/J5</f>
        <v>11600.955838368096</v>
      </c>
      <c r="C44" s="1285">
        <f t="shared" ref="C44:C54" si="14">+C43+$F$7</f>
        <v>59907.171546112171</v>
      </c>
      <c r="D44" s="52"/>
      <c r="E44" s="52"/>
      <c r="F44" s="804">
        <f>+'X.2.CDM Data Extraction'!$E$50/12-'X.2.CDM Data Extraction'!D$12*0.5/12</f>
        <v>60719.071500709382</v>
      </c>
      <c r="G44" s="804">
        <f t="shared" si="7"/>
        <v>120626.24304682156</v>
      </c>
      <c r="H44" s="804">
        <f t="shared" si="8"/>
        <v>130155.71624752045</v>
      </c>
    </row>
    <row r="45" spans="1:17" x14ac:dyDescent="0.2">
      <c r="A45" s="768" t="s">
        <v>284</v>
      </c>
      <c r="B45" s="804">
        <f t="shared" si="13"/>
        <v>17401.433757552142</v>
      </c>
      <c r="C45" s="1285">
        <f t="shared" si="14"/>
        <v>57792.498682167803</v>
      </c>
      <c r="D45" s="52"/>
      <c r="E45" s="52"/>
      <c r="F45" s="804">
        <f>+'X.2.CDM Data Extraction'!$E$50/12-'X.2.CDM Data Extraction'!D$12*0.5/12</f>
        <v>60719.071500709382</v>
      </c>
      <c r="G45" s="804">
        <f t="shared" si="7"/>
        <v>118511.57018287719</v>
      </c>
      <c r="H45" s="804">
        <f t="shared" si="8"/>
        <v>127873.98422732447</v>
      </c>
    </row>
    <row r="46" spans="1:17" x14ac:dyDescent="0.2">
      <c r="A46" s="768" t="s">
        <v>285</v>
      </c>
      <c r="B46" s="804">
        <f t="shared" si="13"/>
        <v>23201.911676736188</v>
      </c>
      <c r="C46" s="1285">
        <f t="shared" si="14"/>
        <v>55677.825818223435</v>
      </c>
      <c r="D46" s="52"/>
      <c r="E46" s="52"/>
      <c r="F46" s="804">
        <f>+'X.2.CDM Data Extraction'!$E$50/12-'X.2.CDM Data Extraction'!D$12*0.5/12</f>
        <v>60719.071500709382</v>
      </c>
      <c r="G46" s="804">
        <f t="shared" si="7"/>
        <v>116396.89731893281</v>
      </c>
      <c r="H46" s="804">
        <f>G46*1.079</f>
        <v>125592.25220712849</v>
      </c>
    </row>
    <row r="47" spans="1:17" x14ac:dyDescent="0.2">
      <c r="A47" s="768" t="s">
        <v>286</v>
      </c>
      <c r="B47" s="804">
        <f t="shared" si="13"/>
        <v>29002.389595920235</v>
      </c>
      <c r="C47" s="1285">
        <f t="shared" si="14"/>
        <v>53563.152954279067</v>
      </c>
      <c r="D47" s="52"/>
      <c r="E47" s="52"/>
      <c r="F47" s="804">
        <f>+'X.2.CDM Data Extraction'!$E$50/12-'X.2.CDM Data Extraction'!D$12*0.5/12</f>
        <v>60719.071500709382</v>
      </c>
      <c r="G47" s="804">
        <f t="shared" si="7"/>
        <v>114282.22445498845</v>
      </c>
      <c r="H47" s="804">
        <f t="shared" si="8"/>
        <v>123310.52018693252</v>
      </c>
    </row>
    <row r="48" spans="1:17" x14ac:dyDescent="0.2">
      <c r="A48" s="768" t="s">
        <v>287</v>
      </c>
      <c r="B48" s="804">
        <f t="shared" si="13"/>
        <v>34802.867515104284</v>
      </c>
      <c r="C48" s="1285">
        <f t="shared" si="14"/>
        <v>51448.480090334699</v>
      </c>
      <c r="D48" s="52"/>
      <c r="E48" s="52"/>
      <c r="F48" s="804">
        <f>+'X.2.CDM Data Extraction'!$E$50/12-'X.2.CDM Data Extraction'!D$12*0.5/12</f>
        <v>60719.071500709382</v>
      </c>
      <c r="G48" s="804">
        <f t="shared" si="7"/>
        <v>112167.55159104409</v>
      </c>
      <c r="H48" s="804">
        <f t="shared" si="8"/>
        <v>121028.78816673657</v>
      </c>
    </row>
    <row r="49" spans="1:8" x14ac:dyDescent="0.2">
      <c r="A49" s="768" t="s">
        <v>288</v>
      </c>
      <c r="B49" s="804">
        <f t="shared" si="13"/>
        <v>40603.345434288327</v>
      </c>
      <c r="C49" s="1285">
        <f t="shared" si="14"/>
        <v>49333.80722639033</v>
      </c>
      <c r="D49" s="52"/>
      <c r="E49" s="52"/>
      <c r="F49" s="804">
        <f>+'X.2.CDM Data Extraction'!$E$50/12-'X.2.CDM Data Extraction'!D$12*0.5/12</f>
        <v>60719.071500709382</v>
      </c>
      <c r="G49" s="804">
        <f t="shared" si="7"/>
        <v>110052.87872709971</v>
      </c>
      <c r="H49" s="804">
        <f t="shared" si="8"/>
        <v>118747.05614654059</v>
      </c>
    </row>
    <row r="50" spans="1:8" x14ac:dyDescent="0.2">
      <c r="A50" s="768" t="s">
        <v>289</v>
      </c>
      <c r="B50" s="804">
        <f t="shared" si="13"/>
        <v>46403.823353472377</v>
      </c>
      <c r="C50" s="1285">
        <f t="shared" si="14"/>
        <v>47219.134362445962</v>
      </c>
      <c r="D50" s="52"/>
      <c r="E50" s="52"/>
      <c r="F50" s="804">
        <f>+'X.2.CDM Data Extraction'!$E$50/12-'X.2.CDM Data Extraction'!D$12*0.5/12</f>
        <v>60719.071500709382</v>
      </c>
      <c r="G50" s="804">
        <f t="shared" si="7"/>
        <v>107938.20586315534</v>
      </c>
      <c r="H50" s="804">
        <f t="shared" si="8"/>
        <v>116465.32412634461</v>
      </c>
    </row>
    <row r="51" spans="1:8" x14ac:dyDescent="0.2">
      <c r="A51" s="768" t="s">
        <v>290</v>
      </c>
      <c r="B51" s="804">
        <f t="shared" si="13"/>
        <v>52204.301272656427</v>
      </c>
      <c r="C51" s="1285">
        <f t="shared" si="14"/>
        <v>45104.461498501594</v>
      </c>
      <c r="D51" s="52"/>
      <c r="E51" s="52"/>
      <c r="F51" s="804">
        <f>+'X.2.CDM Data Extraction'!$E$50/12-'X.2.CDM Data Extraction'!D$12*0.5/12</f>
        <v>60719.071500709382</v>
      </c>
      <c r="G51" s="804">
        <f t="shared" si="7"/>
        <v>105823.53299921098</v>
      </c>
      <c r="H51" s="804">
        <f t="shared" si="8"/>
        <v>114183.59210614864</v>
      </c>
    </row>
    <row r="52" spans="1:8" x14ac:dyDescent="0.2">
      <c r="A52" s="768" t="s">
        <v>291</v>
      </c>
      <c r="B52" s="804">
        <f t="shared" si="13"/>
        <v>58004.779191840469</v>
      </c>
      <c r="C52" s="1285">
        <f t="shared" si="14"/>
        <v>42989.788634557226</v>
      </c>
      <c r="D52" s="52"/>
      <c r="E52" s="52"/>
      <c r="F52" s="804">
        <f>+'X.2.CDM Data Extraction'!$E$50/12-'X.2.CDM Data Extraction'!D$12*0.5/12</f>
        <v>60719.071500709382</v>
      </c>
      <c r="G52" s="804">
        <f t="shared" si="7"/>
        <v>103708.86013526662</v>
      </c>
      <c r="H52" s="804">
        <f t="shared" si="8"/>
        <v>111901.86008595268</v>
      </c>
    </row>
    <row r="53" spans="1:8" x14ac:dyDescent="0.2">
      <c r="A53" s="768" t="s">
        <v>292</v>
      </c>
      <c r="B53" s="804">
        <f t="shared" si="13"/>
        <v>63805.257111024519</v>
      </c>
      <c r="C53" s="1285">
        <f t="shared" si="14"/>
        <v>40875.115770612858</v>
      </c>
      <c r="D53" s="52"/>
      <c r="E53" s="52"/>
      <c r="F53" s="804">
        <f>+'X.2.CDM Data Extraction'!$E$50/12-'X.2.CDM Data Extraction'!D$12*0.5/12</f>
        <v>60719.071500709382</v>
      </c>
      <c r="G53" s="804">
        <f t="shared" si="7"/>
        <v>101594.18727132224</v>
      </c>
      <c r="H53" s="804">
        <f t="shared" si="8"/>
        <v>109620.1280657567</v>
      </c>
    </row>
    <row r="54" spans="1:8" x14ac:dyDescent="0.2">
      <c r="A54" s="768" t="s">
        <v>293</v>
      </c>
      <c r="B54" s="804">
        <f t="shared" si="13"/>
        <v>69605.735030208569</v>
      </c>
      <c r="C54" s="1285">
        <f t="shared" si="14"/>
        <v>38760.44290666849</v>
      </c>
      <c r="D54" s="805">
        <f>+F$7*0.5+C54</f>
        <v>37703.106474696309</v>
      </c>
      <c r="E54" s="805">
        <f>SUM(C43:C54)</f>
        <v>604693.72390035028</v>
      </c>
      <c r="F54" s="804">
        <f>+'X.2.CDM Data Extraction'!$E$50/12-'X.2.CDM Data Extraction'!D$12*0.5/12</f>
        <v>60719.071500709382</v>
      </c>
      <c r="G54" s="804">
        <f t="shared" si="7"/>
        <v>99479.514407377865</v>
      </c>
      <c r="H54" s="804">
        <f t="shared" si="8"/>
        <v>107338.39604556072</v>
      </c>
    </row>
    <row r="55" spans="1:8" x14ac:dyDescent="0.2">
      <c r="A55" s="768" t="s">
        <v>294</v>
      </c>
      <c r="B55" s="804">
        <f>$B$8/$J$17</f>
        <v>8885.3138114861376</v>
      </c>
      <c r="C55" s="1284">
        <f>+D54+0.5*F$8</f>
        <v>38538.582862194795</v>
      </c>
      <c r="D55" s="52"/>
      <c r="E55" s="52"/>
      <c r="F55" s="804">
        <f>+'X.2.CDM Data Extraction'!$F$50/12-'X.2.CDM Data Extraction'!E$16*0.5/12</f>
        <v>102176.14550269238</v>
      </c>
      <c r="G55" s="804">
        <f t="shared" si="7"/>
        <v>140714.72836488718</v>
      </c>
      <c r="H55" s="804">
        <f t="shared" si="8"/>
        <v>151831.19190571326</v>
      </c>
    </row>
    <row r="56" spans="1:8" x14ac:dyDescent="0.2">
      <c r="A56" s="768" t="s">
        <v>295</v>
      </c>
      <c r="B56" s="804">
        <f t="shared" ref="B56:B66" si="15">+B55*J6/J5</f>
        <v>17770.627622972275</v>
      </c>
      <c r="C56" s="1284">
        <f t="shared" ref="C56:C66" si="16">+C55+$F$8</f>
        <v>40209.535637191759</v>
      </c>
      <c r="D56" s="52"/>
      <c r="E56" s="52"/>
      <c r="F56" s="804">
        <f>+'X.2.CDM Data Extraction'!$F$50/12-'X.2.CDM Data Extraction'!E$16*0.5/12</f>
        <v>102176.14550269238</v>
      </c>
      <c r="G56" s="804">
        <f t="shared" si="7"/>
        <v>142385.68113988414</v>
      </c>
      <c r="H56" s="804">
        <f t="shared" si="8"/>
        <v>153634.14994993497</v>
      </c>
    </row>
    <row r="57" spans="1:8" x14ac:dyDescent="0.2">
      <c r="A57" s="768" t="s">
        <v>296</v>
      </c>
      <c r="B57" s="804">
        <f t="shared" si="15"/>
        <v>26655.941434458415</v>
      </c>
      <c r="C57" s="1284">
        <f t="shared" si="16"/>
        <v>41880.488412188723</v>
      </c>
      <c r="D57" s="52"/>
      <c r="E57" s="52"/>
      <c r="F57" s="804">
        <f>+'X.2.CDM Data Extraction'!$F$50/12-'X.2.CDM Data Extraction'!E$16*0.5/12</f>
        <v>102176.14550269238</v>
      </c>
      <c r="G57" s="804">
        <f t="shared" si="7"/>
        <v>144056.63391488109</v>
      </c>
      <c r="H57" s="804">
        <f t="shared" si="8"/>
        <v>155437.10799415669</v>
      </c>
    </row>
    <row r="58" spans="1:8" x14ac:dyDescent="0.2">
      <c r="A58" s="768" t="s">
        <v>297</v>
      </c>
      <c r="B58" s="804">
        <f t="shared" si="15"/>
        <v>35541.255245944551</v>
      </c>
      <c r="C58" s="1284">
        <f t="shared" si="16"/>
        <v>43551.441187185686</v>
      </c>
      <c r="D58" s="52"/>
      <c r="E58" s="52"/>
      <c r="F58" s="804">
        <f>+'X.2.CDM Data Extraction'!$F$50/12-'X.2.CDM Data Extraction'!E$16*0.5/12</f>
        <v>102176.14550269238</v>
      </c>
      <c r="G58" s="804">
        <f t="shared" si="7"/>
        <v>145727.58668987808</v>
      </c>
      <c r="H58" s="804">
        <f t="shared" si="8"/>
        <v>157240.06603837846</v>
      </c>
    </row>
    <row r="59" spans="1:8" x14ac:dyDescent="0.2">
      <c r="A59" s="768" t="s">
        <v>298</v>
      </c>
      <c r="B59" s="804">
        <f t="shared" si="15"/>
        <v>44426.569057430686</v>
      </c>
      <c r="C59" s="1284">
        <f t="shared" si="16"/>
        <v>45222.39396218265</v>
      </c>
      <c r="D59" s="52"/>
      <c r="E59" s="52"/>
      <c r="F59" s="804">
        <f>+'X.2.CDM Data Extraction'!$F$50/12-'X.2.CDM Data Extraction'!E$16*0.5/12</f>
        <v>102176.14550269238</v>
      </c>
      <c r="G59" s="804">
        <f t="shared" si="7"/>
        <v>147398.53946487504</v>
      </c>
      <c r="H59" s="804">
        <f t="shared" si="8"/>
        <v>159043.02408260017</v>
      </c>
    </row>
    <row r="60" spans="1:8" x14ac:dyDescent="0.2">
      <c r="A60" s="768" t="s">
        <v>299</v>
      </c>
      <c r="B60" s="804">
        <f t="shared" si="15"/>
        <v>53311.882868916822</v>
      </c>
      <c r="C60" s="1284">
        <f t="shared" si="16"/>
        <v>46893.346737179614</v>
      </c>
      <c r="D60" s="52"/>
      <c r="E60" s="52"/>
      <c r="F60" s="804">
        <f>+'X.2.CDM Data Extraction'!$F$50/12-'X.2.CDM Data Extraction'!E$16*0.5/12</f>
        <v>102176.14550269238</v>
      </c>
      <c r="G60" s="804">
        <f t="shared" si="7"/>
        <v>149069.49223987199</v>
      </c>
      <c r="H60" s="804">
        <f t="shared" si="8"/>
        <v>160845.98212682188</v>
      </c>
    </row>
    <row r="61" spans="1:8" x14ac:dyDescent="0.2">
      <c r="A61" s="768" t="s">
        <v>300</v>
      </c>
      <c r="B61" s="804">
        <f t="shared" si="15"/>
        <v>62197.196680402958</v>
      </c>
      <c r="C61" s="1284">
        <f t="shared" si="16"/>
        <v>48564.299512176578</v>
      </c>
      <c r="D61" s="52"/>
      <c r="E61" s="52"/>
      <c r="F61" s="804">
        <f>+'X.2.CDM Data Extraction'!$F$50/12-'X.2.CDM Data Extraction'!E$16*0.5/12</f>
        <v>102176.14550269238</v>
      </c>
      <c r="G61" s="804">
        <f t="shared" si="7"/>
        <v>150740.44501486895</v>
      </c>
      <c r="H61" s="804">
        <f t="shared" si="8"/>
        <v>162648.94017104359</v>
      </c>
    </row>
    <row r="62" spans="1:8" x14ac:dyDescent="0.2">
      <c r="A62" s="768" t="s">
        <v>301</v>
      </c>
      <c r="B62" s="804">
        <f t="shared" si="15"/>
        <v>71082.510491889101</v>
      </c>
      <c r="C62" s="1284">
        <f t="shared" si="16"/>
        <v>50235.252287173542</v>
      </c>
      <c r="D62" s="52"/>
      <c r="E62" s="52"/>
      <c r="F62" s="804">
        <f>+'X.2.CDM Data Extraction'!$F$50/12-'X.2.CDM Data Extraction'!E$16*0.5/12</f>
        <v>102176.14550269238</v>
      </c>
      <c r="G62" s="804">
        <f t="shared" si="7"/>
        <v>152411.39778986591</v>
      </c>
      <c r="H62" s="804">
        <f t="shared" si="8"/>
        <v>164451.8982152653</v>
      </c>
    </row>
    <row r="63" spans="1:8" x14ac:dyDescent="0.2">
      <c r="A63" s="768" t="s">
        <v>302</v>
      </c>
      <c r="B63" s="804">
        <f t="shared" si="15"/>
        <v>79967.824303375237</v>
      </c>
      <c r="C63" s="1284">
        <f t="shared" si="16"/>
        <v>51906.205062170506</v>
      </c>
      <c r="D63" s="52"/>
      <c r="E63" s="52"/>
      <c r="F63" s="804">
        <f>+'X.2.CDM Data Extraction'!$F$50/12-'X.2.CDM Data Extraction'!E$16*0.5/12</f>
        <v>102176.14550269238</v>
      </c>
      <c r="G63" s="804">
        <f t="shared" si="7"/>
        <v>154082.35056486289</v>
      </c>
      <c r="H63" s="804">
        <f t="shared" si="8"/>
        <v>166254.85625948705</v>
      </c>
    </row>
    <row r="64" spans="1:8" x14ac:dyDescent="0.2">
      <c r="A64" s="768" t="s">
        <v>303</v>
      </c>
      <c r="B64" s="804">
        <f t="shared" si="15"/>
        <v>88853.138114861373</v>
      </c>
      <c r="C64" s="1284">
        <f t="shared" si="16"/>
        <v>53577.15783716747</v>
      </c>
      <c r="D64" s="52"/>
      <c r="E64" s="52"/>
      <c r="F64" s="804">
        <f>+'X.2.CDM Data Extraction'!$F$50/12-'X.2.CDM Data Extraction'!E$16*0.5/12</f>
        <v>102176.14550269238</v>
      </c>
      <c r="G64" s="804">
        <f t="shared" si="7"/>
        <v>155753.30333985985</v>
      </c>
      <c r="H64" s="804">
        <f t="shared" si="8"/>
        <v>168057.81430370876</v>
      </c>
    </row>
    <row r="65" spans="1:8" x14ac:dyDescent="0.2">
      <c r="A65" s="768" t="s">
        <v>304</v>
      </c>
      <c r="B65" s="804">
        <f t="shared" si="15"/>
        <v>97738.451926347509</v>
      </c>
      <c r="C65" s="1284">
        <f t="shared" si="16"/>
        <v>55248.110612164433</v>
      </c>
      <c r="D65" s="52"/>
      <c r="E65" s="52"/>
      <c r="F65" s="804">
        <f>+'X.2.CDM Data Extraction'!$F$50/12-'X.2.CDM Data Extraction'!E$16*0.5/12</f>
        <v>102176.14550269238</v>
      </c>
      <c r="G65" s="804">
        <f t="shared" si="7"/>
        <v>157424.25611485681</v>
      </c>
      <c r="H65" s="804">
        <f t="shared" si="8"/>
        <v>169860.7723479305</v>
      </c>
    </row>
    <row r="66" spans="1:8" x14ac:dyDescent="0.2">
      <c r="A66" s="768" t="s">
        <v>305</v>
      </c>
      <c r="B66" s="804">
        <f t="shared" si="15"/>
        <v>106623.76573783364</v>
      </c>
      <c r="C66" s="1284">
        <f t="shared" si="16"/>
        <v>56919.063387161397</v>
      </c>
      <c r="D66" s="805">
        <f>+F$8*0.5+C66</f>
        <v>57754.539774659883</v>
      </c>
      <c r="E66" s="805">
        <f>SUM(C55:C66)</f>
        <v>572745.87749613717</v>
      </c>
      <c r="F66" s="804">
        <f>+'X.2.CDM Data Extraction'!$F$50/12-'X.2.CDM Data Extraction'!E$16*0.5/12</f>
        <v>102176.14550269238</v>
      </c>
      <c r="G66" s="804">
        <f t="shared" si="7"/>
        <v>159095.20888985379</v>
      </c>
      <c r="H66" s="804">
        <f t="shared" si="8"/>
        <v>171663.73039215224</v>
      </c>
    </row>
    <row r="67" spans="1:8" x14ac:dyDescent="0.2">
      <c r="A67" s="768" t="s">
        <v>306</v>
      </c>
      <c r="B67" s="804">
        <f>$B$9/$J$17</f>
        <v>5336.7316041945878</v>
      </c>
      <c r="C67" s="1285">
        <f>+D66+0.5*F$9</f>
        <v>56793.465426851755</v>
      </c>
      <c r="D67" s="52"/>
      <c r="E67" s="52"/>
      <c r="F67" s="804">
        <f>+'X.2.CDM Data Extraction'!$G$50/12-'X.2.CDM Data Extraction'!F$20*0.5/12</f>
        <v>99662.951688448084</v>
      </c>
      <c r="G67" s="804">
        <f t="shared" si="7"/>
        <v>156456.41711529985</v>
      </c>
      <c r="H67" s="804">
        <f t="shared" si="8"/>
        <v>168816.47406740853</v>
      </c>
    </row>
    <row r="68" spans="1:8" x14ac:dyDescent="0.2">
      <c r="A68" s="768" t="s">
        <v>307</v>
      </c>
      <c r="B68" s="804">
        <f t="shared" ref="B68:B78" si="17">+B67*J6/J5</f>
        <v>10673.463208389176</v>
      </c>
      <c r="C68" s="1285">
        <f t="shared" ref="C68:C78" si="18">+C67+$F$9</f>
        <v>54871.3167312355</v>
      </c>
      <c r="D68" s="52"/>
      <c r="E68" s="52"/>
      <c r="F68" s="804">
        <f>+'X.2.CDM Data Extraction'!$G$50/12-'X.2.CDM Data Extraction'!F$20*0.5/12</f>
        <v>99662.951688448084</v>
      </c>
      <c r="G68" s="804">
        <f t="shared" si="7"/>
        <v>154534.26841968359</v>
      </c>
      <c r="H68" s="804">
        <f t="shared" si="8"/>
        <v>166742.47562483858</v>
      </c>
    </row>
    <row r="69" spans="1:8" x14ac:dyDescent="0.2">
      <c r="A69" s="768" t="s">
        <v>308</v>
      </c>
      <c r="B69" s="804">
        <f t="shared" si="17"/>
        <v>16010.194812583763</v>
      </c>
      <c r="C69" s="1285">
        <f t="shared" si="18"/>
        <v>52949.168035619245</v>
      </c>
      <c r="D69" s="52"/>
      <c r="E69" s="52"/>
      <c r="F69" s="804">
        <f>+'X.2.CDM Data Extraction'!$G$50/12-'X.2.CDM Data Extraction'!F$20*0.5/12</f>
        <v>99662.951688448084</v>
      </c>
      <c r="G69" s="804">
        <f t="shared" si="7"/>
        <v>152612.11972406734</v>
      </c>
      <c r="H69" s="804">
        <f t="shared" si="8"/>
        <v>164668.47718226866</v>
      </c>
    </row>
    <row r="70" spans="1:8" x14ac:dyDescent="0.2">
      <c r="A70" s="768" t="s">
        <v>309</v>
      </c>
      <c r="B70" s="804">
        <f t="shared" si="17"/>
        <v>21346.926416778351</v>
      </c>
      <c r="C70" s="1285">
        <f t="shared" si="18"/>
        <v>51027.019340002989</v>
      </c>
      <c r="D70" s="52"/>
      <c r="E70" s="52"/>
      <c r="F70" s="804">
        <f>+'X.2.CDM Data Extraction'!$G$50/12-'X.2.CDM Data Extraction'!F$20*0.5/12</f>
        <v>99662.951688448084</v>
      </c>
      <c r="G70" s="804">
        <f t="shared" si="7"/>
        <v>150689.97102845108</v>
      </c>
      <c r="H70" s="804">
        <f t="shared" si="8"/>
        <v>162594.47873969871</v>
      </c>
    </row>
    <row r="71" spans="1:8" x14ac:dyDescent="0.2">
      <c r="A71" s="768" t="s">
        <v>310</v>
      </c>
      <c r="B71" s="804">
        <f t="shared" si="17"/>
        <v>26683.65802097294</v>
      </c>
      <c r="C71" s="1285">
        <f t="shared" si="18"/>
        <v>49104.870644386734</v>
      </c>
      <c r="D71" s="52"/>
      <c r="E71" s="52"/>
      <c r="F71" s="804">
        <f>+'X.2.CDM Data Extraction'!$G$50/12-'X.2.CDM Data Extraction'!F$20*0.5/12</f>
        <v>99662.951688448084</v>
      </c>
      <c r="G71" s="804">
        <f t="shared" si="7"/>
        <v>148767.82233283482</v>
      </c>
      <c r="H71" s="804">
        <f t="shared" si="8"/>
        <v>160520.48029712876</v>
      </c>
    </row>
    <row r="72" spans="1:8" x14ac:dyDescent="0.2">
      <c r="A72" s="768" t="s">
        <v>311</v>
      </c>
      <c r="B72" s="804">
        <f t="shared" si="17"/>
        <v>32020.389625167525</v>
      </c>
      <c r="C72" s="1285">
        <f t="shared" si="18"/>
        <v>47182.721948770479</v>
      </c>
      <c r="D72" s="52"/>
      <c r="E72" s="52"/>
      <c r="F72" s="804">
        <f>+'X.2.CDM Data Extraction'!$G$50/12-'X.2.CDM Data Extraction'!F$20*0.5/12</f>
        <v>99662.951688448084</v>
      </c>
      <c r="G72" s="804">
        <f t="shared" si="7"/>
        <v>146845.67363721857</v>
      </c>
      <c r="H72" s="804">
        <f t="shared" si="8"/>
        <v>158446.48185455884</v>
      </c>
    </row>
    <row r="73" spans="1:8" x14ac:dyDescent="0.2">
      <c r="A73" s="768" t="s">
        <v>312</v>
      </c>
      <c r="B73" s="804">
        <f t="shared" si="17"/>
        <v>37357.121229362114</v>
      </c>
      <c r="C73" s="1285">
        <f t="shared" si="18"/>
        <v>45260.573253154223</v>
      </c>
      <c r="D73" s="52"/>
      <c r="E73" s="52"/>
      <c r="F73" s="804">
        <f>+'X.2.CDM Data Extraction'!$G$50/12-'X.2.CDM Data Extraction'!F$20*0.5/12</f>
        <v>99662.951688448084</v>
      </c>
      <c r="G73" s="804">
        <f t="shared" si="7"/>
        <v>144923.52494160231</v>
      </c>
      <c r="H73" s="804">
        <f t="shared" si="8"/>
        <v>156372.48341198888</v>
      </c>
    </row>
    <row r="74" spans="1:8" x14ac:dyDescent="0.2">
      <c r="A74" s="768" t="s">
        <v>313</v>
      </c>
      <c r="B74" s="804">
        <f t="shared" si="17"/>
        <v>42693.852833556703</v>
      </c>
      <c r="C74" s="1285">
        <f t="shared" si="18"/>
        <v>43338.424557537968</v>
      </c>
      <c r="D74" s="52"/>
      <c r="E74" s="52"/>
      <c r="F74" s="804">
        <f>+'X.2.CDM Data Extraction'!$G$50/12-'X.2.CDM Data Extraction'!F$20*0.5/12</f>
        <v>99662.951688448084</v>
      </c>
      <c r="G74" s="804">
        <f t="shared" si="7"/>
        <v>143001.37624598606</v>
      </c>
      <c r="H74" s="804">
        <f t="shared" si="8"/>
        <v>154298.48496941896</v>
      </c>
    </row>
    <row r="75" spans="1:8" x14ac:dyDescent="0.2">
      <c r="A75" s="768" t="s">
        <v>314</v>
      </c>
      <c r="B75" s="804">
        <f t="shared" si="17"/>
        <v>48030.584437751291</v>
      </c>
      <c r="C75" s="1285">
        <f t="shared" si="18"/>
        <v>41416.275861921713</v>
      </c>
      <c r="D75" s="52"/>
      <c r="E75" s="52"/>
      <c r="F75" s="804">
        <f>+'X.2.CDM Data Extraction'!$G$50/12-'X.2.CDM Data Extraction'!F$20*0.5/12</f>
        <v>99662.951688448084</v>
      </c>
      <c r="G75" s="804">
        <f t="shared" si="7"/>
        <v>141079.2275503698</v>
      </c>
      <c r="H75" s="804">
        <f t="shared" si="8"/>
        <v>152224.48652684901</v>
      </c>
    </row>
    <row r="76" spans="1:8" x14ac:dyDescent="0.2">
      <c r="A76" s="768" t="s">
        <v>315</v>
      </c>
      <c r="B76" s="804">
        <f t="shared" si="17"/>
        <v>53367.31604194588</v>
      </c>
      <c r="C76" s="1285">
        <f t="shared" si="18"/>
        <v>39494.127166305458</v>
      </c>
      <c r="D76" s="52"/>
      <c r="E76" s="52"/>
      <c r="F76" s="804">
        <f>+'X.2.CDM Data Extraction'!$G$50/12-'X.2.CDM Data Extraction'!F$20*0.5/12</f>
        <v>99662.951688448084</v>
      </c>
      <c r="G76" s="804">
        <f t="shared" si="7"/>
        <v>139157.07885475355</v>
      </c>
      <c r="H76" s="804">
        <f t="shared" si="8"/>
        <v>150150.48808427906</v>
      </c>
    </row>
    <row r="77" spans="1:8" x14ac:dyDescent="0.2">
      <c r="A77" s="768" t="s">
        <v>316</v>
      </c>
      <c r="B77" s="804">
        <f t="shared" si="17"/>
        <v>58704.047646140469</v>
      </c>
      <c r="C77" s="1285">
        <f t="shared" si="18"/>
        <v>37571.978470689202</v>
      </c>
      <c r="D77" s="52"/>
      <c r="E77" s="52"/>
      <c r="F77" s="804">
        <f>+'X.2.CDM Data Extraction'!$G$50/12-'X.2.CDM Data Extraction'!F$20*0.5/12</f>
        <v>99662.951688448084</v>
      </c>
      <c r="G77" s="804">
        <f t="shared" si="7"/>
        <v>137234.93015913729</v>
      </c>
      <c r="H77" s="804">
        <f t="shared" si="8"/>
        <v>148076.48964170914</v>
      </c>
    </row>
    <row r="78" spans="1:8" x14ac:dyDescent="0.2">
      <c r="A78" s="768" t="s">
        <v>317</v>
      </c>
      <c r="B78" s="804">
        <f t="shared" si="17"/>
        <v>64040.779250335057</v>
      </c>
      <c r="C78" s="1285">
        <f t="shared" si="18"/>
        <v>35649.829775072947</v>
      </c>
      <c r="D78" s="805">
        <f>+F$9*0.5+C78</f>
        <v>34688.755427264819</v>
      </c>
      <c r="E78" s="805">
        <f>SUM(C67:C78)</f>
        <v>554659.77121154813</v>
      </c>
      <c r="F78" s="804">
        <f>+'X.2.CDM Data Extraction'!$G$50/12-'X.2.CDM Data Extraction'!F$20*0.5/12</f>
        <v>99662.951688448084</v>
      </c>
      <c r="G78" s="804">
        <f t="shared" si="7"/>
        <v>135312.78146352104</v>
      </c>
      <c r="H78" s="804">
        <f t="shared" si="8"/>
        <v>146002.49119913919</v>
      </c>
    </row>
    <row r="79" spans="1:8" x14ac:dyDescent="0.2">
      <c r="A79" s="768" t="s">
        <v>318</v>
      </c>
      <c r="B79" s="804">
        <f>$B$10/$J$17</f>
        <v>4084.5116768016501</v>
      </c>
      <c r="C79" s="1284">
        <f>+D78+0.5*F$10</f>
        <v>34349.612530262566</v>
      </c>
      <c r="D79" s="52"/>
      <c r="E79" s="52"/>
      <c r="F79" s="804">
        <f>+'X.2.CDM Data Extraction'!$H$50/12-'X.2.CDM Data Extraction'!G$24*0.5/12</f>
        <v>139151.57980926937</v>
      </c>
      <c r="G79" s="804">
        <f t="shared" si="7"/>
        <v>173501.19233953193</v>
      </c>
      <c r="H79" s="804">
        <f t="shared" si="8"/>
        <v>187207.78653435493</v>
      </c>
    </row>
    <row r="80" spans="1:8" x14ac:dyDescent="0.2">
      <c r="A80" s="768" t="s">
        <v>319</v>
      </c>
      <c r="B80" s="804">
        <f t="shared" ref="B80:B90" si="19">+B79*J6/J5</f>
        <v>8169.0233536033002</v>
      </c>
      <c r="C80" s="1284">
        <f t="shared" ref="C80:C90" si="20">+C79+$F$10</f>
        <v>33671.326736258059</v>
      </c>
      <c r="D80" s="52"/>
      <c r="E80" s="52"/>
      <c r="F80" s="804">
        <f>+'X.2.CDM Data Extraction'!$H$50/12-'X.2.CDM Data Extraction'!G$24*0.5/12</f>
        <v>139151.57980926937</v>
      </c>
      <c r="G80" s="804">
        <f t="shared" si="7"/>
        <v>172822.90654552742</v>
      </c>
      <c r="H80" s="804">
        <f t="shared" si="8"/>
        <v>186475.91616262408</v>
      </c>
    </row>
    <row r="81" spans="1:8" x14ac:dyDescent="0.2">
      <c r="A81" s="768" t="s">
        <v>320</v>
      </c>
      <c r="B81" s="804">
        <f t="shared" si="19"/>
        <v>12253.53503040495</v>
      </c>
      <c r="C81" s="1284">
        <f t="shared" si="20"/>
        <v>32993.040942253552</v>
      </c>
      <c r="D81" s="52"/>
      <c r="E81" s="52"/>
      <c r="F81" s="804">
        <f>+'X.2.CDM Data Extraction'!$H$50/12-'X.2.CDM Data Extraction'!G$24*0.5/12</f>
        <v>139151.57980926937</v>
      </c>
      <c r="G81" s="804">
        <f t="shared" si="7"/>
        <v>172144.62075152292</v>
      </c>
      <c r="H81" s="804">
        <f t="shared" si="8"/>
        <v>185744.04579089323</v>
      </c>
    </row>
    <row r="82" spans="1:8" x14ac:dyDescent="0.2">
      <c r="A82" s="768" t="s">
        <v>321</v>
      </c>
      <c r="B82" s="804">
        <f t="shared" si="19"/>
        <v>16338.0467072066</v>
      </c>
      <c r="C82" s="1284">
        <f t="shared" si="20"/>
        <v>32314.755148249045</v>
      </c>
      <c r="D82" s="52"/>
      <c r="E82" s="52"/>
      <c r="F82" s="804">
        <f>+'X.2.CDM Data Extraction'!$H$50/12-'X.2.CDM Data Extraction'!G$24*0.5/12</f>
        <v>139151.57980926937</v>
      </c>
      <c r="G82" s="804">
        <f t="shared" si="7"/>
        <v>171466.33495751841</v>
      </c>
      <c r="H82" s="804">
        <f t="shared" si="8"/>
        <v>185012.17541916235</v>
      </c>
    </row>
    <row r="83" spans="1:8" x14ac:dyDescent="0.2">
      <c r="A83" s="768" t="s">
        <v>322</v>
      </c>
      <c r="B83" s="804">
        <f t="shared" si="19"/>
        <v>20422.558384008251</v>
      </c>
      <c r="C83" s="1284">
        <f t="shared" si="20"/>
        <v>31636.469354244538</v>
      </c>
      <c r="D83" s="52"/>
      <c r="E83" s="52"/>
      <c r="F83" s="804">
        <f>+'X.2.CDM Data Extraction'!$H$50/12-'X.2.CDM Data Extraction'!G$24*0.5/12</f>
        <v>139151.57980926937</v>
      </c>
      <c r="G83" s="804">
        <f t="shared" si="7"/>
        <v>170788.0491635139</v>
      </c>
      <c r="H83" s="804">
        <f t="shared" si="8"/>
        <v>184280.3050474315</v>
      </c>
    </row>
    <row r="84" spans="1:8" x14ac:dyDescent="0.2">
      <c r="A84" s="768" t="s">
        <v>323</v>
      </c>
      <c r="B84" s="804">
        <f t="shared" si="19"/>
        <v>24507.0700608099</v>
      </c>
      <c r="C84" s="1284">
        <f t="shared" si="20"/>
        <v>30958.183560240032</v>
      </c>
      <c r="D84" s="52"/>
      <c r="E84" s="52"/>
      <c r="F84" s="804">
        <f>+'X.2.CDM Data Extraction'!$H$50/12-'X.2.CDM Data Extraction'!G$24*0.5/12</f>
        <v>139151.57980926937</v>
      </c>
      <c r="G84" s="804">
        <f t="shared" ref="G84:G126" si="21">+C84+F84</f>
        <v>170109.7633695094</v>
      </c>
      <c r="H84" s="804">
        <f t="shared" ref="H84:H101" si="22">G84*1.079</f>
        <v>183548.43467570064</v>
      </c>
    </row>
    <row r="85" spans="1:8" x14ac:dyDescent="0.2">
      <c r="A85" s="768" t="s">
        <v>324</v>
      </c>
      <c r="B85" s="804">
        <f t="shared" si="19"/>
        <v>28591.581737611548</v>
      </c>
      <c r="C85" s="1284">
        <f t="shared" si="20"/>
        <v>30279.897766235525</v>
      </c>
      <c r="D85" s="52"/>
      <c r="E85" s="52"/>
      <c r="F85" s="804">
        <f>+'X.2.CDM Data Extraction'!$H$50/12-'X.2.CDM Data Extraction'!G$24*0.5/12</f>
        <v>139151.57980926937</v>
      </c>
      <c r="G85" s="804">
        <f t="shared" si="21"/>
        <v>169431.47757550489</v>
      </c>
      <c r="H85" s="804">
        <f t="shared" si="22"/>
        <v>182816.56430396976</v>
      </c>
    </row>
    <row r="86" spans="1:8" x14ac:dyDescent="0.2">
      <c r="A86" s="768" t="s">
        <v>325</v>
      </c>
      <c r="B86" s="804">
        <f t="shared" si="19"/>
        <v>32676.093414413197</v>
      </c>
      <c r="C86" s="1284">
        <f t="shared" si="20"/>
        <v>29601.611972231018</v>
      </c>
      <c r="D86" s="52"/>
      <c r="E86" s="52"/>
      <c r="F86" s="804">
        <f>+'X.2.CDM Data Extraction'!$H$50/12-'X.2.CDM Data Extraction'!G$24*0.5/12</f>
        <v>139151.57980926937</v>
      </c>
      <c r="G86" s="804">
        <f t="shared" si="21"/>
        <v>168753.19178150038</v>
      </c>
      <c r="H86" s="804">
        <f t="shared" si="22"/>
        <v>182084.69393223891</v>
      </c>
    </row>
    <row r="87" spans="1:8" x14ac:dyDescent="0.2">
      <c r="A87" s="768" t="s">
        <v>326</v>
      </c>
      <c r="B87" s="804">
        <f t="shared" si="19"/>
        <v>36760.605091214849</v>
      </c>
      <c r="C87" s="1284">
        <f t="shared" si="20"/>
        <v>28923.326178226511</v>
      </c>
      <c r="D87" s="52"/>
      <c r="E87" s="52"/>
      <c r="F87" s="804">
        <f>+'X.2.CDM Data Extraction'!$H$50/12-'X.2.CDM Data Extraction'!G$24*0.5/12</f>
        <v>139151.57980926937</v>
      </c>
      <c r="G87" s="804">
        <f t="shared" si="21"/>
        <v>168074.90598749588</v>
      </c>
      <c r="H87" s="804">
        <f t="shared" si="22"/>
        <v>181352.82356050806</v>
      </c>
    </row>
    <row r="88" spans="1:8" x14ac:dyDescent="0.2">
      <c r="A88" s="768" t="s">
        <v>327</v>
      </c>
      <c r="B88" s="804">
        <f t="shared" si="19"/>
        <v>40845.116768016502</v>
      </c>
      <c r="C88" s="1284">
        <f t="shared" si="20"/>
        <v>28245.040384222004</v>
      </c>
      <c r="D88" s="52"/>
      <c r="E88" s="52"/>
      <c r="F88" s="804">
        <f>+'X.2.CDM Data Extraction'!$H$50/12-'X.2.CDM Data Extraction'!G$24*0.5/12</f>
        <v>139151.57980926937</v>
      </c>
      <c r="G88" s="804">
        <f t="shared" si="21"/>
        <v>167396.62019349137</v>
      </c>
      <c r="H88" s="804">
        <f t="shared" si="22"/>
        <v>180620.95318877717</v>
      </c>
    </row>
    <row r="89" spans="1:8" x14ac:dyDescent="0.2">
      <c r="A89" s="768" t="s">
        <v>328</v>
      </c>
      <c r="B89" s="804">
        <f t="shared" si="19"/>
        <v>44929.628444818154</v>
      </c>
      <c r="C89" s="1284">
        <f t="shared" si="20"/>
        <v>27566.754590217497</v>
      </c>
      <c r="D89" s="52"/>
      <c r="E89" s="52"/>
      <c r="F89" s="804">
        <f>+'X.2.CDM Data Extraction'!$H$50/12-'X.2.CDM Data Extraction'!G$24*0.5/12</f>
        <v>139151.57980926937</v>
      </c>
      <c r="G89" s="804">
        <f t="shared" si="21"/>
        <v>166718.33439948686</v>
      </c>
      <c r="H89" s="804">
        <f t="shared" si="22"/>
        <v>179889.08281704632</v>
      </c>
    </row>
    <row r="90" spans="1:8" x14ac:dyDescent="0.2">
      <c r="A90" s="768" t="s">
        <v>329</v>
      </c>
      <c r="B90" s="804">
        <f t="shared" si="19"/>
        <v>49014.140121619806</v>
      </c>
      <c r="C90" s="1284">
        <f t="shared" si="20"/>
        <v>26888.46879621299</v>
      </c>
      <c r="D90" s="805">
        <f>+F$10*0.5+C90</f>
        <v>26549.325899210737</v>
      </c>
      <c r="E90" s="805">
        <f>SUM(C79:C90)</f>
        <v>367428.48795885331</v>
      </c>
      <c r="F90" s="804">
        <f>+'X.2.CDM Data Extraction'!$H$50/12-'X.2.CDM Data Extraction'!G$24*0.5/12</f>
        <v>139151.57980926937</v>
      </c>
      <c r="G90" s="804">
        <f t="shared" si="21"/>
        <v>166040.04860548236</v>
      </c>
      <c r="H90" s="804">
        <f t="shared" si="22"/>
        <v>179157.21244531547</v>
      </c>
    </row>
    <row r="91" spans="1:8" x14ac:dyDescent="0.2">
      <c r="A91" s="768" t="s">
        <v>330</v>
      </c>
      <c r="B91" s="804">
        <f>$B$11/$J$17</f>
        <v>7919.1467565046933</v>
      </c>
      <c r="C91" s="1285">
        <f>+D90+0.5*F$11</f>
        <v>27587.872899963644</v>
      </c>
      <c r="D91" s="52"/>
      <c r="E91" s="52"/>
      <c r="F91" s="804">
        <f>+'X.2.CDM Data Extraction'!$I$50/12-('X.2.CDM Data Extraction'!H$28+'X.2.CDM Data Extraction'!H$32)*0.5/12</f>
        <v>165059.23011042835</v>
      </c>
      <c r="G91" s="804">
        <f t="shared" si="21"/>
        <v>192647.10301039199</v>
      </c>
      <c r="H91" s="804">
        <f t="shared" si="22"/>
        <v>207866.22414821296</v>
      </c>
    </row>
    <row r="92" spans="1:8" x14ac:dyDescent="0.2">
      <c r="A92" s="768" t="s">
        <v>331</v>
      </c>
      <c r="B92" s="804">
        <f t="shared" ref="B92:B102" si="23">+B91*J6/J5</f>
        <v>15838.293513009387</v>
      </c>
      <c r="C92" s="1285">
        <f t="shared" ref="C92:C102" si="24">+C91+$F$11</f>
        <v>29664.966901469459</v>
      </c>
      <c r="D92" s="52"/>
      <c r="E92" s="52"/>
      <c r="F92" s="804">
        <f>+'X.2.CDM Data Extraction'!$I$50/12-('X.2.CDM Data Extraction'!H$28+'X.2.CDM Data Extraction'!H$32)*0.5/12</f>
        <v>165059.23011042835</v>
      </c>
      <c r="G92" s="804">
        <f t="shared" si="21"/>
        <v>194724.19701189781</v>
      </c>
      <c r="H92" s="804">
        <f t="shared" si="22"/>
        <v>210107.40857583773</v>
      </c>
    </row>
    <row r="93" spans="1:8" x14ac:dyDescent="0.2">
      <c r="A93" s="768" t="s">
        <v>332</v>
      </c>
      <c r="B93" s="804">
        <f t="shared" si="23"/>
        <v>23757.440269514082</v>
      </c>
      <c r="C93" s="1285">
        <f t="shared" si="24"/>
        <v>31742.060902975274</v>
      </c>
      <c r="D93" s="52"/>
      <c r="E93" s="52"/>
      <c r="F93" s="804">
        <f>+'X.2.CDM Data Extraction'!$I$50/12-('X.2.CDM Data Extraction'!H$28+'X.2.CDM Data Extraction'!H$32)*0.5/12</f>
        <v>165059.23011042835</v>
      </c>
      <c r="G93" s="804">
        <f t="shared" si="21"/>
        <v>196801.29101340362</v>
      </c>
      <c r="H93" s="804">
        <f t="shared" si="22"/>
        <v>212348.59300346251</v>
      </c>
    </row>
    <row r="94" spans="1:8" x14ac:dyDescent="0.2">
      <c r="A94" s="768" t="s">
        <v>333</v>
      </c>
      <c r="B94" s="804">
        <f t="shared" si="23"/>
        <v>31676.587026018777</v>
      </c>
      <c r="C94" s="1285">
        <f t="shared" si="24"/>
        <v>33819.154904481089</v>
      </c>
      <c r="D94" s="52"/>
      <c r="E94" s="52"/>
      <c r="F94" s="804">
        <f>+'X.2.CDM Data Extraction'!$I$50/12-('X.2.CDM Data Extraction'!H$28+'X.2.CDM Data Extraction'!H$32)*0.5/12</f>
        <v>165059.23011042835</v>
      </c>
      <c r="G94" s="804">
        <f t="shared" si="21"/>
        <v>198878.38501490944</v>
      </c>
      <c r="H94" s="804">
        <f t="shared" si="22"/>
        <v>214589.77743108728</v>
      </c>
    </row>
    <row r="95" spans="1:8" x14ac:dyDescent="0.2">
      <c r="A95" s="768" t="s">
        <v>334</v>
      </c>
      <c r="B95" s="804">
        <f t="shared" si="23"/>
        <v>39595.733782523472</v>
      </c>
      <c r="C95" s="1285">
        <f t="shared" si="24"/>
        <v>35896.248905986904</v>
      </c>
      <c r="D95" s="52"/>
      <c r="E95" s="52"/>
      <c r="F95" s="804">
        <f>+'X.2.CDM Data Extraction'!$I$50/12-('X.2.CDM Data Extraction'!H$28+'X.2.CDM Data Extraction'!H$32)*0.5/12</f>
        <v>165059.23011042835</v>
      </c>
      <c r="G95" s="804">
        <f t="shared" si="21"/>
        <v>200955.47901641525</v>
      </c>
      <c r="H95" s="804">
        <f t="shared" si="22"/>
        <v>216830.96185871205</v>
      </c>
    </row>
    <row r="96" spans="1:8" x14ac:dyDescent="0.2">
      <c r="A96" s="768" t="s">
        <v>335</v>
      </c>
      <c r="B96" s="804">
        <f t="shared" si="23"/>
        <v>47514.880539028163</v>
      </c>
      <c r="C96" s="1285">
        <f t="shared" si="24"/>
        <v>37973.342907492719</v>
      </c>
      <c r="D96" s="52"/>
      <c r="E96" s="52"/>
      <c r="F96" s="804">
        <f>+'X.2.CDM Data Extraction'!$I$50/12-('X.2.CDM Data Extraction'!H$28+'X.2.CDM Data Extraction'!H$32)*0.5/12</f>
        <v>165059.23011042835</v>
      </c>
      <c r="G96" s="804">
        <f t="shared" si="21"/>
        <v>203032.57301792107</v>
      </c>
      <c r="H96" s="804">
        <f t="shared" si="22"/>
        <v>219072.14628633682</v>
      </c>
    </row>
    <row r="97" spans="1:13" x14ac:dyDescent="0.2">
      <c r="A97" s="768" t="s">
        <v>336</v>
      </c>
      <c r="B97" s="804">
        <f t="shared" si="23"/>
        <v>55434.027295532862</v>
      </c>
      <c r="C97" s="1285">
        <f t="shared" si="24"/>
        <v>40050.436908998534</v>
      </c>
      <c r="D97" s="52"/>
      <c r="E97" s="52"/>
      <c r="F97" s="804">
        <f>+'X.2.CDM Data Extraction'!$I$50/12-('X.2.CDM Data Extraction'!H$28+'X.2.CDM Data Extraction'!H$32)*0.5/12</f>
        <v>165059.23011042835</v>
      </c>
      <c r="G97" s="804">
        <f t="shared" si="21"/>
        <v>205109.66701942688</v>
      </c>
      <c r="H97" s="804">
        <f t="shared" si="22"/>
        <v>221313.33071396159</v>
      </c>
    </row>
    <row r="98" spans="1:13" x14ac:dyDescent="0.2">
      <c r="A98" s="768" t="s">
        <v>337</v>
      </c>
      <c r="B98" s="804">
        <f t="shared" si="23"/>
        <v>63353.174052037553</v>
      </c>
      <c r="C98" s="1285">
        <f t="shared" si="24"/>
        <v>42127.530910504349</v>
      </c>
      <c r="D98" s="52"/>
      <c r="E98" s="52"/>
      <c r="F98" s="804">
        <f>+'X.2.CDM Data Extraction'!$I$50/12-('X.2.CDM Data Extraction'!H$28+'X.2.CDM Data Extraction'!H$32)*0.5/12</f>
        <v>165059.23011042835</v>
      </c>
      <c r="G98" s="804">
        <f t="shared" si="21"/>
        <v>207186.7610209327</v>
      </c>
      <c r="H98" s="804">
        <f t="shared" si="22"/>
        <v>223554.51514158637</v>
      </c>
    </row>
    <row r="99" spans="1:13" x14ac:dyDescent="0.2">
      <c r="A99" s="768" t="s">
        <v>338</v>
      </c>
      <c r="B99" s="804">
        <f t="shared" si="23"/>
        <v>71272.320808542252</v>
      </c>
      <c r="C99" s="1285">
        <f t="shared" si="24"/>
        <v>44204.624912010164</v>
      </c>
      <c r="D99" s="52"/>
      <c r="E99" s="52"/>
      <c r="F99" s="804">
        <f>+'X.2.CDM Data Extraction'!$I$50/12-('X.2.CDM Data Extraction'!H$28+'X.2.CDM Data Extraction'!H$32)*0.5/12</f>
        <v>165059.23011042835</v>
      </c>
      <c r="G99" s="804">
        <f t="shared" si="21"/>
        <v>209263.85502243851</v>
      </c>
      <c r="H99" s="804">
        <f t="shared" si="22"/>
        <v>225795.69956921114</v>
      </c>
    </row>
    <row r="100" spans="1:13" x14ac:dyDescent="0.2">
      <c r="A100" s="768" t="s">
        <v>339</v>
      </c>
      <c r="B100" s="804">
        <f t="shared" si="23"/>
        <v>79191.467565046943</v>
      </c>
      <c r="C100" s="1285">
        <f t="shared" si="24"/>
        <v>46281.718913515979</v>
      </c>
      <c r="D100" s="52"/>
      <c r="E100" s="52"/>
      <c r="F100" s="804">
        <f>+'X.2.CDM Data Extraction'!$I$50/12-('X.2.CDM Data Extraction'!H$28+'X.2.CDM Data Extraction'!H$32)*0.5/12</f>
        <v>165059.23011042835</v>
      </c>
      <c r="G100" s="804">
        <f t="shared" si="21"/>
        <v>211340.94902394433</v>
      </c>
      <c r="H100" s="804">
        <f t="shared" si="22"/>
        <v>228036.88399683591</v>
      </c>
    </row>
    <row r="101" spans="1:13" x14ac:dyDescent="0.2">
      <c r="A101" s="768" t="s">
        <v>340</v>
      </c>
      <c r="B101" s="804">
        <f t="shared" si="23"/>
        <v>87110.614321551635</v>
      </c>
      <c r="C101" s="1285">
        <f t="shared" si="24"/>
        <v>48358.812915021794</v>
      </c>
      <c r="D101" s="52"/>
      <c r="E101" s="52"/>
      <c r="F101" s="804">
        <f>+'X.2.CDM Data Extraction'!$I$50/12-('X.2.CDM Data Extraction'!H$28+'X.2.CDM Data Extraction'!H$32)*0.5/12</f>
        <v>165059.23011042835</v>
      </c>
      <c r="G101" s="804">
        <f t="shared" si="21"/>
        <v>213418.04302545014</v>
      </c>
      <c r="H101" s="804">
        <f t="shared" si="22"/>
        <v>230278.06842446068</v>
      </c>
    </row>
    <row r="102" spans="1:13" x14ac:dyDescent="0.2">
      <c r="A102" s="768" t="s">
        <v>341</v>
      </c>
      <c r="B102" s="804">
        <f t="shared" si="23"/>
        <v>95029.761078056326</v>
      </c>
      <c r="C102" s="1285">
        <f t="shared" si="24"/>
        <v>50435.906916527609</v>
      </c>
      <c r="D102" s="805">
        <f>+F$11*0.5+C102</f>
        <v>51474.453917280516</v>
      </c>
      <c r="E102" s="805">
        <f>SUM(C91:C102)</f>
        <v>468142.67889894749</v>
      </c>
      <c r="F102" s="804">
        <f>+'X.2.CDM Data Extraction'!$I$50/12-('X.2.CDM Data Extraction'!H$28+'X.2.CDM Data Extraction'!H$32)*0.5/12</f>
        <v>165059.23011042835</v>
      </c>
      <c r="G102" s="804">
        <f t="shared" si="21"/>
        <v>215495.13702695596</v>
      </c>
      <c r="H102" s="804">
        <f>G102*1.081</f>
        <v>232950.24312613939</v>
      </c>
      <c r="M102" s="780"/>
    </row>
    <row r="103" spans="1:13" x14ac:dyDescent="0.2">
      <c r="A103" s="768" t="s">
        <v>342</v>
      </c>
      <c r="B103" s="804">
        <f>$B$12/$J$17</f>
        <v>2742.282014449308</v>
      </c>
      <c r="C103" s="1284">
        <f>+D102+0.5*F$12</f>
        <v>50072.386382973848</v>
      </c>
      <c r="D103" s="52"/>
      <c r="E103" s="52"/>
      <c r="F103" s="804">
        <f>+'X.2.CDM Data Extraction'!$J$50/12-('X.2.CDM Data Extraction'!I$32+'X.2.CDM Data Extraction'!I$36+'X.2.CDM Data Extraction'!I$40-'X.2.CDM Data Extraction'!H$32)*0.5/12</f>
        <v>202720.0430460939</v>
      </c>
      <c r="G103" s="804">
        <f t="shared" si="21"/>
        <v>252792.42942906774</v>
      </c>
      <c r="H103" s="804">
        <f t="shared" ref="H103:H126" si="25">G103*1.081</f>
        <v>273268.61621282221</v>
      </c>
      <c r="M103" s="780"/>
    </row>
    <row r="104" spans="1:13" x14ac:dyDescent="0.2">
      <c r="A104" s="768" t="s">
        <v>343</v>
      </c>
      <c r="B104" s="804">
        <f t="shared" ref="B104:B114" si="26">+B103*J6/J5</f>
        <v>5484.564028898616</v>
      </c>
      <c r="C104" s="1284">
        <f t="shared" ref="C104:C114" si="27">+C103+$F$12</f>
        <v>47268.25131436051</v>
      </c>
      <c r="D104" s="52"/>
      <c r="E104" s="52"/>
      <c r="F104" s="804">
        <f>+'X.2.CDM Data Extraction'!$J$50/12-('X.2.CDM Data Extraction'!I$32+'X.2.CDM Data Extraction'!I$36+'X.2.CDM Data Extraction'!I$40-'X.2.CDM Data Extraction'!H$32)*0.5/12</f>
        <v>202720.0430460939</v>
      </c>
      <c r="G104" s="804">
        <f t="shared" si="21"/>
        <v>249988.2943604544</v>
      </c>
      <c r="H104" s="804">
        <f t="shared" si="25"/>
        <v>270237.34620365122</v>
      </c>
    </row>
    <row r="105" spans="1:13" x14ac:dyDescent="0.2">
      <c r="A105" s="768" t="s">
        <v>344</v>
      </c>
      <c r="B105" s="804">
        <f t="shared" si="26"/>
        <v>8226.8460433479231</v>
      </c>
      <c r="C105" s="1284">
        <f t="shared" si="27"/>
        <v>44464.116245747173</v>
      </c>
      <c r="D105" s="52"/>
      <c r="E105" s="52"/>
      <c r="F105" s="804">
        <f>+'X.2.CDM Data Extraction'!$J$50/12-('X.2.CDM Data Extraction'!I$32+'X.2.CDM Data Extraction'!I$36+'X.2.CDM Data Extraction'!I$40-'X.2.CDM Data Extraction'!H$32)*0.5/12</f>
        <v>202720.0430460939</v>
      </c>
      <c r="G105" s="804">
        <f t="shared" si="21"/>
        <v>247184.15929184106</v>
      </c>
      <c r="H105" s="804">
        <f t="shared" si="25"/>
        <v>267206.07619448018</v>
      </c>
    </row>
    <row r="106" spans="1:13" x14ac:dyDescent="0.2">
      <c r="A106" s="768" t="s">
        <v>345</v>
      </c>
      <c r="B106" s="804">
        <f t="shared" si="26"/>
        <v>10969.12805779723</v>
      </c>
      <c r="C106" s="1284">
        <f t="shared" si="27"/>
        <v>41659.981177133835</v>
      </c>
      <c r="D106" s="52"/>
      <c r="E106" s="52"/>
      <c r="F106" s="804">
        <f>+'X.2.CDM Data Extraction'!$J$50/12-('X.2.CDM Data Extraction'!I$32+'X.2.CDM Data Extraction'!I$36+'X.2.CDM Data Extraction'!I$40-'X.2.CDM Data Extraction'!H$32)*0.5/12</f>
        <v>202720.0430460939</v>
      </c>
      <c r="G106" s="804">
        <f t="shared" si="21"/>
        <v>244380.02422322772</v>
      </c>
      <c r="H106" s="804">
        <f t="shared" si="25"/>
        <v>264174.80618530913</v>
      </c>
    </row>
    <row r="107" spans="1:13" x14ac:dyDescent="0.2">
      <c r="A107" s="768" t="s">
        <v>346</v>
      </c>
      <c r="B107" s="804">
        <f t="shared" si="26"/>
        <v>13711.410072246537</v>
      </c>
      <c r="C107" s="1284">
        <f t="shared" si="27"/>
        <v>38855.846108520498</v>
      </c>
      <c r="D107" s="52"/>
      <c r="E107" s="52"/>
      <c r="F107" s="804">
        <f>+'X.2.CDM Data Extraction'!$J$50/12-('X.2.CDM Data Extraction'!I$32+'X.2.CDM Data Extraction'!I$36+'X.2.CDM Data Extraction'!I$40-'X.2.CDM Data Extraction'!H$32)*0.5/12</f>
        <v>202720.0430460939</v>
      </c>
      <c r="G107" s="804">
        <f t="shared" si="21"/>
        <v>241575.88915461439</v>
      </c>
      <c r="H107" s="804">
        <f t="shared" si="25"/>
        <v>261143.53617613815</v>
      </c>
    </row>
    <row r="108" spans="1:13" x14ac:dyDescent="0.2">
      <c r="A108" s="768" t="s">
        <v>347</v>
      </c>
      <c r="B108" s="804">
        <f t="shared" si="26"/>
        <v>16453.692086695846</v>
      </c>
      <c r="C108" s="1284">
        <f t="shared" si="27"/>
        <v>36051.711039907161</v>
      </c>
      <c r="D108" s="52"/>
      <c r="E108" s="52"/>
      <c r="F108" s="804">
        <f>+'X.2.CDM Data Extraction'!$J$50/12-('X.2.CDM Data Extraction'!I$32+'X.2.CDM Data Extraction'!I$36+'X.2.CDM Data Extraction'!I$40-'X.2.CDM Data Extraction'!H$32)*0.5/12</f>
        <v>202720.0430460939</v>
      </c>
      <c r="G108" s="804">
        <f t="shared" si="21"/>
        <v>238771.75408600105</v>
      </c>
      <c r="H108" s="804">
        <f t="shared" si="25"/>
        <v>258112.26616696714</v>
      </c>
    </row>
    <row r="109" spans="1:13" x14ac:dyDescent="0.2">
      <c r="A109" s="768" t="s">
        <v>348</v>
      </c>
      <c r="B109" s="804">
        <f t="shared" si="26"/>
        <v>19195.974101145155</v>
      </c>
      <c r="C109" s="1284">
        <f t="shared" si="27"/>
        <v>33247.575971293823</v>
      </c>
      <c r="D109" s="52"/>
      <c r="E109" s="52"/>
      <c r="F109" s="804">
        <f>+'X.2.CDM Data Extraction'!$J$50/12-('X.2.CDM Data Extraction'!I$32+'X.2.CDM Data Extraction'!I$36+'X.2.CDM Data Extraction'!I$40-'X.2.CDM Data Extraction'!H$32)*0.5/12</f>
        <v>202720.0430460939</v>
      </c>
      <c r="G109" s="804">
        <f t="shared" si="21"/>
        <v>235967.61901738771</v>
      </c>
      <c r="H109" s="804">
        <f t="shared" si="25"/>
        <v>255080.99615779609</v>
      </c>
    </row>
    <row r="110" spans="1:13" x14ac:dyDescent="0.2">
      <c r="A110" s="768" t="s">
        <v>349</v>
      </c>
      <c r="B110" s="804">
        <f t="shared" si="26"/>
        <v>21938.256115594464</v>
      </c>
      <c r="C110" s="1284">
        <f t="shared" si="27"/>
        <v>30443.44090268049</v>
      </c>
      <c r="D110" s="52"/>
      <c r="E110" s="52"/>
      <c r="F110" s="804">
        <f>+'X.2.CDM Data Extraction'!$J$50/12-('X.2.CDM Data Extraction'!I$32+'X.2.CDM Data Extraction'!I$36+'X.2.CDM Data Extraction'!I$40-'X.2.CDM Data Extraction'!H$32)*0.5/12</f>
        <v>202720.0430460939</v>
      </c>
      <c r="G110" s="804">
        <f t="shared" si="21"/>
        <v>233163.48394877437</v>
      </c>
      <c r="H110" s="804">
        <f t="shared" si="25"/>
        <v>252049.72614862508</v>
      </c>
    </row>
    <row r="111" spans="1:13" x14ac:dyDescent="0.2">
      <c r="A111" s="768" t="s">
        <v>350</v>
      </c>
      <c r="B111" s="804">
        <f t="shared" si="26"/>
        <v>24680.538130043773</v>
      </c>
      <c r="C111" s="1284">
        <f t="shared" si="27"/>
        <v>27639.305834067156</v>
      </c>
      <c r="D111" s="52"/>
      <c r="E111" s="52"/>
      <c r="F111" s="804">
        <f>+'X.2.CDM Data Extraction'!$J$50/12-('X.2.CDM Data Extraction'!I$32+'X.2.CDM Data Extraction'!I$36+'X.2.CDM Data Extraction'!I$40-'X.2.CDM Data Extraction'!H$32)*0.5/12</f>
        <v>202720.0430460939</v>
      </c>
      <c r="G111" s="804">
        <f t="shared" si="21"/>
        <v>230359.34888016107</v>
      </c>
      <c r="H111" s="804">
        <f t="shared" si="25"/>
        <v>249018.45613945409</v>
      </c>
    </row>
    <row r="112" spans="1:13" x14ac:dyDescent="0.2">
      <c r="A112" s="768" t="s">
        <v>351</v>
      </c>
      <c r="B112" s="804">
        <f t="shared" si="26"/>
        <v>27422.820144493082</v>
      </c>
      <c r="C112" s="1284">
        <f t="shared" si="27"/>
        <v>24835.170765453822</v>
      </c>
      <c r="D112" s="52"/>
      <c r="E112" s="52"/>
      <c r="F112" s="804">
        <f>+'X.2.CDM Data Extraction'!$J$50/12-('X.2.CDM Data Extraction'!I$32+'X.2.CDM Data Extraction'!I$36+'X.2.CDM Data Extraction'!I$40-'X.2.CDM Data Extraction'!H$32)*0.5/12</f>
        <v>202720.0430460939</v>
      </c>
      <c r="G112" s="804">
        <f t="shared" si="21"/>
        <v>227555.21381154773</v>
      </c>
      <c r="H112" s="804">
        <f t="shared" si="25"/>
        <v>245987.18613028308</v>
      </c>
    </row>
    <row r="113" spans="1:8" x14ac:dyDescent="0.2">
      <c r="A113" s="768" t="s">
        <v>352</v>
      </c>
      <c r="B113" s="804">
        <f t="shared" si="26"/>
        <v>30165.102158942387</v>
      </c>
      <c r="C113" s="1284">
        <f t="shared" si="27"/>
        <v>22031.035696840489</v>
      </c>
      <c r="D113" s="52"/>
      <c r="E113" s="52"/>
      <c r="F113" s="804">
        <f>+'X.2.CDM Data Extraction'!$J$50/12-('X.2.CDM Data Extraction'!I$32+'X.2.CDM Data Extraction'!I$36+'X.2.CDM Data Extraction'!I$40-'X.2.CDM Data Extraction'!H$32)*0.5/12</f>
        <v>202720.0430460939</v>
      </c>
      <c r="G113" s="804">
        <f t="shared" si="21"/>
        <v>224751.07874293439</v>
      </c>
      <c r="H113" s="804">
        <f t="shared" si="25"/>
        <v>242955.91612111207</v>
      </c>
    </row>
    <row r="114" spans="1:8" x14ac:dyDescent="0.2">
      <c r="A114" s="768" t="s">
        <v>353</v>
      </c>
      <c r="B114" s="804">
        <f t="shared" si="26"/>
        <v>32907.384173391692</v>
      </c>
      <c r="C114" s="1284">
        <f t="shared" si="27"/>
        <v>19226.900628227155</v>
      </c>
      <c r="D114" s="805">
        <f>+F$12*0.5+C114</f>
        <v>17824.833093920486</v>
      </c>
      <c r="E114" s="805">
        <f>SUM(C103:C114)</f>
        <v>415795.72206720599</v>
      </c>
      <c r="F114" s="804">
        <f>+'X.2.CDM Data Extraction'!$J$50/12-('X.2.CDM Data Extraction'!I$32+'X.2.CDM Data Extraction'!I$36+'X.2.CDM Data Extraction'!I$40-'X.2.CDM Data Extraction'!H$32)*0.5/12</f>
        <v>202720.0430460939</v>
      </c>
      <c r="G114" s="804">
        <f t="shared" si="21"/>
        <v>221946.94367432105</v>
      </c>
      <c r="H114" s="804">
        <f t="shared" si="25"/>
        <v>239924.64611194105</v>
      </c>
    </row>
    <row r="115" spans="1:8" x14ac:dyDescent="0.2">
      <c r="A115" s="768" t="s">
        <v>354</v>
      </c>
      <c r="B115" s="804">
        <f>$B$13/$J$17</f>
        <v>10013.833333333334</v>
      </c>
      <c r="C115" s="1285">
        <f>+D114+0.5*F$13</f>
        <v>19794.211576118243</v>
      </c>
      <c r="D115" s="52"/>
      <c r="E115" s="52"/>
      <c r="F115" s="804">
        <f>+'X.2.CDM Data Extraction'!$K$50/12-('X.2.CDM Data Extraction'!J$36+'X.2.CDM Data Extraction'!J$40-'X.2.CDM Data Extraction'!I$34-'X.2.CDM Data Extraction'!I$38)*0.5/12</f>
        <v>221331.50859170876</v>
      </c>
      <c r="G115" s="804">
        <f>+C115+F115</f>
        <v>241125.72016782701</v>
      </c>
      <c r="H115" s="804">
        <f t="shared" si="25"/>
        <v>260656.90350142098</v>
      </c>
    </row>
    <row r="116" spans="1:8" x14ac:dyDescent="0.2">
      <c r="A116" s="768" t="s">
        <v>355</v>
      </c>
      <c r="B116" s="804">
        <f t="shared" ref="B116:B126" si="28">+B115*J6/J5</f>
        <v>20027.666666666668</v>
      </c>
      <c r="C116" s="1285">
        <f t="shared" ref="C116:C126" si="29">+C115+$F$13</f>
        <v>23732.968540513757</v>
      </c>
      <c r="D116" s="52"/>
      <c r="E116" s="52"/>
      <c r="F116" s="804">
        <f>+'X.2.CDM Data Extraction'!$K$50/12-('X.2.CDM Data Extraction'!J$36+'X.2.CDM Data Extraction'!J$40-'X.2.CDM Data Extraction'!I$34-'X.2.CDM Data Extraction'!I$38)*0.5/12</f>
        <v>221331.50859170876</v>
      </c>
      <c r="G116" s="804">
        <f t="shared" si="21"/>
        <v>245064.4771322225</v>
      </c>
      <c r="H116" s="804">
        <f t="shared" si="25"/>
        <v>264914.6997799325</v>
      </c>
    </row>
    <row r="117" spans="1:8" x14ac:dyDescent="0.2">
      <c r="A117" s="768" t="s">
        <v>356</v>
      </c>
      <c r="B117" s="804">
        <f t="shared" si="28"/>
        <v>30041.5</v>
      </c>
      <c r="C117" s="1285">
        <f t="shared" si="29"/>
        <v>27671.725504909271</v>
      </c>
      <c r="D117" s="52"/>
      <c r="E117" s="52"/>
      <c r="F117" s="804">
        <f>+'X.2.CDM Data Extraction'!$K$50/12-('X.2.CDM Data Extraction'!J$36+'X.2.CDM Data Extraction'!J$40-'X.2.CDM Data Extraction'!I$34-'X.2.CDM Data Extraction'!I$38)*0.5/12</f>
        <v>221331.50859170876</v>
      </c>
      <c r="G117" s="804">
        <f t="shared" si="21"/>
        <v>249003.23409661802</v>
      </c>
      <c r="H117" s="804">
        <f t="shared" si="25"/>
        <v>269172.49605844409</v>
      </c>
    </row>
    <row r="118" spans="1:8" x14ac:dyDescent="0.2">
      <c r="A118" s="768" t="s">
        <v>357</v>
      </c>
      <c r="B118" s="804">
        <f t="shared" si="28"/>
        <v>40055.333333333336</v>
      </c>
      <c r="C118" s="1285">
        <f t="shared" si="29"/>
        <v>31610.482469304785</v>
      </c>
      <c r="D118" s="52"/>
      <c r="E118" s="52"/>
      <c r="F118" s="804">
        <f>+'X.2.CDM Data Extraction'!$K$50/12-('X.2.CDM Data Extraction'!J$36+'X.2.CDM Data Extraction'!J$40-'X.2.CDM Data Extraction'!I$34-'X.2.CDM Data Extraction'!I$38)*0.5/12</f>
        <v>221331.50859170876</v>
      </c>
      <c r="G118" s="804">
        <f t="shared" si="21"/>
        <v>252941.99106101354</v>
      </c>
      <c r="H118" s="804">
        <f t="shared" si="25"/>
        <v>273430.29233695561</v>
      </c>
    </row>
    <row r="119" spans="1:8" x14ac:dyDescent="0.2">
      <c r="A119" s="768" t="s">
        <v>358</v>
      </c>
      <c r="B119" s="804">
        <f t="shared" si="28"/>
        <v>50069.166666666672</v>
      </c>
      <c r="C119" s="1285">
        <f t="shared" si="29"/>
        <v>35549.239433700299</v>
      </c>
      <c r="D119" s="52"/>
      <c r="E119" s="52"/>
      <c r="F119" s="804">
        <f>+'X.2.CDM Data Extraction'!$K$50/12-('X.2.CDM Data Extraction'!J$36+'X.2.CDM Data Extraction'!J$40-'X.2.CDM Data Extraction'!I$34-'X.2.CDM Data Extraction'!I$38)*0.5/12</f>
        <v>221331.50859170876</v>
      </c>
      <c r="G119" s="804">
        <f t="shared" si="21"/>
        <v>256880.74802540906</v>
      </c>
      <c r="H119" s="804">
        <f t="shared" si="25"/>
        <v>277688.08861546719</v>
      </c>
    </row>
    <row r="120" spans="1:8" x14ac:dyDescent="0.2">
      <c r="A120" s="768" t="s">
        <v>359</v>
      </c>
      <c r="B120" s="804">
        <f t="shared" si="28"/>
        <v>60083</v>
      </c>
      <c r="C120" s="1285">
        <f t="shared" si="29"/>
        <v>39487.996398095813</v>
      </c>
      <c r="D120" s="52"/>
      <c r="E120" s="52"/>
      <c r="F120" s="804">
        <f>+'X.2.CDM Data Extraction'!$K$50/12-('X.2.CDM Data Extraction'!J$36+'X.2.CDM Data Extraction'!J$40-'X.2.CDM Data Extraction'!I$34-'X.2.CDM Data Extraction'!I$38)*0.5/12</f>
        <v>221331.50859170876</v>
      </c>
      <c r="G120" s="804">
        <f t="shared" si="21"/>
        <v>260819.50498980458</v>
      </c>
      <c r="H120" s="804">
        <f t="shared" si="25"/>
        <v>281945.88489397877</v>
      </c>
    </row>
    <row r="121" spans="1:8" x14ac:dyDescent="0.2">
      <c r="A121" s="768" t="s">
        <v>360</v>
      </c>
      <c r="B121" s="804">
        <f t="shared" si="28"/>
        <v>70096.833333333328</v>
      </c>
      <c r="C121" s="1285">
        <f t="shared" si="29"/>
        <v>43426.753362491327</v>
      </c>
      <c r="D121" s="52"/>
      <c r="E121" s="52"/>
      <c r="F121" s="804">
        <f>+'X.2.CDM Data Extraction'!$K$50/12-('X.2.CDM Data Extraction'!J$36+'X.2.CDM Data Extraction'!J$40-'X.2.CDM Data Extraction'!I$34-'X.2.CDM Data Extraction'!I$38)*0.5/12</f>
        <v>221331.50859170876</v>
      </c>
      <c r="G121" s="804">
        <f t="shared" si="21"/>
        <v>264758.2619542001</v>
      </c>
      <c r="H121" s="804">
        <f t="shared" si="25"/>
        <v>286203.68117249029</v>
      </c>
    </row>
    <row r="122" spans="1:8" x14ac:dyDescent="0.2">
      <c r="A122" s="768" t="s">
        <v>361</v>
      </c>
      <c r="B122" s="804">
        <f t="shared" si="28"/>
        <v>80110.666666666657</v>
      </c>
      <c r="C122" s="1285">
        <f t="shared" si="29"/>
        <v>47365.510326886841</v>
      </c>
      <c r="D122" s="52"/>
      <c r="E122" s="52"/>
      <c r="F122" s="804">
        <f>+'X.2.CDM Data Extraction'!$K$50/12-('X.2.CDM Data Extraction'!J$36+'X.2.CDM Data Extraction'!J$40-'X.2.CDM Data Extraction'!I$34-'X.2.CDM Data Extraction'!I$38)*0.5/12</f>
        <v>221331.50859170876</v>
      </c>
      <c r="G122" s="804">
        <f t="shared" si="21"/>
        <v>268697.01891859563</v>
      </c>
      <c r="H122" s="804">
        <f t="shared" si="25"/>
        <v>290461.47745100188</v>
      </c>
    </row>
    <row r="123" spans="1:8" x14ac:dyDescent="0.2">
      <c r="A123" s="768" t="s">
        <v>362</v>
      </c>
      <c r="B123" s="804">
        <f t="shared" si="28"/>
        <v>90124.499999999985</v>
      </c>
      <c r="C123" s="1285">
        <f t="shared" si="29"/>
        <v>51304.267291282355</v>
      </c>
      <c r="D123" s="52"/>
      <c r="E123" s="52"/>
      <c r="F123" s="804">
        <f>+'X.2.CDM Data Extraction'!$K$50/12-('X.2.CDM Data Extraction'!J$36+'X.2.CDM Data Extraction'!J$40-'X.2.CDM Data Extraction'!I$34-'X.2.CDM Data Extraction'!I$38)*0.5/12</f>
        <v>221331.50859170876</v>
      </c>
      <c r="G123" s="804">
        <f t="shared" si="21"/>
        <v>272635.77588299109</v>
      </c>
      <c r="H123" s="804">
        <f t="shared" si="25"/>
        <v>294719.27372951334</v>
      </c>
    </row>
    <row r="124" spans="1:8" x14ac:dyDescent="0.2">
      <c r="A124" s="768" t="s">
        <v>363</v>
      </c>
      <c r="B124" s="804">
        <f t="shared" si="28"/>
        <v>100138.33333333331</v>
      </c>
      <c r="C124" s="1285">
        <f t="shared" si="29"/>
        <v>55243.024255677868</v>
      </c>
      <c r="D124" s="52"/>
      <c r="E124" s="52"/>
      <c r="F124" s="804">
        <f>+'X.2.CDM Data Extraction'!$K$50/12-('X.2.CDM Data Extraction'!J$36+'X.2.CDM Data Extraction'!J$40-'X.2.CDM Data Extraction'!I$34-'X.2.CDM Data Extraction'!I$38)*0.5/12</f>
        <v>221331.50859170876</v>
      </c>
      <c r="G124" s="804">
        <f t="shared" si="21"/>
        <v>276574.53284738661</v>
      </c>
      <c r="H124" s="804">
        <f t="shared" si="25"/>
        <v>298977.07000802492</v>
      </c>
    </row>
    <row r="125" spans="1:8" x14ac:dyDescent="0.2">
      <c r="A125" s="768" t="s">
        <v>364</v>
      </c>
      <c r="B125" s="804">
        <f t="shared" si="28"/>
        <v>110152.16666666666</v>
      </c>
      <c r="C125" s="1285">
        <f t="shared" si="29"/>
        <v>59181.781220073382</v>
      </c>
      <c r="D125" s="52"/>
      <c r="E125" s="52"/>
      <c r="F125" s="804">
        <f>+'X.2.CDM Data Extraction'!$K$50/12-('X.2.CDM Data Extraction'!J$36+'X.2.CDM Data Extraction'!J$40-'X.2.CDM Data Extraction'!I$34-'X.2.CDM Data Extraction'!I$38)*0.5/12</f>
        <v>221331.50859170876</v>
      </c>
      <c r="G125" s="804">
        <f t="shared" si="21"/>
        <v>280513.28981178213</v>
      </c>
      <c r="H125" s="804">
        <f t="shared" si="25"/>
        <v>303234.86628653645</v>
      </c>
    </row>
    <row r="126" spans="1:8" x14ac:dyDescent="0.2">
      <c r="A126" s="768" t="s">
        <v>365</v>
      </c>
      <c r="B126" s="804">
        <f t="shared" si="28"/>
        <v>120166</v>
      </c>
      <c r="C126" s="1285">
        <f t="shared" si="29"/>
        <v>63120.538184468896</v>
      </c>
      <c r="D126" s="805">
        <f>+F$13*0.5+C126</f>
        <v>65089.916666666657</v>
      </c>
      <c r="E126" s="805">
        <f>SUM(C115:C126)</f>
        <v>497488.49856352282</v>
      </c>
      <c r="F126" s="804">
        <f>+'X.2.CDM Data Extraction'!$K$50/12-('X.2.CDM Data Extraction'!J$36+'X.2.CDM Data Extraction'!J$40-'X.2.CDM Data Extraction'!I$34-'X.2.CDM Data Extraction'!I$38)*0.5/12</f>
        <v>221331.50859170876</v>
      </c>
      <c r="G126" s="804">
        <f t="shared" si="21"/>
        <v>284452.04677617765</v>
      </c>
      <c r="H126" s="804">
        <f t="shared" si="25"/>
        <v>307492.66256504803</v>
      </c>
    </row>
    <row r="129" spans="7:7" x14ac:dyDescent="0.2">
      <c r="G129" s="780"/>
    </row>
    <row r="131" spans="7:7" x14ac:dyDescent="0.2">
      <c r="G131" s="780"/>
    </row>
  </sheetData>
  <pageMargins left="0.7" right="0.7" top="0.75" bottom="0.75" header="0.3" footer="0.3"/>
  <pageSetup scale="85"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77"/>
  <sheetViews>
    <sheetView zoomScale="85" zoomScaleNormal="85" workbookViewId="0"/>
  </sheetViews>
  <sheetFormatPr defaultRowHeight="12.75" x14ac:dyDescent="0.2"/>
  <cols>
    <col min="1" max="1" width="19.1640625" bestFit="1" customWidth="1"/>
    <col min="2" max="2" width="15" customWidth="1"/>
    <col min="3" max="7" width="15.5" bestFit="1" customWidth="1"/>
    <col min="8" max="8" width="19.5" bestFit="1" customWidth="1"/>
    <col min="9" max="10" width="15.5" bestFit="1" customWidth="1"/>
    <col min="11" max="11" width="18" bestFit="1" customWidth="1"/>
    <col min="12" max="12" width="15.5" bestFit="1" customWidth="1"/>
    <col min="13" max="13" width="19.1640625" bestFit="1" customWidth="1"/>
    <col min="14" max="20" width="15.1640625" bestFit="1" customWidth="1"/>
    <col min="21" max="29" width="13.33203125" bestFit="1" customWidth="1"/>
    <col min="30" max="32" width="12" bestFit="1" customWidth="1"/>
    <col min="33" max="47" width="5.83203125" bestFit="1" customWidth="1"/>
  </cols>
  <sheetData>
    <row r="1" spans="1:53" ht="16.5" thickBot="1" x14ac:dyDescent="0.3">
      <c r="A1" s="748" t="s">
        <v>253</v>
      </c>
      <c r="B1" s="749"/>
      <c r="C1" s="749"/>
      <c r="D1" s="1250" t="s">
        <v>617</v>
      </c>
      <c r="E1" s="1251"/>
      <c r="F1" s="1251"/>
      <c r="G1" s="1251"/>
      <c r="H1" s="1251"/>
      <c r="I1" s="1251"/>
      <c r="J1" s="1251"/>
      <c r="K1" s="1251"/>
      <c r="L1" s="1251"/>
      <c r="M1" s="1251"/>
      <c r="N1" s="1251"/>
      <c r="O1" s="1251"/>
      <c r="P1" s="1251"/>
      <c r="Q1" s="1252"/>
      <c r="R1" s="749"/>
      <c r="S1" s="749"/>
      <c r="T1" s="749"/>
      <c r="U1" s="749"/>
      <c r="V1" s="749"/>
      <c r="W1" s="749"/>
      <c r="X1" s="749"/>
      <c r="Y1" s="749"/>
      <c r="Z1" s="749"/>
      <c r="AA1" s="749"/>
      <c r="AB1" s="749"/>
      <c r="AC1" s="749"/>
      <c r="AD1" s="749"/>
      <c r="AE1" s="749"/>
      <c r="AF1" s="749"/>
      <c r="AG1" s="749"/>
      <c r="AH1" s="749"/>
      <c r="AI1" s="749"/>
      <c r="AJ1" s="749"/>
      <c r="AK1" s="749"/>
      <c r="AL1" s="749"/>
      <c r="AM1" s="749"/>
      <c r="AN1" s="749"/>
      <c r="AO1" s="749"/>
      <c r="AP1" s="749"/>
      <c r="AQ1" s="749"/>
      <c r="AR1" s="749"/>
      <c r="AS1" s="749"/>
      <c r="AT1" s="749"/>
      <c r="AU1" s="749"/>
      <c r="AV1" s="749"/>
      <c r="AW1" s="749"/>
      <c r="AX1" s="749"/>
      <c r="AY1" s="749"/>
      <c r="AZ1" s="749"/>
      <c r="BA1" s="749"/>
    </row>
    <row r="2" spans="1:53" ht="15.75" x14ac:dyDescent="0.25">
      <c r="A2" s="748" t="s">
        <v>254</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c r="AQ2" s="749"/>
      <c r="AR2" s="749"/>
      <c r="AS2" s="749"/>
      <c r="AT2" s="749"/>
      <c r="AU2" s="749"/>
      <c r="AV2" s="749"/>
      <c r="AW2" s="749"/>
      <c r="AX2" s="749"/>
      <c r="AY2" s="749"/>
      <c r="AZ2" s="749"/>
      <c r="BA2" s="749"/>
    </row>
    <row r="3" spans="1:53" ht="15.75" x14ac:dyDescent="0.25">
      <c r="A3" s="748" t="s">
        <v>255</v>
      </c>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c r="AO3" s="749"/>
      <c r="AP3" s="749"/>
      <c r="AQ3" s="749"/>
      <c r="AR3" s="749"/>
      <c r="AS3" s="749"/>
      <c r="AT3" s="749"/>
      <c r="AU3" s="749"/>
      <c r="AV3" s="749"/>
      <c r="AW3" s="749"/>
      <c r="AX3" s="749"/>
      <c r="AY3" s="749"/>
      <c r="AZ3" s="749"/>
      <c r="BA3" s="749"/>
    </row>
    <row r="4" spans="1:53" ht="15" x14ac:dyDescent="0.25">
      <c r="A4" s="749"/>
      <c r="B4" s="749"/>
      <c r="C4" s="763">
        <v>2006</v>
      </c>
      <c r="D4" s="763">
        <v>2007</v>
      </c>
      <c r="E4" s="763">
        <v>2008</v>
      </c>
      <c r="F4" s="763">
        <v>2009</v>
      </c>
      <c r="G4" s="763">
        <v>2010</v>
      </c>
      <c r="H4" s="763">
        <v>2011</v>
      </c>
      <c r="I4" s="763">
        <v>2012</v>
      </c>
      <c r="J4" s="763">
        <v>2013</v>
      </c>
      <c r="K4" s="763">
        <v>2014</v>
      </c>
      <c r="L4" s="763">
        <v>2015</v>
      </c>
      <c r="M4" s="763">
        <v>2016</v>
      </c>
      <c r="N4" s="763">
        <v>2017</v>
      </c>
      <c r="O4" s="763">
        <v>2018</v>
      </c>
      <c r="P4" s="763">
        <v>2019</v>
      </c>
      <c r="Q4" s="763">
        <v>2020</v>
      </c>
      <c r="R4" s="763">
        <v>2021</v>
      </c>
      <c r="S4" s="763">
        <v>2022</v>
      </c>
      <c r="T4" s="763">
        <v>2023</v>
      </c>
      <c r="U4" s="763">
        <v>2024</v>
      </c>
      <c r="V4" s="763">
        <v>2025</v>
      </c>
      <c r="W4" s="763">
        <v>2026</v>
      </c>
      <c r="X4" s="763">
        <v>2027</v>
      </c>
      <c r="Y4" s="763">
        <v>2028</v>
      </c>
      <c r="Z4" s="763">
        <v>2029</v>
      </c>
      <c r="AA4" s="763">
        <v>2030</v>
      </c>
      <c r="AB4" s="763">
        <v>2031</v>
      </c>
      <c r="AC4" s="763">
        <v>2032</v>
      </c>
      <c r="AD4" s="763">
        <v>2033</v>
      </c>
      <c r="AE4" s="763">
        <v>2034</v>
      </c>
      <c r="AF4" s="763">
        <v>2035</v>
      </c>
      <c r="AG4" s="763">
        <v>2036</v>
      </c>
      <c r="AH4" s="763">
        <v>2037</v>
      </c>
      <c r="AI4" s="763">
        <v>2038</v>
      </c>
      <c r="AJ4" s="763">
        <v>2039</v>
      </c>
      <c r="AK4" s="763">
        <v>2040</v>
      </c>
      <c r="AL4" s="763">
        <v>2041</v>
      </c>
      <c r="AM4" s="763">
        <v>2042</v>
      </c>
      <c r="AN4" s="763">
        <v>2043</v>
      </c>
      <c r="AO4" s="763">
        <v>2044</v>
      </c>
      <c r="AP4" s="763">
        <v>2045</v>
      </c>
      <c r="AQ4" s="763">
        <v>2046</v>
      </c>
      <c r="AR4" s="763">
        <v>2047</v>
      </c>
      <c r="AS4" s="763">
        <v>2048</v>
      </c>
      <c r="AT4" s="763">
        <v>2049</v>
      </c>
      <c r="AU4" s="763">
        <v>2050</v>
      </c>
      <c r="AV4" s="749"/>
      <c r="AW4" s="749"/>
      <c r="AX4" s="749"/>
      <c r="AY4" s="749"/>
      <c r="AZ4" s="749"/>
      <c r="BA4" s="749"/>
    </row>
    <row r="5" spans="1:53" ht="15" x14ac:dyDescent="0.25">
      <c r="A5" s="751">
        <v>2006</v>
      </c>
      <c r="B5" s="762" t="s">
        <v>239</v>
      </c>
      <c r="C5" s="757">
        <v>0</v>
      </c>
      <c r="D5" s="757">
        <v>0</v>
      </c>
      <c r="E5" s="757">
        <v>0</v>
      </c>
      <c r="F5" s="757">
        <v>0</v>
      </c>
      <c r="G5" s="757">
        <v>0</v>
      </c>
      <c r="H5" s="757">
        <v>0</v>
      </c>
      <c r="I5" s="757">
        <v>0</v>
      </c>
      <c r="J5" s="757">
        <v>0</v>
      </c>
      <c r="K5" s="757">
        <v>0</v>
      </c>
      <c r="L5" s="757">
        <v>0</v>
      </c>
      <c r="M5" s="757">
        <v>0</v>
      </c>
      <c r="N5" s="757">
        <v>0</v>
      </c>
      <c r="O5" s="757">
        <v>0</v>
      </c>
      <c r="P5" s="757">
        <v>0</v>
      </c>
      <c r="Q5" s="757">
        <v>0</v>
      </c>
      <c r="R5" s="757">
        <v>0</v>
      </c>
      <c r="S5" s="757">
        <v>0</v>
      </c>
      <c r="T5" s="757">
        <v>0</v>
      </c>
      <c r="U5" s="757">
        <v>0</v>
      </c>
      <c r="V5" s="757">
        <v>0</v>
      </c>
      <c r="W5" s="757">
        <v>0</v>
      </c>
      <c r="X5" s="757">
        <v>0</v>
      </c>
      <c r="Y5" s="757">
        <v>0</v>
      </c>
      <c r="Z5" s="757">
        <v>0</v>
      </c>
      <c r="AA5" s="757">
        <v>0</v>
      </c>
      <c r="AB5" s="754">
        <v>0</v>
      </c>
      <c r="AC5" s="754">
        <v>0</v>
      </c>
      <c r="AD5" s="754">
        <v>0</v>
      </c>
      <c r="AE5" s="754">
        <v>0</v>
      </c>
      <c r="AF5" s="754">
        <v>0</v>
      </c>
      <c r="AG5" s="754">
        <v>0</v>
      </c>
      <c r="AH5" s="754">
        <v>0</v>
      </c>
      <c r="AI5" s="754">
        <v>0</v>
      </c>
      <c r="AJ5" s="754">
        <v>0</v>
      </c>
      <c r="AK5" s="754">
        <v>0</v>
      </c>
      <c r="AL5" s="754">
        <v>0</v>
      </c>
      <c r="AM5" s="754">
        <v>0</v>
      </c>
      <c r="AN5" s="754">
        <v>0</v>
      </c>
      <c r="AO5" s="754">
        <v>0</v>
      </c>
      <c r="AP5" s="754">
        <v>0</v>
      </c>
      <c r="AQ5" s="754">
        <v>0</v>
      </c>
      <c r="AR5" s="754">
        <v>0</v>
      </c>
      <c r="AS5" s="754">
        <v>0</v>
      </c>
      <c r="AT5" s="754">
        <v>0</v>
      </c>
      <c r="AU5" s="754">
        <v>0</v>
      </c>
      <c r="AV5" s="750"/>
      <c r="AW5" s="750"/>
      <c r="AX5" s="749"/>
      <c r="AY5" s="749"/>
      <c r="AZ5" s="749"/>
      <c r="BA5" s="749"/>
    </row>
    <row r="6" spans="1:53" ht="15" x14ac:dyDescent="0.25">
      <c r="A6" s="751">
        <v>2006</v>
      </c>
      <c r="B6" s="762" t="s">
        <v>6</v>
      </c>
      <c r="C6" s="754">
        <v>688739.31666189851</v>
      </c>
      <c r="D6" s="754">
        <v>688739.31666189851</v>
      </c>
      <c r="E6" s="754">
        <v>688739.31666189851</v>
      </c>
      <c r="F6" s="754">
        <v>688739.31666189851</v>
      </c>
      <c r="G6" s="754">
        <v>119618.76885906832</v>
      </c>
      <c r="H6" s="754">
        <v>119618.76885906832</v>
      </c>
      <c r="I6" s="754">
        <v>109418.60659655998</v>
      </c>
      <c r="J6" s="754">
        <v>109418.60659655998</v>
      </c>
      <c r="K6" s="754">
        <v>102815.63946667474</v>
      </c>
      <c r="L6" s="754">
        <v>102815.63946667474</v>
      </c>
      <c r="M6" s="754">
        <v>97138.100420848816</v>
      </c>
      <c r="N6" s="754">
        <v>97138.100420848816</v>
      </c>
      <c r="O6" s="754">
        <v>97138.100420848816</v>
      </c>
      <c r="P6" s="754">
        <v>97138.100420848816</v>
      </c>
      <c r="Q6" s="754">
        <v>87928.219156304287</v>
      </c>
      <c r="R6" s="754">
        <v>76428.548724081658</v>
      </c>
      <c r="S6" s="754">
        <v>76428.548724081658</v>
      </c>
      <c r="T6" s="754">
        <v>76428.548724081658</v>
      </c>
      <c r="U6" s="754">
        <v>41296.596233983546</v>
      </c>
      <c r="V6" s="754">
        <v>41296.596233983546</v>
      </c>
      <c r="W6" s="754">
        <v>24096.47684207965</v>
      </c>
      <c r="X6" s="754">
        <v>24096.47684207965</v>
      </c>
      <c r="Y6" s="754">
        <v>24096.47684207965</v>
      </c>
      <c r="Z6" s="754">
        <v>24096.47684207965</v>
      </c>
      <c r="AA6" s="754">
        <v>24096.47684207965</v>
      </c>
      <c r="AB6" s="754">
        <v>10651.235022659333</v>
      </c>
      <c r="AC6" s="754">
        <v>10651.235022659333</v>
      </c>
      <c r="AD6" s="754">
        <v>10651.235022659333</v>
      </c>
      <c r="AE6" s="754">
        <v>10651.235022659333</v>
      </c>
      <c r="AF6" s="754">
        <v>10651.235022659333</v>
      </c>
      <c r="AG6" s="754">
        <v>0</v>
      </c>
      <c r="AH6" s="757">
        <v>0</v>
      </c>
      <c r="AI6" s="757">
        <v>0</v>
      </c>
      <c r="AJ6" s="757">
        <v>0</v>
      </c>
      <c r="AK6" s="757">
        <v>0</v>
      </c>
      <c r="AL6" s="757">
        <v>0</v>
      </c>
      <c r="AM6" s="757">
        <v>0</v>
      </c>
      <c r="AN6" s="757">
        <v>0</v>
      </c>
      <c r="AO6" s="757">
        <v>0</v>
      </c>
      <c r="AP6" s="757">
        <v>0</v>
      </c>
      <c r="AQ6" s="757">
        <v>0</v>
      </c>
      <c r="AR6" s="757">
        <v>0</v>
      </c>
      <c r="AS6" s="757">
        <v>0</v>
      </c>
      <c r="AT6" s="757">
        <v>0</v>
      </c>
      <c r="AU6" s="757">
        <v>0</v>
      </c>
      <c r="AV6" s="750"/>
      <c r="AW6" s="750"/>
      <c r="AX6" s="749"/>
      <c r="AY6" s="749"/>
      <c r="AZ6" s="749"/>
      <c r="BA6" s="749"/>
    </row>
    <row r="7" spans="1:53" ht="15" x14ac:dyDescent="0.25">
      <c r="A7" s="751">
        <v>2006</v>
      </c>
      <c r="B7" s="762" t="s">
        <v>240</v>
      </c>
      <c r="C7" s="757">
        <v>0</v>
      </c>
      <c r="D7" s="757">
        <v>0</v>
      </c>
      <c r="E7" s="757">
        <v>0</v>
      </c>
      <c r="F7" s="757">
        <v>0</v>
      </c>
      <c r="G7" s="757">
        <v>0</v>
      </c>
      <c r="H7" s="757">
        <v>0</v>
      </c>
      <c r="I7" s="757">
        <v>0</v>
      </c>
      <c r="J7" s="757">
        <v>0</v>
      </c>
      <c r="K7" s="757">
        <v>0</v>
      </c>
      <c r="L7" s="757">
        <v>0</v>
      </c>
      <c r="M7" s="757">
        <v>0</v>
      </c>
      <c r="N7" s="757">
        <v>0</v>
      </c>
      <c r="O7" s="757">
        <v>0</v>
      </c>
      <c r="P7" s="757">
        <v>0</v>
      </c>
      <c r="Q7" s="757">
        <v>0</v>
      </c>
      <c r="R7" s="757">
        <v>0</v>
      </c>
      <c r="S7" s="757">
        <v>0</v>
      </c>
      <c r="T7" s="757">
        <v>0</v>
      </c>
      <c r="U7" s="757">
        <v>0</v>
      </c>
      <c r="V7" s="757">
        <v>0</v>
      </c>
      <c r="W7" s="757">
        <v>0</v>
      </c>
      <c r="X7" s="757">
        <v>0</v>
      </c>
      <c r="Y7" s="757">
        <v>0</v>
      </c>
      <c r="Z7" s="757">
        <v>0</v>
      </c>
      <c r="AA7" s="757">
        <v>0</v>
      </c>
      <c r="AB7" s="757">
        <v>0</v>
      </c>
      <c r="AC7" s="757">
        <v>0</v>
      </c>
      <c r="AD7" s="757">
        <v>0</v>
      </c>
      <c r="AE7" s="757">
        <v>0</v>
      </c>
      <c r="AF7" s="757">
        <v>0</v>
      </c>
      <c r="AG7" s="757">
        <v>0</v>
      </c>
      <c r="AH7" s="757">
        <v>0</v>
      </c>
      <c r="AI7" s="757">
        <v>0</v>
      </c>
      <c r="AJ7" s="757">
        <v>0</v>
      </c>
      <c r="AK7" s="757">
        <v>0</v>
      </c>
      <c r="AL7" s="757">
        <v>0</v>
      </c>
      <c r="AM7" s="757">
        <v>0</v>
      </c>
      <c r="AN7" s="757">
        <v>0</v>
      </c>
      <c r="AO7" s="757">
        <v>0</v>
      </c>
      <c r="AP7" s="757">
        <v>0</v>
      </c>
      <c r="AQ7" s="757">
        <v>0</v>
      </c>
      <c r="AR7" s="757">
        <v>0</v>
      </c>
      <c r="AS7" s="757">
        <v>0</v>
      </c>
      <c r="AT7" s="757">
        <v>0</v>
      </c>
      <c r="AU7" s="757">
        <v>0</v>
      </c>
      <c r="AV7" s="750"/>
      <c r="AW7" s="750"/>
      <c r="AX7" s="749"/>
      <c r="AY7" s="749"/>
      <c r="AZ7" s="749"/>
      <c r="BA7" s="749"/>
    </row>
    <row r="8" spans="1:53" ht="15" x14ac:dyDescent="0.25">
      <c r="A8" s="761"/>
      <c r="B8" s="761"/>
      <c r="C8" s="758">
        <f>SUM(C5:C7)</f>
        <v>688739.31666189851</v>
      </c>
      <c r="D8" s="758">
        <f t="shared" ref="D8:AF8" si="0">SUM(D5:D7)</f>
        <v>688739.31666189851</v>
      </c>
      <c r="E8" s="758">
        <f t="shared" si="0"/>
        <v>688739.31666189851</v>
      </c>
      <c r="F8" s="758">
        <f t="shared" si="0"/>
        <v>688739.31666189851</v>
      </c>
      <c r="G8" s="758">
        <f t="shared" si="0"/>
        <v>119618.76885906832</v>
      </c>
      <c r="H8" s="758">
        <f t="shared" si="0"/>
        <v>119618.76885906832</v>
      </c>
      <c r="I8" s="758">
        <f t="shared" si="0"/>
        <v>109418.60659655998</v>
      </c>
      <c r="J8" s="758">
        <f t="shared" si="0"/>
        <v>109418.60659655998</v>
      </c>
      <c r="K8" s="758">
        <f t="shared" si="0"/>
        <v>102815.63946667474</v>
      </c>
      <c r="L8" s="758">
        <f t="shared" si="0"/>
        <v>102815.63946667474</v>
      </c>
      <c r="M8" s="758">
        <f t="shared" si="0"/>
        <v>97138.100420848816</v>
      </c>
      <c r="N8" s="758">
        <f t="shared" si="0"/>
        <v>97138.100420848816</v>
      </c>
      <c r="O8" s="758">
        <f t="shared" si="0"/>
        <v>97138.100420848816</v>
      </c>
      <c r="P8" s="758">
        <f t="shared" si="0"/>
        <v>97138.100420848816</v>
      </c>
      <c r="Q8" s="758">
        <f t="shared" si="0"/>
        <v>87928.219156304287</v>
      </c>
      <c r="R8" s="758">
        <f t="shared" si="0"/>
        <v>76428.548724081658</v>
      </c>
      <c r="S8" s="758">
        <f t="shared" si="0"/>
        <v>76428.548724081658</v>
      </c>
      <c r="T8" s="758">
        <f t="shared" si="0"/>
        <v>76428.548724081658</v>
      </c>
      <c r="U8" s="758">
        <f t="shared" si="0"/>
        <v>41296.596233983546</v>
      </c>
      <c r="V8" s="758">
        <f t="shared" si="0"/>
        <v>41296.596233983546</v>
      </c>
      <c r="W8" s="758">
        <f t="shared" si="0"/>
        <v>24096.47684207965</v>
      </c>
      <c r="X8" s="758">
        <f t="shared" si="0"/>
        <v>24096.47684207965</v>
      </c>
      <c r="Y8" s="758">
        <f t="shared" si="0"/>
        <v>24096.47684207965</v>
      </c>
      <c r="Z8" s="758">
        <f t="shared" si="0"/>
        <v>24096.47684207965</v>
      </c>
      <c r="AA8" s="758">
        <f t="shared" si="0"/>
        <v>24096.47684207965</v>
      </c>
      <c r="AB8" s="758">
        <f t="shared" si="0"/>
        <v>10651.235022659333</v>
      </c>
      <c r="AC8" s="758">
        <f t="shared" si="0"/>
        <v>10651.235022659333</v>
      </c>
      <c r="AD8" s="758">
        <f t="shared" si="0"/>
        <v>10651.235022659333</v>
      </c>
      <c r="AE8" s="758">
        <f t="shared" si="0"/>
        <v>10651.235022659333</v>
      </c>
      <c r="AF8" s="758">
        <f t="shared" si="0"/>
        <v>10651.235022659333</v>
      </c>
      <c r="AG8" s="758">
        <v>0</v>
      </c>
      <c r="AH8" s="758">
        <v>0</v>
      </c>
      <c r="AI8" s="758">
        <v>0</v>
      </c>
      <c r="AJ8" s="758">
        <v>0</v>
      </c>
      <c r="AK8" s="758">
        <v>0</v>
      </c>
      <c r="AL8" s="758">
        <v>0</v>
      </c>
      <c r="AM8" s="758">
        <v>0</v>
      </c>
      <c r="AN8" s="758">
        <v>0</v>
      </c>
      <c r="AO8" s="758">
        <v>0</v>
      </c>
      <c r="AP8" s="758">
        <v>0</v>
      </c>
      <c r="AQ8" s="758">
        <v>0</v>
      </c>
      <c r="AR8" s="758">
        <v>0</v>
      </c>
      <c r="AS8" s="758">
        <v>0</v>
      </c>
      <c r="AT8" s="758">
        <v>0</v>
      </c>
      <c r="AU8" s="758">
        <v>0</v>
      </c>
      <c r="AV8" s="750"/>
      <c r="AW8" s="750"/>
      <c r="AX8" s="749"/>
      <c r="AY8" s="749"/>
      <c r="AZ8" s="749"/>
      <c r="BA8" s="749"/>
    </row>
    <row r="9" spans="1:53" ht="15" x14ac:dyDescent="0.25">
      <c r="A9" s="751">
        <v>2007</v>
      </c>
      <c r="B9" s="762" t="s">
        <v>239</v>
      </c>
      <c r="C9" s="757">
        <v>0</v>
      </c>
      <c r="D9" s="757">
        <v>0</v>
      </c>
      <c r="E9" s="757">
        <v>0</v>
      </c>
      <c r="F9" s="757">
        <v>0</v>
      </c>
      <c r="G9" s="757">
        <v>0</v>
      </c>
      <c r="H9" s="757">
        <v>0</v>
      </c>
      <c r="I9" s="757">
        <v>0</v>
      </c>
      <c r="J9" s="757">
        <v>0</v>
      </c>
      <c r="K9" s="757">
        <v>0</v>
      </c>
      <c r="L9" s="757">
        <v>0</v>
      </c>
      <c r="M9" s="757">
        <v>0</v>
      </c>
      <c r="N9" s="757">
        <v>0</v>
      </c>
      <c r="O9" s="757">
        <v>0</v>
      </c>
      <c r="P9" s="757">
        <v>0</v>
      </c>
      <c r="Q9" s="757">
        <v>0</v>
      </c>
      <c r="R9" s="757">
        <v>0</v>
      </c>
      <c r="S9" s="757">
        <v>0</v>
      </c>
      <c r="T9" s="757">
        <v>0</v>
      </c>
      <c r="U9" s="757">
        <v>0</v>
      </c>
      <c r="V9" s="757">
        <v>0</v>
      </c>
      <c r="W9" s="757">
        <v>0</v>
      </c>
      <c r="X9" s="757">
        <v>0</v>
      </c>
      <c r="Y9" s="757">
        <v>0</v>
      </c>
      <c r="Z9" s="757">
        <v>0</v>
      </c>
      <c r="AA9" s="757">
        <v>0</v>
      </c>
      <c r="AB9" s="754">
        <v>0</v>
      </c>
      <c r="AC9" s="754">
        <v>0</v>
      </c>
      <c r="AD9" s="754">
        <v>0</v>
      </c>
      <c r="AE9" s="754">
        <v>0</v>
      </c>
      <c r="AF9" s="754">
        <v>0</v>
      </c>
      <c r="AG9" s="754">
        <v>0</v>
      </c>
      <c r="AH9" s="754">
        <v>0</v>
      </c>
      <c r="AI9" s="754">
        <v>0</v>
      </c>
      <c r="AJ9" s="754">
        <v>0</v>
      </c>
      <c r="AK9" s="754">
        <v>0</v>
      </c>
      <c r="AL9" s="754">
        <v>0</v>
      </c>
      <c r="AM9" s="754">
        <v>0</v>
      </c>
      <c r="AN9" s="754">
        <v>0</v>
      </c>
      <c r="AO9" s="754">
        <v>0</v>
      </c>
      <c r="AP9" s="754">
        <v>0</v>
      </c>
      <c r="AQ9" s="754">
        <v>0</v>
      </c>
      <c r="AR9" s="754">
        <v>0</v>
      </c>
      <c r="AS9" s="754">
        <v>0</v>
      </c>
      <c r="AT9" s="754">
        <v>0</v>
      </c>
      <c r="AU9" s="754">
        <v>0</v>
      </c>
      <c r="AV9" s="750"/>
      <c r="AW9" s="750"/>
      <c r="AX9" s="749"/>
      <c r="AY9" s="749"/>
      <c r="AZ9" s="749"/>
      <c r="BA9" s="749"/>
    </row>
    <row r="10" spans="1:53" ht="15" x14ac:dyDescent="0.25">
      <c r="A10" s="751">
        <v>2007</v>
      </c>
      <c r="B10" s="762" t="s">
        <v>6</v>
      </c>
      <c r="C10" s="757">
        <v>0</v>
      </c>
      <c r="D10" s="754">
        <v>756950.17010434438</v>
      </c>
      <c r="E10" s="754">
        <v>418364.6263987862</v>
      </c>
      <c r="F10" s="754">
        <v>376089.46273079357</v>
      </c>
      <c r="G10" s="754">
        <v>376089.46273079357</v>
      </c>
      <c r="H10" s="754">
        <v>376089.46273079357</v>
      </c>
      <c r="I10" s="754">
        <v>365748.74444129132</v>
      </c>
      <c r="J10" s="754">
        <v>365748.74444129132</v>
      </c>
      <c r="K10" s="754">
        <v>365748.74444129132</v>
      </c>
      <c r="L10" s="754">
        <v>132422.644114222</v>
      </c>
      <c r="M10" s="754">
        <v>97627.029535485461</v>
      </c>
      <c r="N10" s="754">
        <v>59441.067205221923</v>
      </c>
      <c r="O10" s="754">
        <v>59441.067205221923</v>
      </c>
      <c r="P10" s="754">
        <v>59441.067205221923</v>
      </c>
      <c r="Q10" s="754">
        <v>59441.067205221923</v>
      </c>
      <c r="R10" s="754">
        <v>43088.533921069306</v>
      </c>
      <c r="S10" s="754">
        <v>6493.3256840177728</v>
      </c>
      <c r="T10" s="754">
        <v>5310.1301409935213</v>
      </c>
      <c r="U10" s="754">
        <v>5310.1301409935213</v>
      </c>
      <c r="V10" s="754">
        <v>0</v>
      </c>
      <c r="W10" s="754">
        <v>0</v>
      </c>
      <c r="X10" s="754">
        <v>0</v>
      </c>
      <c r="Y10" s="754">
        <v>0</v>
      </c>
      <c r="Z10" s="754">
        <v>0</v>
      </c>
      <c r="AA10" s="754">
        <v>0</v>
      </c>
      <c r="AB10" s="754">
        <v>0</v>
      </c>
      <c r="AC10" s="754">
        <v>0</v>
      </c>
      <c r="AD10" s="754">
        <v>0</v>
      </c>
      <c r="AE10" s="754">
        <v>0</v>
      </c>
      <c r="AF10" s="754">
        <v>0</v>
      </c>
      <c r="AG10" s="754">
        <v>0</v>
      </c>
      <c r="AH10" s="754">
        <v>0</v>
      </c>
      <c r="AI10" s="754">
        <v>0</v>
      </c>
      <c r="AJ10" s="754">
        <v>0</v>
      </c>
      <c r="AK10" s="754">
        <v>0</v>
      </c>
      <c r="AL10" s="754">
        <v>0</v>
      </c>
      <c r="AM10" s="754">
        <v>0</v>
      </c>
      <c r="AN10" s="754">
        <v>0</v>
      </c>
      <c r="AO10" s="754">
        <v>0</v>
      </c>
      <c r="AP10" s="754">
        <v>0</v>
      </c>
      <c r="AQ10" s="754">
        <v>0</v>
      </c>
      <c r="AR10" s="754">
        <v>0</v>
      </c>
      <c r="AS10" s="754">
        <v>0</v>
      </c>
      <c r="AT10" s="754">
        <v>0</v>
      </c>
      <c r="AU10" s="754">
        <v>0</v>
      </c>
      <c r="AV10" s="750"/>
      <c r="AW10" s="750"/>
      <c r="AX10" s="749"/>
      <c r="AY10" s="749"/>
      <c r="AZ10" s="749"/>
      <c r="BA10" s="749"/>
    </row>
    <row r="11" spans="1:53" ht="15" x14ac:dyDescent="0.25">
      <c r="A11" s="751">
        <v>2007</v>
      </c>
      <c r="B11" s="762" t="s">
        <v>240</v>
      </c>
      <c r="C11" s="757">
        <v>0</v>
      </c>
      <c r="D11" s="757">
        <v>0</v>
      </c>
      <c r="E11" s="757">
        <v>0</v>
      </c>
      <c r="F11" s="757">
        <v>0</v>
      </c>
      <c r="G11" s="757">
        <v>0</v>
      </c>
      <c r="H11" s="757">
        <v>0</v>
      </c>
      <c r="I11" s="757">
        <v>0</v>
      </c>
      <c r="J11" s="757">
        <v>0</v>
      </c>
      <c r="K11" s="757">
        <v>0</v>
      </c>
      <c r="L11" s="757">
        <v>0</v>
      </c>
      <c r="M11" s="757">
        <v>0</v>
      </c>
      <c r="N11" s="757">
        <v>0</v>
      </c>
      <c r="O11" s="757">
        <v>0</v>
      </c>
      <c r="P11" s="757">
        <v>0</v>
      </c>
      <c r="Q11" s="757">
        <v>0</v>
      </c>
      <c r="R11" s="757">
        <v>0</v>
      </c>
      <c r="S11" s="757">
        <v>0</v>
      </c>
      <c r="T11" s="757">
        <v>0</v>
      </c>
      <c r="U11" s="757">
        <v>0</v>
      </c>
      <c r="V11" s="757">
        <v>0</v>
      </c>
      <c r="W11" s="757">
        <v>0</v>
      </c>
      <c r="X11" s="757">
        <v>0</v>
      </c>
      <c r="Y11" s="757">
        <v>0</v>
      </c>
      <c r="Z11" s="757">
        <v>0</v>
      </c>
      <c r="AA11" s="757">
        <v>0</v>
      </c>
      <c r="AB11" s="754">
        <v>0</v>
      </c>
      <c r="AC11" s="754">
        <v>0</v>
      </c>
      <c r="AD11" s="754">
        <v>0</v>
      </c>
      <c r="AE11" s="754">
        <v>0</v>
      </c>
      <c r="AF11" s="754">
        <v>0</v>
      </c>
      <c r="AG11" s="754">
        <v>0</v>
      </c>
      <c r="AH11" s="754">
        <v>0</v>
      </c>
      <c r="AI11" s="754">
        <v>0</v>
      </c>
      <c r="AJ11" s="754">
        <v>0</v>
      </c>
      <c r="AK11" s="754">
        <v>0</v>
      </c>
      <c r="AL11" s="754">
        <v>0</v>
      </c>
      <c r="AM11" s="754">
        <v>0</v>
      </c>
      <c r="AN11" s="754">
        <v>0</v>
      </c>
      <c r="AO11" s="754">
        <v>0</v>
      </c>
      <c r="AP11" s="754">
        <v>0</v>
      </c>
      <c r="AQ11" s="754">
        <v>0</v>
      </c>
      <c r="AR11" s="754">
        <v>0</v>
      </c>
      <c r="AS11" s="754">
        <v>0</v>
      </c>
      <c r="AT11" s="754">
        <v>0</v>
      </c>
      <c r="AU11" s="754">
        <v>0</v>
      </c>
      <c r="AV11" s="750"/>
      <c r="AW11" s="750"/>
      <c r="AX11" s="749"/>
      <c r="AY11" s="749"/>
      <c r="AZ11" s="749"/>
      <c r="BA11" s="749"/>
    </row>
    <row r="12" spans="1:53" ht="15" x14ac:dyDescent="0.25">
      <c r="A12" s="764"/>
      <c r="B12" s="761"/>
      <c r="C12" s="758">
        <f>SUM(C9:C11)</f>
        <v>0</v>
      </c>
      <c r="D12" s="758">
        <f t="shared" ref="D12:AF12" si="1">SUM(D9:D11)</f>
        <v>756950.17010434438</v>
      </c>
      <c r="E12" s="758">
        <f t="shared" si="1"/>
        <v>418364.6263987862</v>
      </c>
      <c r="F12" s="758">
        <f t="shared" si="1"/>
        <v>376089.46273079357</v>
      </c>
      <c r="G12" s="758">
        <f t="shared" si="1"/>
        <v>376089.46273079357</v>
      </c>
      <c r="H12" s="758">
        <f t="shared" si="1"/>
        <v>376089.46273079357</v>
      </c>
      <c r="I12" s="758">
        <f t="shared" si="1"/>
        <v>365748.74444129132</v>
      </c>
      <c r="J12" s="758">
        <f t="shared" si="1"/>
        <v>365748.74444129132</v>
      </c>
      <c r="K12" s="758">
        <f t="shared" si="1"/>
        <v>365748.74444129132</v>
      </c>
      <c r="L12" s="758">
        <f t="shared" si="1"/>
        <v>132422.644114222</v>
      </c>
      <c r="M12" s="758">
        <f t="shared" si="1"/>
        <v>97627.029535485461</v>
      </c>
      <c r="N12" s="758">
        <f t="shared" si="1"/>
        <v>59441.067205221923</v>
      </c>
      <c r="O12" s="758">
        <f t="shared" si="1"/>
        <v>59441.067205221923</v>
      </c>
      <c r="P12" s="758">
        <f t="shared" si="1"/>
        <v>59441.067205221923</v>
      </c>
      <c r="Q12" s="758">
        <f t="shared" si="1"/>
        <v>59441.067205221923</v>
      </c>
      <c r="R12" s="758">
        <f t="shared" si="1"/>
        <v>43088.533921069306</v>
      </c>
      <c r="S12" s="758">
        <f t="shared" si="1"/>
        <v>6493.3256840177728</v>
      </c>
      <c r="T12" s="758">
        <f t="shared" si="1"/>
        <v>5310.1301409935213</v>
      </c>
      <c r="U12" s="758">
        <f t="shared" si="1"/>
        <v>5310.1301409935213</v>
      </c>
      <c r="V12" s="758">
        <f t="shared" si="1"/>
        <v>0</v>
      </c>
      <c r="W12" s="758">
        <f t="shared" si="1"/>
        <v>0</v>
      </c>
      <c r="X12" s="758">
        <f t="shared" si="1"/>
        <v>0</v>
      </c>
      <c r="Y12" s="758">
        <f t="shared" si="1"/>
        <v>0</v>
      </c>
      <c r="Z12" s="758">
        <f t="shared" si="1"/>
        <v>0</v>
      </c>
      <c r="AA12" s="758">
        <f t="shared" si="1"/>
        <v>0</v>
      </c>
      <c r="AB12" s="758">
        <f t="shared" si="1"/>
        <v>0</v>
      </c>
      <c r="AC12" s="758">
        <f t="shared" si="1"/>
        <v>0</v>
      </c>
      <c r="AD12" s="758">
        <f t="shared" si="1"/>
        <v>0</v>
      </c>
      <c r="AE12" s="758">
        <f t="shared" si="1"/>
        <v>0</v>
      </c>
      <c r="AF12" s="758">
        <f t="shared" si="1"/>
        <v>0</v>
      </c>
      <c r="AG12" s="758">
        <v>0</v>
      </c>
      <c r="AH12" s="758">
        <v>0</v>
      </c>
      <c r="AI12" s="758">
        <v>0</v>
      </c>
      <c r="AJ12" s="758">
        <v>0</v>
      </c>
      <c r="AK12" s="758">
        <v>0</v>
      </c>
      <c r="AL12" s="758">
        <v>0</v>
      </c>
      <c r="AM12" s="758">
        <v>0</v>
      </c>
      <c r="AN12" s="758">
        <v>0</v>
      </c>
      <c r="AO12" s="758">
        <v>0</v>
      </c>
      <c r="AP12" s="758">
        <v>0</v>
      </c>
      <c r="AQ12" s="758">
        <v>0</v>
      </c>
      <c r="AR12" s="758">
        <v>0</v>
      </c>
      <c r="AS12" s="758">
        <v>0</v>
      </c>
      <c r="AT12" s="758">
        <v>0</v>
      </c>
      <c r="AU12" s="758">
        <v>0</v>
      </c>
      <c r="AV12" s="750"/>
      <c r="AW12" s="750"/>
      <c r="AX12" s="749"/>
      <c r="AY12" s="749"/>
      <c r="AZ12" s="749"/>
      <c r="BA12" s="749"/>
    </row>
    <row r="13" spans="1:53" ht="15" x14ac:dyDescent="0.25">
      <c r="A13" s="751">
        <v>2008</v>
      </c>
      <c r="B13" s="762" t="s">
        <v>239</v>
      </c>
      <c r="C13" s="757">
        <v>0</v>
      </c>
      <c r="D13" s="757">
        <v>0</v>
      </c>
      <c r="E13" s="757">
        <v>0</v>
      </c>
      <c r="F13" s="757">
        <v>0</v>
      </c>
      <c r="G13" s="757">
        <v>0</v>
      </c>
      <c r="H13" s="757">
        <v>0</v>
      </c>
      <c r="I13" s="757">
        <v>0</v>
      </c>
      <c r="J13" s="757">
        <v>0</v>
      </c>
      <c r="K13" s="757">
        <v>0</v>
      </c>
      <c r="L13" s="757">
        <v>0</v>
      </c>
      <c r="M13" s="757">
        <v>0</v>
      </c>
      <c r="N13" s="757">
        <v>0</v>
      </c>
      <c r="O13" s="757">
        <v>0</v>
      </c>
      <c r="P13" s="757">
        <v>0</v>
      </c>
      <c r="Q13" s="757">
        <v>0</v>
      </c>
      <c r="R13" s="757">
        <v>0</v>
      </c>
      <c r="S13" s="757">
        <v>0</v>
      </c>
      <c r="T13" s="757">
        <v>0</v>
      </c>
      <c r="U13" s="757">
        <v>0</v>
      </c>
      <c r="V13" s="757">
        <v>0</v>
      </c>
      <c r="W13" s="757">
        <v>0</v>
      </c>
      <c r="X13" s="757">
        <v>0</v>
      </c>
      <c r="Y13" s="757">
        <v>0</v>
      </c>
      <c r="Z13" s="757">
        <v>0</v>
      </c>
      <c r="AA13" s="757">
        <v>0</v>
      </c>
      <c r="AB13" s="754">
        <v>0</v>
      </c>
      <c r="AC13" s="754">
        <v>0</v>
      </c>
      <c r="AD13" s="754">
        <v>0</v>
      </c>
      <c r="AE13" s="754">
        <v>0</v>
      </c>
      <c r="AF13" s="754">
        <v>0</v>
      </c>
      <c r="AG13" s="754">
        <v>0</v>
      </c>
      <c r="AH13" s="754">
        <v>0</v>
      </c>
      <c r="AI13" s="754">
        <v>0</v>
      </c>
      <c r="AJ13" s="754">
        <v>0</v>
      </c>
      <c r="AK13" s="754">
        <v>0</v>
      </c>
      <c r="AL13" s="754">
        <v>0</v>
      </c>
      <c r="AM13" s="754">
        <v>0</v>
      </c>
      <c r="AN13" s="754">
        <v>0</v>
      </c>
      <c r="AO13" s="754">
        <v>0</v>
      </c>
      <c r="AP13" s="754">
        <v>0</v>
      </c>
      <c r="AQ13" s="754">
        <v>0</v>
      </c>
      <c r="AR13" s="754">
        <v>0</v>
      </c>
      <c r="AS13" s="754">
        <v>0</v>
      </c>
      <c r="AT13" s="754">
        <v>0</v>
      </c>
      <c r="AU13" s="754">
        <v>0</v>
      </c>
      <c r="AV13" s="750"/>
      <c r="AW13" s="750"/>
      <c r="AX13" s="749"/>
      <c r="AY13" s="749"/>
      <c r="AZ13" s="749"/>
      <c r="BA13" s="749"/>
    </row>
    <row r="14" spans="1:53" ht="15" x14ac:dyDescent="0.25">
      <c r="A14" s="751">
        <v>2008</v>
      </c>
      <c r="B14" s="762" t="s">
        <v>6</v>
      </c>
      <c r="C14" s="757">
        <v>0</v>
      </c>
      <c r="D14" s="757">
        <v>0</v>
      </c>
      <c r="E14" s="756">
        <v>452437.27769635577</v>
      </c>
      <c r="F14" s="756">
        <v>387503.60548779462</v>
      </c>
      <c r="G14" s="756">
        <v>387503.60548779462</v>
      </c>
      <c r="H14" s="756">
        <v>387503.60548779462</v>
      </c>
      <c r="I14" s="756">
        <v>353524.87732645002</v>
      </c>
      <c r="J14" s="756">
        <v>353418.49732645001</v>
      </c>
      <c r="K14" s="756">
        <v>318146.34289457212</v>
      </c>
      <c r="L14" s="756">
        <v>291795.05669042893</v>
      </c>
      <c r="M14" s="756">
        <v>218102.0506077582</v>
      </c>
      <c r="N14" s="756">
        <v>144179.36881318805</v>
      </c>
      <c r="O14" s="756">
        <v>124972.2209494042</v>
      </c>
      <c r="P14" s="756">
        <v>124972.2209494042</v>
      </c>
      <c r="Q14" s="756">
        <v>121595.37760901071</v>
      </c>
      <c r="R14" s="756">
        <v>119867.64005123715</v>
      </c>
      <c r="S14" s="756">
        <v>119252.03867955133</v>
      </c>
      <c r="T14" s="756">
        <v>107325.07543543041</v>
      </c>
      <c r="U14" s="756">
        <v>47360.101481503661</v>
      </c>
      <c r="V14" s="756">
        <v>47360.101481503661</v>
      </c>
      <c r="W14" s="756">
        <v>12022.127807379362</v>
      </c>
      <c r="X14" s="756">
        <v>12022.127807379362</v>
      </c>
      <c r="Y14" s="756">
        <v>0</v>
      </c>
      <c r="Z14" s="756">
        <v>0</v>
      </c>
      <c r="AA14" s="756">
        <v>0</v>
      </c>
      <c r="AB14" s="756">
        <v>0</v>
      </c>
      <c r="AC14" s="756">
        <v>0</v>
      </c>
      <c r="AD14" s="756">
        <v>0</v>
      </c>
      <c r="AE14" s="756">
        <v>0</v>
      </c>
      <c r="AF14" s="756">
        <v>0</v>
      </c>
      <c r="AG14" s="756">
        <v>0</v>
      </c>
      <c r="AH14" s="756">
        <v>0</v>
      </c>
      <c r="AI14" s="756">
        <v>0</v>
      </c>
      <c r="AJ14" s="756">
        <v>0</v>
      </c>
      <c r="AK14" s="756">
        <v>0</v>
      </c>
      <c r="AL14" s="756">
        <v>0</v>
      </c>
      <c r="AM14" s="756">
        <v>0</v>
      </c>
      <c r="AN14" s="756">
        <v>0</v>
      </c>
      <c r="AO14" s="756">
        <v>0</v>
      </c>
      <c r="AP14" s="756">
        <v>0</v>
      </c>
      <c r="AQ14" s="756">
        <v>0</v>
      </c>
      <c r="AR14" s="756">
        <v>0</v>
      </c>
      <c r="AS14" s="756">
        <v>0</v>
      </c>
      <c r="AT14" s="756">
        <v>0</v>
      </c>
      <c r="AU14" s="756">
        <v>0</v>
      </c>
      <c r="AV14" s="750"/>
      <c r="AW14" s="750"/>
      <c r="AX14" s="749"/>
      <c r="AY14" s="749"/>
      <c r="AZ14" s="749"/>
      <c r="BA14" s="749"/>
    </row>
    <row r="15" spans="1:53" ht="15" x14ac:dyDescent="0.25">
      <c r="A15" s="751">
        <v>2008</v>
      </c>
      <c r="B15" s="762" t="s">
        <v>240</v>
      </c>
      <c r="C15" s="757">
        <v>0</v>
      </c>
      <c r="D15" s="757">
        <v>0</v>
      </c>
      <c r="E15" s="757">
        <v>0</v>
      </c>
      <c r="F15" s="757">
        <v>0</v>
      </c>
      <c r="G15" s="757">
        <v>0</v>
      </c>
      <c r="H15" s="757">
        <v>0</v>
      </c>
      <c r="I15" s="757">
        <v>0</v>
      </c>
      <c r="J15" s="757">
        <v>0</v>
      </c>
      <c r="K15" s="757">
        <v>0</v>
      </c>
      <c r="L15" s="757">
        <v>0</v>
      </c>
      <c r="M15" s="757">
        <v>0</v>
      </c>
      <c r="N15" s="757">
        <v>0</v>
      </c>
      <c r="O15" s="757">
        <v>0</v>
      </c>
      <c r="P15" s="757">
        <v>0</v>
      </c>
      <c r="Q15" s="757">
        <v>0</v>
      </c>
      <c r="R15" s="757">
        <v>0</v>
      </c>
      <c r="S15" s="757">
        <v>0</v>
      </c>
      <c r="T15" s="757">
        <v>0</v>
      </c>
      <c r="U15" s="757">
        <v>0</v>
      </c>
      <c r="V15" s="757">
        <v>0</v>
      </c>
      <c r="W15" s="757">
        <v>0</v>
      </c>
      <c r="X15" s="757">
        <v>0</v>
      </c>
      <c r="Y15" s="757">
        <v>0</v>
      </c>
      <c r="Z15" s="757">
        <v>0</v>
      </c>
      <c r="AA15" s="757">
        <v>0</v>
      </c>
      <c r="AB15" s="754">
        <v>0</v>
      </c>
      <c r="AC15" s="754">
        <v>0</v>
      </c>
      <c r="AD15" s="754">
        <v>0</v>
      </c>
      <c r="AE15" s="754">
        <v>0</v>
      </c>
      <c r="AF15" s="754">
        <v>0</v>
      </c>
      <c r="AG15" s="754">
        <v>0</v>
      </c>
      <c r="AH15" s="754">
        <v>0</v>
      </c>
      <c r="AI15" s="754">
        <v>0</v>
      </c>
      <c r="AJ15" s="754">
        <v>0</v>
      </c>
      <c r="AK15" s="754">
        <v>0</v>
      </c>
      <c r="AL15" s="754">
        <v>0</v>
      </c>
      <c r="AM15" s="754">
        <v>0</v>
      </c>
      <c r="AN15" s="754">
        <v>0</v>
      </c>
      <c r="AO15" s="754">
        <v>0</v>
      </c>
      <c r="AP15" s="754">
        <v>0</v>
      </c>
      <c r="AQ15" s="754">
        <v>0</v>
      </c>
      <c r="AR15" s="754">
        <v>0</v>
      </c>
      <c r="AS15" s="754">
        <v>0</v>
      </c>
      <c r="AT15" s="754">
        <v>0</v>
      </c>
      <c r="AU15" s="754">
        <v>0</v>
      </c>
      <c r="AV15" s="750"/>
      <c r="AW15" s="750"/>
      <c r="AX15" s="749"/>
      <c r="AY15" s="749"/>
      <c r="AZ15" s="749"/>
      <c r="BA15" s="749"/>
    </row>
    <row r="16" spans="1:53" ht="15" x14ac:dyDescent="0.25">
      <c r="A16" s="764"/>
      <c r="B16" s="761"/>
      <c r="C16" s="758">
        <f>SUM(C13:C15)</f>
        <v>0</v>
      </c>
      <c r="D16" s="758">
        <f t="shared" ref="D16:AF16" si="2">SUM(D13:D15)</f>
        <v>0</v>
      </c>
      <c r="E16" s="758">
        <f t="shared" si="2"/>
        <v>452437.27769635577</v>
      </c>
      <c r="F16" s="758">
        <f t="shared" si="2"/>
        <v>387503.60548779462</v>
      </c>
      <c r="G16" s="758">
        <f t="shared" si="2"/>
        <v>387503.60548779462</v>
      </c>
      <c r="H16" s="758">
        <f t="shared" si="2"/>
        <v>387503.60548779462</v>
      </c>
      <c r="I16" s="758">
        <f t="shared" si="2"/>
        <v>353524.87732645002</v>
      </c>
      <c r="J16" s="758">
        <f t="shared" si="2"/>
        <v>353418.49732645001</v>
      </c>
      <c r="K16" s="758">
        <f t="shared" si="2"/>
        <v>318146.34289457212</v>
      </c>
      <c r="L16" s="758">
        <f t="shared" si="2"/>
        <v>291795.05669042893</v>
      </c>
      <c r="M16" s="758">
        <f t="shared" si="2"/>
        <v>218102.0506077582</v>
      </c>
      <c r="N16" s="758">
        <f t="shared" si="2"/>
        <v>144179.36881318805</v>
      </c>
      <c r="O16" s="758">
        <f t="shared" si="2"/>
        <v>124972.2209494042</v>
      </c>
      <c r="P16" s="758">
        <f t="shared" si="2"/>
        <v>124972.2209494042</v>
      </c>
      <c r="Q16" s="758">
        <f t="shared" si="2"/>
        <v>121595.37760901071</v>
      </c>
      <c r="R16" s="758">
        <f t="shared" si="2"/>
        <v>119867.64005123715</v>
      </c>
      <c r="S16" s="758">
        <f t="shared" si="2"/>
        <v>119252.03867955133</v>
      </c>
      <c r="T16" s="758">
        <f t="shared" si="2"/>
        <v>107325.07543543041</v>
      </c>
      <c r="U16" s="758">
        <f t="shared" si="2"/>
        <v>47360.101481503661</v>
      </c>
      <c r="V16" s="758">
        <f t="shared" si="2"/>
        <v>47360.101481503661</v>
      </c>
      <c r="W16" s="758">
        <f t="shared" si="2"/>
        <v>12022.127807379362</v>
      </c>
      <c r="X16" s="758">
        <f t="shared" si="2"/>
        <v>12022.127807379362</v>
      </c>
      <c r="Y16" s="758">
        <f t="shared" si="2"/>
        <v>0</v>
      </c>
      <c r="Z16" s="758">
        <f t="shared" si="2"/>
        <v>0</v>
      </c>
      <c r="AA16" s="758">
        <f t="shared" si="2"/>
        <v>0</v>
      </c>
      <c r="AB16" s="758">
        <f t="shared" si="2"/>
        <v>0</v>
      </c>
      <c r="AC16" s="758">
        <f t="shared" si="2"/>
        <v>0</v>
      </c>
      <c r="AD16" s="758">
        <f t="shared" si="2"/>
        <v>0</v>
      </c>
      <c r="AE16" s="758">
        <f t="shared" si="2"/>
        <v>0</v>
      </c>
      <c r="AF16" s="758">
        <f t="shared" si="2"/>
        <v>0</v>
      </c>
      <c r="AG16" s="758">
        <v>0</v>
      </c>
      <c r="AH16" s="758">
        <v>0</v>
      </c>
      <c r="AI16" s="758">
        <v>0</v>
      </c>
      <c r="AJ16" s="758">
        <v>0</v>
      </c>
      <c r="AK16" s="758">
        <v>0</v>
      </c>
      <c r="AL16" s="758">
        <v>0</v>
      </c>
      <c r="AM16" s="758">
        <v>0</v>
      </c>
      <c r="AN16" s="758">
        <v>0</v>
      </c>
      <c r="AO16" s="758">
        <v>0</v>
      </c>
      <c r="AP16" s="758">
        <v>0</v>
      </c>
      <c r="AQ16" s="758">
        <v>0</v>
      </c>
      <c r="AR16" s="758">
        <v>0</v>
      </c>
      <c r="AS16" s="758">
        <v>0</v>
      </c>
      <c r="AT16" s="758">
        <v>0</v>
      </c>
      <c r="AU16" s="758">
        <v>0</v>
      </c>
      <c r="AV16" s="750"/>
      <c r="AW16" s="750"/>
      <c r="AX16" s="749"/>
      <c r="AY16" s="749"/>
      <c r="AZ16" s="749"/>
      <c r="BA16" s="749"/>
    </row>
    <row r="17" spans="1:53" ht="15" x14ac:dyDescent="0.25">
      <c r="A17" s="751">
        <v>2009</v>
      </c>
      <c r="B17" s="762" t="s">
        <v>239</v>
      </c>
      <c r="C17" s="757">
        <v>0</v>
      </c>
      <c r="D17" s="757">
        <v>0</v>
      </c>
      <c r="E17" s="757">
        <v>0</v>
      </c>
      <c r="F17" s="756">
        <v>476414.92224623403</v>
      </c>
      <c r="G17" s="756">
        <v>446160.25089603936</v>
      </c>
      <c r="H17" s="756">
        <v>446160.25089603936</v>
      </c>
      <c r="I17" s="756">
        <v>446160.25089603936</v>
      </c>
      <c r="J17" s="756">
        <v>446160.25089603936</v>
      </c>
      <c r="K17" s="756">
        <v>446160.25089603936</v>
      </c>
      <c r="L17" s="756">
        <v>446160.25089603936</v>
      </c>
      <c r="M17" s="756">
        <v>446160.25089603936</v>
      </c>
      <c r="N17" s="756">
        <v>252704.85788229242</v>
      </c>
      <c r="O17" s="756">
        <v>3249.2195224079187</v>
      </c>
      <c r="P17" s="756">
        <v>3249.2195224079187</v>
      </c>
      <c r="Q17" s="756">
        <v>3249.2195224079187</v>
      </c>
      <c r="R17" s="756">
        <v>3249.2195224079187</v>
      </c>
      <c r="S17" s="756">
        <v>3249.2195224079187</v>
      </c>
      <c r="T17" s="756">
        <v>3249.2195224079187</v>
      </c>
      <c r="U17" s="756">
        <v>3249.2195224079187</v>
      </c>
      <c r="V17" s="756">
        <v>3249.2195224079187</v>
      </c>
      <c r="W17" s="756">
        <v>3249.2195224079187</v>
      </c>
      <c r="X17" s="756">
        <v>3249.2195224079187</v>
      </c>
      <c r="Y17" s="756">
        <v>3249.2195224079187</v>
      </c>
      <c r="Z17" s="756">
        <v>0</v>
      </c>
      <c r="AA17" s="756">
        <v>0</v>
      </c>
      <c r="AB17" s="756">
        <v>0</v>
      </c>
      <c r="AC17" s="756">
        <v>0</v>
      </c>
      <c r="AD17" s="756">
        <v>0</v>
      </c>
      <c r="AE17" s="756">
        <v>0</v>
      </c>
      <c r="AF17" s="756">
        <v>0</v>
      </c>
      <c r="AG17" s="756">
        <v>0</v>
      </c>
      <c r="AH17" s="756">
        <v>0</v>
      </c>
      <c r="AI17" s="756">
        <v>0</v>
      </c>
      <c r="AJ17" s="756">
        <v>0</v>
      </c>
      <c r="AK17" s="756">
        <v>0</v>
      </c>
      <c r="AL17" s="756">
        <v>0</v>
      </c>
      <c r="AM17" s="756">
        <v>0</v>
      </c>
      <c r="AN17" s="756">
        <v>0</v>
      </c>
      <c r="AO17" s="756">
        <v>0</v>
      </c>
      <c r="AP17" s="756">
        <v>0</v>
      </c>
      <c r="AQ17" s="756">
        <v>0</v>
      </c>
      <c r="AR17" s="756">
        <v>0</v>
      </c>
      <c r="AS17" s="756">
        <v>0</v>
      </c>
      <c r="AT17" s="756">
        <v>0</v>
      </c>
      <c r="AU17" s="756">
        <v>0</v>
      </c>
      <c r="AV17" s="750"/>
      <c r="AW17" s="750"/>
      <c r="AX17" s="749"/>
      <c r="AY17" s="749"/>
      <c r="AZ17" s="749"/>
      <c r="BA17" s="749"/>
    </row>
    <row r="18" spans="1:53" ht="15" x14ac:dyDescent="0.25">
      <c r="A18" s="751">
        <v>2009</v>
      </c>
      <c r="B18" s="762" t="s">
        <v>6</v>
      </c>
      <c r="C18" s="757">
        <v>0</v>
      </c>
      <c r="D18" s="757">
        <v>0</v>
      </c>
      <c r="E18" s="757">
        <v>0</v>
      </c>
      <c r="F18" s="756">
        <v>216639.55504968471</v>
      </c>
      <c r="G18" s="756">
        <v>213110.57093564054</v>
      </c>
      <c r="H18" s="756">
        <v>213110.57093564054</v>
      </c>
      <c r="I18" s="756">
        <v>212120.44479368522</v>
      </c>
      <c r="J18" s="756">
        <v>197496.43238849312</v>
      </c>
      <c r="K18" s="756">
        <v>125965.62739318665</v>
      </c>
      <c r="L18" s="756">
        <v>110111.86695395898</v>
      </c>
      <c r="M18" s="756">
        <v>109765.94927866953</v>
      </c>
      <c r="N18" s="756">
        <v>87573.345608496005</v>
      </c>
      <c r="O18" s="756">
        <v>87573.345608496005</v>
      </c>
      <c r="P18" s="756">
        <v>75641.93680002389</v>
      </c>
      <c r="Q18" s="756">
        <v>75620.61124968293</v>
      </c>
      <c r="R18" s="756">
        <v>67092.564167255012</v>
      </c>
      <c r="S18" s="756">
        <v>67092.564167255012</v>
      </c>
      <c r="T18" s="756">
        <v>65877.301694605369</v>
      </c>
      <c r="U18" s="756">
        <v>55802.684031488672</v>
      </c>
      <c r="V18" s="756">
        <v>49551.006434251307</v>
      </c>
      <c r="W18" s="756">
        <v>48308.736806003872</v>
      </c>
      <c r="X18" s="756">
        <v>40793.582096967344</v>
      </c>
      <c r="Y18" s="756">
        <v>2135.7111439180885</v>
      </c>
      <c r="Z18" s="756">
        <v>0</v>
      </c>
      <c r="AA18" s="756">
        <v>0</v>
      </c>
      <c r="AB18" s="756">
        <v>0</v>
      </c>
      <c r="AC18" s="756">
        <v>0</v>
      </c>
      <c r="AD18" s="756">
        <v>0</v>
      </c>
      <c r="AE18" s="756">
        <v>0</v>
      </c>
      <c r="AF18" s="756">
        <v>0</v>
      </c>
      <c r="AG18" s="756">
        <v>0</v>
      </c>
      <c r="AH18" s="756">
        <v>0</v>
      </c>
      <c r="AI18" s="756">
        <v>0</v>
      </c>
      <c r="AJ18" s="756">
        <v>0</v>
      </c>
      <c r="AK18" s="756">
        <v>0</v>
      </c>
      <c r="AL18" s="756">
        <v>0</v>
      </c>
      <c r="AM18" s="756">
        <v>0</v>
      </c>
      <c r="AN18" s="756">
        <v>0</v>
      </c>
      <c r="AO18" s="756">
        <v>0</v>
      </c>
      <c r="AP18" s="756">
        <v>0</v>
      </c>
      <c r="AQ18" s="756">
        <v>0</v>
      </c>
      <c r="AR18" s="756">
        <v>0</v>
      </c>
      <c r="AS18" s="756">
        <v>0</v>
      </c>
      <c r="AT18" s="756">
        <v>0</v>
      </c>
      <c r="AU18" s="756">
        <v>0</v>
      </c>
      <c r="AV18" s="750"/>
      <c r="AW18" s="750"/>
      <c r="AX18" s="749"/>
      <c r="AY18" s="749"/>
      <c r="AZ18" s="749"/>
      <c r="BA18" s="749"/>
    </row>
    <row r="19" spans="1:53" ht="15" x14ac:dyDescent="0.25">
      <c r="A19" s="751">
        <v>2009</v>
      </c>
      <c r="B19" s="762" t="s">
        <v>240</v>
      </c>
      <c r="C19" s="757">
        <v>0</v>
      </c>
      <c r="D19" s="757">
        <v>0</v>
      </c>
      <c r="E19" s="757">
        <v>0</v>
      </c>
      <c r="F19" s="757">
        <v>0</v>
      </c>
      <c r="G19" s="757">
        <v>0</v>
      </c>
      <c r="H19" s="757">
        <v>0</v>
      </c>
      <c r="I19" s="757">
        <v>0</v>
      </c>
      <c r="J19" s="757">
        <v>0</v>
      </c>
      <c r="K19" s="757">
        <v>0</v>
      </c>
      <c r="L19" s="757">
        <v>0</v>
      </c>
      <c r="M19" s="757">
        <v>0</v>
      </c>
      <c r="N19" s="757">
        <v>0</v>
      </c>
      <c r="O19" s="757">
        <v>0</v>
      </c>
      <c r="P19" s="757">
        <v>0</v>
      </c>
      <c r="Q19" s="757">
        <v>0</v>
      </c>
      <c r="R19" s="757">
        <v>0</v>
      </c>
      <c r="S19" s="757">
        <v>0</v>
      </c>
      <c r="T19" s="757">
        <v>0</v>
      </c>
      <c r="U19" s="757">
        <v>0</v>
      </c>
      <c r="V19" s="757">
        <v>0</v>
      </c>
      <c r="W19" s="757">
        <v>0</v>
      </c>
      <c r="X19" s="757">
        <v>0</v>
      </c>
      <c r="Y19" s="757">
        <v>0</v>
      </c>
      <c r="Z19" s="757">
        <v>0</v>
      </c>
      <c r="AA19" s="757">
        <v>0</v>
      </c>
      <c r="AB19" s="757">
        <v>0</v>
      </c>
      <c r="AC19" s="757">
        <v>0</v>
      </c>
      <c r="AD19" s="757">
        <v>0</v>
      </c>
      <c r="AE19" s="757">
        <v>0</v>
      </c>
      <c r="AF19" s="757">
        <v>0</v>
      </c>
      <c r="AG19" s="757">
        <v>0</v>
      </c>
      <c r="AH19" s="757">
        <v>0</v>
      </c>
      <c r="AI19" s="757">
        <v>0</v>
      </c>
      <c r="AJ19" s="757">
        <v>0</v>
      </c>
      <c r="AK19" s="757">
        <v>0</v>
      </c>
      <c r="AL19" s="757">
        <v>0</v>
      </c>
      <c r="AM19" s="757">
        <v>0</v>
      </c>
      <c r="AN19" s="757">
        <v>0</v>
      </c>
      <c r="AO19" s="757">
        <v>0</v>
      </c>
      <c r="AP19" s="757">
        <v>0</v>
      </c>
      <c r="AQ19" s="757">
        <v>0</v>
      </c>
      <c r="AR19" s="757">
        <v>0</v>
      </c>
      <c r="AS19" s="757">
        <v>0</v>
      </c>
      <c r="AT19" s="757">
        <v>0</v>
      </c>
      <c r="AU19" s="757">
        <v>0</v>
      </c>
      <c r="AV19" s="750"/>
      <c r="AW19" s="750"/>
      <c r="AX19" s="749"/>
      <c r="AY19" s="749"/>
      <c r="AZ19" s="749"/>
      <c r="BA19" s="749"/>
    </row>
    <row r="20" spans="1:53" ht="15" x14ac:dyDescent="0.25">
      <c r="A20" s="764"/>
      <c r="B20" s="761"/>
      <c r="C20" s="758">
        <f>SUM(C17:C19)</f>
        <v>0</v>
      </c>
      <c r="D20" s="758">
        <f t="shared" ref="D20:AF20" si="3">SUM(D17:D19)</f>
        <v>0</v>
      </c>
      <c r="E20" s="758">
        <f t="shared" si="3"/>
        <v>0</v>
      </c>
      <c r="F20" s="758">
        <f t="shared" si="3"/>
        <v>693054.47729591874</v>
      </c>
      <c r="G20" s="758">
        <f t="shared" si="3"/>
        <v>659270.8218316799</v>
      </c>
      <c r="H20" s="758">
        <f t="shared" si="3"/>
        <v>659270.8218316799</v>
      </c>
      <c r="I20" s="758">
        <f t="shared" si="3"/>
        <v>658280.69568972453</v>
      </c>
      <c r="J20" s="758">
        <f t="shared" si="3"/>
        <v>643656.68328453251</v>
      </c>
      <c r="K20" s="758">
        <f t="shared" si="3"/>
        <v>572125.87828922598</v>
      </c>
      <c r="L20" s="758">
        <f t="shared" si="3"/>
        <v>556272.11784999829</v>
      </c>
      <c r="M20" s="758">
        <f t="shared" si="3"/>
        <v>555926.20017470885</v>
      </c>
      <c r="N20" s="758">
        <f t="shared" si="3"/>
        <v>340278.20349078841</v>
      </c>
      <c r="O20" s="758">
        <f t="shared" si="3"/>
        <v>90822.565130903924</v>
      </c>
      <c r="P20" s="758">
        <f t="shared" si="3"/>
        <v>78891.156322431809</v>
      </c>
      <c r="Q20" s="758">
        <f t="shared" si="3"/>
        <v>78869.830772090849</v>
      </c>
      <c r="R20" s="758">
        <f t="shared" si="3"/>
        <v>70341.783689662931</v>
      </c>
      <c r="S20" s="758">
        <f t="shared" si="3"/>
        <v>70341.783689662931</v>
      </c>
      <c r="T20" s="758">
        <f t="shared" si="3"/>
        <v>69126.521217013287</v>
      </c>
      <c r="U20" s="758">
        <f t="shared" si="3"/>
        <v>59051.903553896591</v>
      </c>
      <c r="V20" s="758">
        <f t="shared" si="3"/>
        <v>52800.225956659226</v>
      </c>
      <c r="W20" s="758">
        <f t="shared" si="3"/>
        <v>51557.95632841179</v>
      </c>
      <c r="X20" s="758">
        <f t="shared" si="3"/>
        <v>44042.801619375263</v>
      </c>
      <c r="Y20" s="758">
        <f t="shared" si="3"/>
        <v>5384.9306663260068</v>
      </c>
      <c r="Z20" s="758">
        <f t="shared" si="3"/>
        <v>0</v>
      </c>
      <c r="AA20" s="758">
        <f t="shared" si="3"/>
        <v>0</v>
      </c>
      <c r="AB20" s="758">
        <f t="shared" si="3"/>
        <v>0</v>
      </c>
      <c r="AC20" s="758">
        <f t="shared" si="3"/>
        <v>0</v>
      </c>
      <c r="AD20" s="758">
        <f t="shared" si="3"/>
        <v>0</v>
      </c>
      <c r="AE20" s="758">
        <f t="shared" si="3"/>
        <v>0</v>
      </c>
      <c r="AF20" s="758">
        <f t="shared" si="3"/>
        <v>0</v>
      </c>
      <c r="AG20" s="758">
        <v>0</v>
      </c>
      <c r="AH20" s="758">
        <v>0</v>
      </c>
      <c r="AI20" s="758">
        <v>0</v>
      </c>
      <c r="AJ20" s="758">
        <v>0</v>
      </c>
      <c r="AK20" s="758">
        <v>0</v>
      </c>
      <c r="AL20" s="758">
        <v>0</v>
      </c>
      <c r="AM20" s="758">
        <v>0</v>
      </c>
      <c r="AN20" s="758">
        <v>0</v>
      </c>
      <c r="AO20" s="758">
        <v>0</v>
      </c>
      <c r="AP20" s="758">
        <v>0</v>
      </c>
      <c r="AQ20" s="758">
        <v>0</v>
      </c>
      <c r="AR20" s="758">
        <v>0</v>
      </c>
      <c r="AS20" s="758">
        <v>0</v>
      </c>
      <c r="AT20" s="758">
        <v>0</v>
      </c>
      <c r="AU20" s="758">
        <v>0</v>
      </c>
      <c r="AV20" s="750"/>
      <c r="AW20" s="750"/>
      <c r="AX20" s="749"/>
      <c r="AY20" s="749"/>
      <c r="AZ20" s="749"/>
      <c r="BA20" s="749"/>
    </row>
    <row r="21" spans="1:53" ht="15" x14ac:dyDescent="0.25">
      <c r="A21" s="751">
        <v>2010</v>
      </c>
      <c r="B21" s="762" t="s">
        <v>239</v>
      </c>
      <c r="C21" s="757">
        <v>0</v>
      </c>
      <c r="D21" s="757">
        <v>0</v>
      </c>
      <c r="E21" s="757">
        <v>0</v>
      </c>
      <c r="F21" s="757">
        <v>0</v>
      </c>
      <c r="G21" s="756">
        <v>264363.31835940579</v>
      </c>
      <c r="H21" s="756">
        <v>187996.55926021733</v>
      </c>
      <c r="I21" s="756">
        <v>187996.55926021733</v>
      </c>
      <c r="J21" s="756">
        <v>187996.55926021733</v>
      </c>
      <c r="K21" s="756">
        <v>187996.55926021733</v>
      </c>
      <c r="L21" s="756">
        <v>187996.55926021733</v>
      </c>
      <c r="M21" s="756">
        <v>187996.55926021733</v>
      </c>
      <c r="N21" s="756">
        <v>131952.98192578179</v>
      </c>
      <c r="O21" s="756">
        <v>15605.982898972226</v>
      </c>
      <c r="P21" s="756">
        <v>15605.982898972226</v>
      </c>
      <c r="Q21" s="756">
        <v>15605.982898972226</v>
      </c>
      <c r="R21" s="756">
        <v>15605.982898972226</v>
      </c>
      <c r="S21" s="756">
        <v>15605.982898972226</v>
      </c>
      <c r="T21" s="756">
        <v>15605.982898972226</v>
      </c>
      <c r="U21" s="756">
        <v>15605.982898972226</v>
      </c>
      <c r="V21" s="756">
        <v>15605.982898972226</v>
      </c>
      <c r="W21" s="756">
        <v>15605.982898972226</v>
      </c>
      <c r="X21" s="756">
        <v>15605.982898972226</v>
      </c>
      <c r="Y21" s="756">
        <v>15605.982898972226</v>
      </c>
      <c r="Z21" s="756">
        <v>15605.982898972226</v>
      </c>
      <c r="AA21" s="756">
        <v>0</v>
      </c>
      <c r="AB21" s="756">
        <v>0</v>
      </c>
      <c r="AC21" s="756">
        <v>0</v>
      </c>
      <c r="AD21" s="756">
        <v>0</v>
      </c>
      <c r="AE21" s="756">
        <v>0</v>
      </c>
      <c r="AF21" s="756">
        <v>0</v>
      </c>
      <c r="AG21" s="756">
        <v>0</v>
      </c>
      <c r="AH21" s="756">
        <v>0</v>
      </c>
      <c r="AI21" s="756">
        <v>0</v>
      </c>
      <c r="AJ21" s="756">
        <v>0</v>
      </c>
      <c r="AK21" s="756">
        <v>0</v>
      </c>
      <c r="AL21" s="756">
        <v>0</v>
      </c>
      <c r="AM21" s="756">
        <v>0</v>
      </c>
      <c r="AN21" s="756">
        <v>0</v>
      </c>
      <c r="AO21" s="756">
        <v>0</v>
      </c>
      <c r="AP21" s="756">
        <v>0</v>
      </c>
      <c r="AQ21" s="756">
        <v>0</v>
      </c>
      <c r="AR21" s="756">
        <v>0</v>
      </c>
      <c r="AS21" s="756">
        <v>0</v>
      </c>
      <c r="AT21" s="756">
        <v>0</v>
      </c>
      <c r="AU21" s="756">
        <v>0</v>
      </c>
      <c r="AV21" s="750"/>
      <c r="AW21" s="750"/>
      <c r="AX21" s="749"/>
      <c r="AY21" s="749"/>
      <c r="AZ21" s="749"/>
      <c r="BA21" s="749"/>
    </row>
    <row r="22" spans="1:53" ht="15" x14ac:dyDescent="0.25">
      <c r="A22" s="751">
        <v>2010</v>
      </c>
      <c r="B22" s="762" t="s">
        <v>6</v>
      </c>
      <c r="C22" s="757">
        <v>0</v>
      </c>
      <c r="D22" s="757">
        <v>0</v>
      </c>
      <c r="E22" s="757">
        <v>0</v>
      </c>
      <c r="F22" s="757">
        <v>0</v>
      </c>
      <c r="G22" s="756">
        <v>151901.74676777207</v>
      </c>
      <c r="H22" s="756">
        <v>147472.27210526771</v>
      </c>
      <c r="I22" s="756">
        <v>146448.90192173922</v>
      </c>
      <c r="J22" s="756">
        <v>146446.40235597044</v>
      </c>
      <c r="K22" s="756">
        <v>134295.79949859416</v>
      </c>
      <c r="L22" s="756">
        <v>42660.949868387579</v>
      </c>
      <c r="M22" s="756">
        <v>38871.781252983652</v>
      </c>
      <c r="N22" s="756">
        <v>38871.781252983652</v>
      </c>
      <c r="O22" s="756">
        <v>38559.844762205728</v>
      </c>
      <c r="P22" s="756">
        <v>32604.547974158577</v>
      </c>
      <c r="Q22" s="756">
        <v>29500.310842432846</v>
      </c>
      <c r="R22" s="756">
        <v>29500.310842432846</v>
      </c>
      <c r="S22" s="756">
        <v>28493.736734919559</v>
      </c>
      <c r="T22" s="756">
        <v>28493.736734919559</v>
      </c>
      <c r="U22" s="756">
        <v>28493.736734919559</v>
      </c>
      <c r="V22" s="756">
        <v>24926.666780958549</v>
      </c>
      <c r="W22" s="756">
        <v>20693.3515587373</v>
      </c>
      <c r="X22" s="756">
        <v>20693.3515587373</v>
      </c>
      <c r="Y22" s="756">
        <v>19255.996588844486</v>
      </c>
      <c r="Z22" s="756">
        <v>105.92848522824184</v>
      </c>
      <c r="AA22" s="756">
        <v>0</v>
      </c>
      <c r="AB22" s="756">
        <v>0</v>
      </c>
      <c r="AC22" s="756">
        <v>0</v>
      </c>
      <c r="AD22" s="756">
        <v>0</v>
      </c>
      <c r="AE22" s="756">
        <v>0</v>
      </c>
      <c r="AF22" s="756">
        <v>0</v>
      </c>
      <c r="AG22" s="756">
        <v>0</v>
      </c>
      <c r="AH22" s="756">
        <v>0</v>
      </c>
      <c r="AI22" s="756">
        <v>0</v>
      </c>
      <c r="AJ22" s="756">
        <v>0</v>
      </c>
      <c r="AK22" s="756">
        <v>0</v>
      </c>
      <c r="AL22" s="756">
        <v>0</v>
      </c>
      <c r="AM22" s="756">
        <v>0</v>
      </c>
      <c r="AN22" s="756">
        <v>0</v>
      </c>
      <c r="AO22" s="756">
        <v>0</v>
      </c>
      <c r="AP22" s="756">
        <v>0</v>
      </c>
      <c r="AQ22" s="756">
        <v>0</v>
      </c>
      <c r="AR22" s="756">
        <v>0</v>
      </c>
      <c r="AS22" s="756">
        <v>0</v>
      </c>
      <c r="AT22" s="756">
        <v>0</v>
      </c>
      <c r="AU22" s="756">
        <v>0</v>
      </c>
      <c r="AV22" s="750"/>
      <c r="AW22" s="750"/>
      <c r="AX22" s="749"/>
      <c r="AY22" s="749"/>
      <c r="AZ22" s="749"/>
      <c r="BA22" s="749"/>
    </row>
    <row r="23" spans="1:53" ht="15" x14ac:dyDescent="0.25">
      <c r="A23" s="751">
        <v>2010</v>
      </c>
      <c r="B23" s="762" t="s">
        <v>240</v>
      </c>
      <c r="C23" s="757">
        <v>0</v>
      </c>
      <c r="D23" s="757">
        <v>0</v>
      </c>
      <c r="E23" s="757">
        <v>0</v>
      </c>
      <c r="F23" s="757">
        <v>0</v>
      </c>
      <c r="G23" s="757">
        <v>0</v>
      </c>
      <c r="H23" s="757">
        <v>0</v>
      </c>
      <c r="I23" s="757">
        <v>0</v>
      </c>
      <c r="J23" s="757">
        <v>0</v>
      </c>
      <c r="K23" s="757">
        <v>0</v>
      </c>
      <c r="L23" s="757">
        <v>0</v>
      </c>
      <c r="M23" s="757">
        <v>0</v>
      </c>
      <c r="N23" s="757">
        <v>0</v>
      </c>
      <c r="O23" s="757">
        <v>0</v>
      </c>
      <c r="P23" s="757">
        <v>0</v>
      </c>
      <c r="Q23" s="757">
        <v>0</v>
      </c>
      <c r="R23" s="757">
        <v>0</v>
      </c>
      <c r="S23" s="757">
        <v>0</v>
      </c>
      <c r="T23" s="757">
        <v>0</v>
      </c>
      <c r="U23" s="757">
        <v>0</v>
      </c>
      <c r="V23" s="757">
        <v>0</v>
      </c>
      <c r="W23" s="757">
        <v>0</v>
      </c>
      <c r="X23" s="757">
        <v>0</v>
      </c>
      <c r="Y23" s="757">
        <v>0</v>
      </c>
      <c r="Z23" s="757">
        <v>0</v>
      </c>
      <c r="AA23" s="757">
        <v>0</v>
      </c>
      <c r="AB23" s="754">
        <v>0</v>
      </c>
      <c r="AC23" s="754">
        <v>0</v>
      </c>
      <c r="AD23" s="754">
        <v>0</v>
      </c>
      <c r="AE23" s="754">
        <v>0</v>
      </c>
      <c r="AF23" s="754">
        <v>0</v>
      </c>
      <c r="AG23" s="754">
        <v>0</v>
      </c>
      <c r="AH23" s="754">
        <v>0</v>
      </c>
      <c r="AI23" s="754">
        <v>0</v>
      </c>
      <c r="AJ23" s="754">
        <v>0</v>
      </c>
      <c r="AK23" s="754">
        <v>0</v>
      </c>
      <c r="AL23" s="754">
        <v>0</v>
      </c>
      <c r="AM23" s="754">
        <v>0</v>
      </c>
      <c r="AN23" s="754">
        <v>0</v>
      </c>
      <c r="AO23" s="754">
        <v>0</v>
      </c>
      <c r="AP23" s="754">
        <v>0</v>
      </c>
      <c r="AQ23" s="754">
        <v>0</v>
      </c>
      <c r="AR23" s="754">
        <v>0</v>
      </c>
      <c r="AS23" s="754">
        <v>0</v>
      </c>
      <c r="AT23" s="754">
        <v>0</v>
      </c>
      <c r="AU23" s="754">
        <v>0</v>
      </c>
      <c r="AV23" s="750"/>
      <c r="AW23" s="750"/>
      <c r="AX23" s="749"/>
      <c r="AY23" s="749"/>
      <c r="AZ23" s="749"/>
      <c r="BA23" s="749"/>
    </row>
    <row r="24" spans="1:53" ht="15" x14ac:dyDescent="0.25">
      <c r="A24" s="764"/>
      <c r="B24" s="761"/>
      <c r="C24" s="758">
        <f>SUM(C21:C23)</f>
        <v>0</v>
      </c>
      <c r="D24" s="758">
        <f t="shared" ref="D24:AF24" si="4">SUM(D21:D23)</f>
        <v>0</v>
      </c>
      <c r="E24" s="758">
        <f t="shared" si="4"/>
        <v>0</v>
      </c>
      <c r="F24" s="758">
        <f t="shared" si="4"/>
        <v>0</v>
      </c>
      <c r="G24" s="758">
        <f t="shared" si="4"/>
        <v>416265.06512717786</v>
      </c>
      <c r="H24" s="758">
        <f t="shared" si="4"/>
        <v>335468.83136548504</v>
      </c>
      <c r="I24" s="758">
        <f t="shared" si="4"/>
        <v>334445.46118195658</v>
      </c>
      <c r="J24" s="758">
        <f t="shared" si="4"/>
        <v>334442.96161618776</v>
      </c>
      <c r="K24" s="758">
        <f t="shared" si="4"/>
        <v>322292.35875881149</v>
      </c>
      <c r="L24" s="758">
        <f t="shared" si="4"/>
        <v>230657.5091286049</v>
      </c>
      <c r="M24" s="758">
        <f t="shared" si="4"/>
        <v>226868.34051320096</v>
      </c>
      <c r="N24" s="758">
        <f t="shared" si="4"/>
        <v>170824.76317876542</v>
      </c>
      <c r="O24" s="758">
        <f t="shared" si="4"/>
        <v>54165.827661177958</v>
      </c>
      <c r="P24" s="758">
        <f t="shared" si="4"/>
        <v>48210.530873130803</v>
      </c>
      <c r="Q24" s="758">
        <f t="shared" si="4"/>
        <v>45106.293741405068</v>
      </c>
      <c r="R24" s="758">
        <f t="shared" si="4"/>
        <v>45106.293741405068</v>
      </c>
      <c r="S24" s="758">
        <f t="shared" si="4"/>
        <v>44099.719633891786</v>
      </c>
      <c r="T24" s="758">
        <f t="shared" si="4"/>
        <v>44099.719633891786</v>
      </c>
      <c r="U24" s="758">
        <f t="shared" si="4"/>
        <v>44099.719633891786</v>
      </c>
      <c r="V24" s="758">
        <f t="shared" si="4"/>
        <v>40532.649679930779</v>
      </c>
      <c r="W24" s="758">
        <f t="shared" si="4"/>
        <v>36299.334457709527</v>
      </c>
      <c r="X24" s="758">
        <f t="shared" si="4"/>
        <v>36299.334457709527</v>
      </c>
      <c r="Y24" s="758">
        <f t="shared" si="4"/>
        <v>34861.979487816716</v>
      </c>
      <c r="Z24" s="758">
        <f t="shared" si="4"/>
        <v>15711.911384200468</v>
      </c>
      <c r="AA24" s="758">
        <f t="shared" si="4"/>
        <v>0</v>
      </c>
      <c r="AB24" s="758">
        <f t="shared" si="4"/>
        <v>0</v>
      </c>
      <c r="AC24" s="758">
        <f t="shared" si="4"/>
        <v>0</v>
      </c>
      <c r="AD24" s="758">
        <f t="shared" si="4"/>
        <v>0</v>
      </c>
      <c r="AE24" s="758">
        <f t="shared" si="4"/>
        <v>0</v>
      </c>
      <c r="AF24" s="758">
        <f t="shared" si="4"/>
        <v>0</v>
      </c>
      <c r="AG24" s="758">
        <v>0</v>
      </c>
      <c r="AH24" s="758">
        <v>0</v>
      </c>
      <c r="AI24" s="758">
        <v>0</v>
      </c>
      <c r="AJ24" s="758">
        <v>0</v>
      </c>
      <c r="AK24" s="758">
        <v>0</v>
      </c>
      <c r="AL24" s="758">
        <v>0</v>
      </c>
      <c r="AM24" s="758">
        <v>0</v>
      </c>
      <c r="AN24" s="758">
        <v>0</v>
      </c>
      <c r="AO24" s="758">
        <v>0</v>
      </c>
      <c r="AP24" s="758">
        <v>0</v>
      </c>
      <c r="AQ24" s="758">
        <v>0</v>
      </c>
      <c r="AR24" s="758">
        <v>0</v>
      </c>
      <c r="AS24" s="758">
        <v>0</v>
      </c>
      <c r="AT24" s="758">
        <v>0</v>
      </c>
      <c r="AU24" s="758">
        <v>0</v>
      </c>
      <c r="AV24" s="750"/>
      <c r="AW24" s="750"/>
      <c r="AX24" s="749"/>
      <c r="AY24" s="749"/>
      <c r="AZ24" s="749"/>
      <c r="BA24" s="749"/>
    </row>
    <row r="25" spans="1:53" ht="15" x14ac:dyDescent="0.25">
      <c r="A25" s="751">
        <v>2011</v>
      </c>
      <c r="B25" s="762" t="s">
        <v>239</v>
      </c>
      <c r="C25" s="759">
        <v>0</v>
      </c>
      <c r="D25" s="759">
        <v>0</v>
      </c>
      <c r="E25" s="759">
        <v>0</v>
      </c>
      <c r="F25" s="759">
        <v>0</v>
      </c>
      <c r="G25" s="759">
        <v>0</v>
      </c>
      <c r="H25" s="1269">
        <v>110481</v>
      </c>
      <c r="I25" s="759">
        <v>110482</v>
      </c>
      <c r="J25" s="759">
        <v>110482</v>
      </c>
      <c r="K25" s="759">
        <v>30241.17582915508</v>
      </c>
      <c r="L25" s="759">
        <v>30241.17582915508</v>
      </c>
      <c r="M25" s="759">
        <v>5563.4507833642219</v>
      </c>
      <c r="N25" s="759">
        <v>5563.4507833642219</v>
      </c>
      <c r="O25" s="759">
        <v>5563.4507833642219</v>
      </c>
      <c r="P25" s="759">
        <v>5563.4507833642219</v>
      </c>
      <c r="Q25" s="759">
        <v>5563.4507833642219</v>
      </c>
      <c r="R25" s="759">
        <v>4287.0442869739691</v>
      </c>
      <c r="S25" s="759">
        <v>4287.0442869739691</v>
      </c>
      <c r="T25" s="759">
        <v>0</v>
      </c>
      <c r="U25" s="759">
        <v>0</v>
      </c>
      <c r="V25" s="759">
        <v>0</v>
      </c>
      <c r="W25" s="759">
        <v>0</v>
      </c>
      <c r="X25" s="759">
        <v>0</v>
      </c>
      <c r="Y25" s="759">
        <v>0</v>
      </c>
      <c r="Z25" s="759">
        <v>0</v>
      </c>
      <c r="AA25" s="759">
        <v>0</v>
      </c>
      <c r="AB25" s="759">
        <v>0</v>
      </c>
      <c r="AC25" s="759">
        <v>0</v>
      </c>
      <c r="AD25" s="759">
        <v>0</v>
      </c>
      <c r="AE25" s="759">
        <v>0</v>
      </c>
      <c r="AF25" s="756">
        <v>0</v>
      </c>
      <c r="AG25" s="756">
        <v>0</v>
      </c>
      <c r="AH25" s="756">
        <v>0</v>
      </c>
      <c r="AI25" s="756">
        <v>0</v>
      </c>
      <c r="AJ25" s="756">
        <v>0</v>
      </c>
      <c r="AK25" s="756">
        <v>0</v>
      </c>
      <c r="AL25" s="756">
        <v>0</v>
      </c>
      <c r="AM25" s="756">
        <v>0</v>
      </c>
      <c r="AN25" s="756">
        <v>0</v>
      </c>
      <c r="AO25" s="756">
        <v>0</v>
      </c>
      <c r="AP25" s="756">
        <v>0</v>
      </c>
      <c r="AQ25" s="756">
        <v>0</v>
      </c>
      <c r="AR25" s="756">
        <v>0</v>
      </c>
      <c r="AS25" s="756">
        <v>0</v>
      </c>
      <c r="AT25" s="756">
        <v>0</v>
      </c>
      <c r="AU25" s="756">
        <v>0</v>
      </c>
      <c r="AV25" s="750"/>
      <c r="AW25" s="750"/>
      <c r="AX25" s="749"/>
      <c r="AY25" s="749"/>
      <c r="AZ25" s="749"/>
      <c r="BA25" s="749"/>
    </row>
    <row r="26" spans="1:53" ht="15" x14ac:dyDescent="0.25">
      <c r="A26" s="751">
        <v>2011</v>
      </c>
      <c r="B26" s="762" t="s">
        <v>6</v>
      </c>
      <c r="C26" s="759">
        <v>0</v>
      </c>
      <c r="D26" s="759">
        <v>0</v>
      </c>
      <c r="E26" s="759">
        <v>0</v>
      </c>
      <c r="F26" s="759">
        <v>0</v>
      </c>
      <c r="G26" s="759">
        <v>0</v>
      </c>
      <c r="H26" s="1269">
        <v>181117</v>
      </c>
      <c r="I26" s="759">
        <v>181117</v>
      </c>
      <c r="J26" s="759">
        <v>181117</v>
      </c>
      <c r="K26" s="759">
        <v>181110.66713162526</v>
      </c>
      <c r="L26" s="759">
        <v>163527.82849955853</v>
      </c>
      <c r="M26" s="759">
        <v>124196.06481515877</v>
      </c>
      <c r="N26" s="759">
        <v>101037.11768447379</v>
      </c>
      <c r="O26" s="759">
        <v>100932.73170121938</v>
      </c>
      <c r="P26" s="759">
        <v>98152.202342163131</v>
      </c>
      <c r="Q26" s="759">
        <v>76183.547088197811</v>
      </c>
      <c r="R26" s="759">
        <v>68516.062411777079</v>
      </c>
      <c r="S26" s="759">
        <v>67928.132012197224</v>
      </c>
      <c r="T26" s="759">
        <v>67824.822310537216</v>
      </c>
      <c r="U26" s="759">
        <v>66653.439918709264</v>
      </c>
      <c r="V26" s="759">
        <v>66652.834027772886</v>
      </c>
      <c r="W26" s="759">
        <v>65934.347156229618</v>
      </c>
      <c r="X26" s="759">
        <v>55001.059639718769</v>
      </c>
      <c r="Y26" s="759">
        <v>56674.964703803373</v>
      </c>
      <c r="Z26" s="759">
        <v>64421.164004649982</v>
      </c>
      <c r="AA26" s="759">
        <v>4173.3921743132632</v>
      </c>
      <c r="AB26" s="759">
        <v>0</v>
      </c>
      <c r="AC26" s="759">
        <v>0</v>
      </c>
      <c r="AD26" s="759">
        <v>0</v>
      </c>
      <c r="AE26" s="759">
        <v>0</v>
      </c>
      <c r="AF26" s="756">
        <v>0</v>
      </c>
      <c r="AG26" s="756">
        <v>0</v>
      </c>
      <c r="AH26" s="756">
        <v>0</v>
      </c>
      <c r="AI26" s="756">
        <v>0</v>
      </c>
      <c r="AJ26" s="756">
        <v>0</v>
      </c>
      <c r="AK26" s="756">
        <v>0</v>
      </c>
      <c r="AL26" s="756">
        <v>0</v>
      </c>
      <c r="AM26" s="756">
        <v>0</v>
      </c>
      <c r="AN26" s="756">
        <v>0</v>
      </c>
      <c r="AO26" s="756">
        <v>0</v>
      </c>
      <c r="AP26" s="756">
        <v>0</v>
      </c>
      <c r="AQ26" s="756">
        <v>0</v>
      </c>
      <c r="AR26" s="756">
        <v>0</v>
      </c>
      <c r="AS26" s="756">
        <v>0</v>
      </c>
      <c r="AT26" s="756">
        <v>0</v>
      </c>
      <c r="AU26" s="756">
        <v>0</v>
      </c>
      <c r="AV26" s="750"/>
      <c r="AW26" s="750"/>
      <c r="AX26" s="749"/>
      <c r="AY26" s="749"/>
      <c r="AZ26" s="749"/>
      <c r="BA26" s="749"/>
    </row>
    <row r="27" spans="1:53" ht="15" x14ac:dyDescent="0.25">
      <c r="A27" s="751">
        <v>2011</v>
      </c>
      <c r="B27" s="762" t="s">
        <v>240</v>
      </c>
      <c r="C27" s="759">
        <v>0</v>
      </c>
      <c r="D27" s="759">
        <v>0</v>
      </c>
      <c r="E27" s="759">
        <v>0</v>
      </c>
      <c r="F27" s="759">
        <v>0</v>
      </c>
      <c r="G27" s="759">
        <v>0</v>
      </c>
      <c r="H27" s="1269">
        <v>1980</v>
      </c>
      <c r="I27" s="759">
        <v>1975.4206938935502</v>
      </c>
      <c r="J27" s="759">
        <v>1975.4206938935502</v>
      </c>
      <c r="K27" s="759">
        <v>1975.4206938935502</v>
      </c>
      <c r="L27" s="759">
        <v>1975.4206938935502</v>
      </c>
      <c r="M27" s="759">
        <v>1975.4206938935502</v>
      </c>
      <c r="N27" s="759">
        <v>1975.4206938935502</v>
      </c>
      <c r="O27" s="759">
        <v>1839.947775471094</v>
      </c>
      <c r="P27" s="759">
        <v>1839.947775471094</v>
      </c>
      <c r="Q27" s="759">
        <v>1839.947775471094</v>
      </c>
      <c r="R27" s="759">
        <v>1839.947775471094</v>
      </c>
      <c r="S27" s="759">
        <v>1839.947775471094</v>
      </c>
      <c r="T27" s="759">
        <v>45.730673868418314</v>
      </c>
      <c r="U27" s="759">
        <v>45.730673868418314</v>
      </c>
      <c r="V27" s="759">
        <v>45.730673868418314</v>
      </c>
      <c r="W27" s="759">
        <v>0</v>
      </c>
      <c r="X27" s="759">
        <v>0</v>
      </c>
      <c r="Y27" s="759">
        <v>0</v>
      </c>
      <c r="Z27" s="759">
        <v>0</v>
      </c>
      <c r="AA27" s="759">
        <v>0</v>
      </c>
      <c r="AB27" s="759">
        <v>0</v>
      </c>
      <c r="AC27" s="759">
        <v>0</v>
      </c>
      <c r="AD27" s="759">
        <v>0</v>
      </c>
      <c r="AE27" s="759">
        <v>0</v>
      </c>
      <c r="AF27" s="756">
        <v>0</v>
      </c>
      <c r="AG27" s="756">
        <v>0</v>
      </c>
      <c r="AH27" s="756">
        <v>0</v>
      </c>
      <c r="AI27" s="756">
        <v>0</v>
      </c>
      <c r="AJ27" s="756">
        <v>0</v>
      </c>
      <c r="AK27" s="756">
        <v>0</v>
      </c>
      <c r="AL27" s="756">
        <v>0</v>
      </c>
      <c r="AM27" s="756">
        <v>0</v>
      </c>
      <c r="AN27" s="756">
        <v>0</v>
      </c>
      <c r="AO27" s="756">
        <v>0</v>
      </c>
      <c r="AP27" s="756">
        <v>0</v>
      </c>
      <c r="AQ27" s="756">
        <v>0</v>
      </c>
      <c r="AR27" s="756">
        <v>0</v>
      </c>
      <c r="AS27" s="756">
        <v>0</v>
      </c>
      <c r="AT27" s="756">
        <v>0</v>
      </c>
      <c r="AU27" s="756">
        <v>0</v>
      </c>
      <c r="AV27" s="750"/>
      <c r="AW27" s="750"/>
      <c r="AX27" s="749"/>
      <c r="AY27" s="749"/>
      <c r="AZ27" s="749"/>
      <c r="BA27" s="749"/>
    </row>
    <row r="28" spans="1:53" ht="15" x14ac:dyDescent="0.25">
      <c r="A28" s="764"/>
      <c r="B28" s="761"/>
      <c r="C28" s="758">
        <f>SUM(C25:C27)</f>
        <v>0</v>
      </c>
      <c r="D28" s="758">
        <f t="shared" ref="D28:AF28" si="5">SUM(D25:D27)</f>
        <v>0</v>
      </c>
      <c r="E28" s="758">
        <f t="shared" si="5"/>
        <v>0</v>
      </c>
      <c r="F28" s="758">
        <f t="shared" si="5"/>
        <v>0</v>
      </c>
      <c r="G28" s="758">
        <f t="shared" si="5"/>
        <v>0</v>
      </c>
      <c r="H28" s="758">
        <f t="shared" si="5"/>
        <v>293578</v>
      </c>
      <c r="I28" s="758">
        <f t="shared" si="5"/>
        <v>293574.42069389357</v>
      </c>
      <c r="J28" s="758">
        <f t="shared" si="5"/>
        <v>293574.42069389357</v>
      </c>
      <c r="K28" s="758">
        <f t="shared" si="5"/>
        <v>213327.26365467388</v>
      </c>
      <c r="L28" s="758">
        <f t="shared" si="5"/>
        <v>195744.42502260715</v>
      </c>
      <c r="M28" s="758">
        <f t="shared" si="5"/>
        <v>131734.93629241653</v>
      </c>
      <c r="N28" s="758">
        <f t="shared" si="5"/>
        <v>108575.98916173157</v>
      </c>
      <c r="O28" s="758">
        <f t="shared" si="5"/>
        <v>108336.13026005471</v>
      </c>
      <c r="P28" s="758">
        <f t="shared" si="5"/>
        <v>105555.60090099846</v>
      </c>
      <c r="Q28" s="758">
        <f t="shared" si="5"/>
        <v>83586.945647033135</v>
      </c>
      <c r="R28" s="758">
        <f t="shared" si="5"/>
        <v>74643.054474222139</v>
      </c>
      <c r="S28" s="758">
        <f t="shared" si="5"/>
        <v>74055.124074642285</v>
      </c>
      <c r="T28" s="758">
        <f t="shared" si="5"/>
        <v>67870.552984405629</v>
      </c>
      <c r="U28" s="758">
        <f t="shared" si="5"/>
        <v>66699.170592577677</v>
      </c>
      <c r="V28" s="758">
        <f t="shared" si="5"/>
        <v>66698.564701641299</v>
      </c>
      <c r="W28" s="758">
        <f t="shared" si="5"/>
        <v>65934.347156229618</v>
      </c>
      <c r="X28" s="758">
        <f t="shared" si="5"/>
        <v>55001.059639718769</v>
      </c>
      <c r="Y28" s="758">
        <f t="shared" si="5"/>
        <v>56674.964703803373</v>
      </c>
      <c r="Z28" s="758">
        <f t="shared" si="5"/>
        <v>64421.164004649982</v>
      </c>
      <c r="AA28" s="758">
        <f t="shared" si="5"/>
        <v>4173.3921743132632</v>
      </c>
      <c r="AB28" s="758">
        <f t="shared" si="5"/>
        <v>0</v>
      </c>
      <c r="AC28" s="758">
        <f t="shared" si="5"/>
        <v>0</v>
      </c>
      <c r="AD28" s="758">
        <f t="shared" si="5"/>
        <v>0</v>
      </c>
      <c r="AE28" s="758">
        <f t="shared" si="5"/>
        <v>0</v>
      </c>
      <c r="AF28" s="758">
        <f t="shared" si="5"/>
        <v>0</v>
      </c>
      <c r="AG28" s="758">
        <v>0</v>
      </c>
      <c r="AH28" s="758">
        <v>0</v>
      </c>
      <c r="AI28" s="758">
        <v>0</v>
      </c>
      <c r="AJ28" s="758">
        <v>0</v>
      </c>
      <c r="AK28" s="758">
        <v>0</v>
      </c>
      <c r="AL28" s="758">
        <v>0</v>
      </c>
      <c r="AM28" s="758">
        <v>0</v>
      </c>
      <c r="AN28" s="758">
        <v>0</v>
      </c>
      <c r="AO28" s="758">
        <v>0</v>
      </c>
      <c r="AP28" s="758">
        <v>0</v>
      </c>
      <c r="AQ28" s="758">
        <v>0</v>
      </c>
      <c r="AR28" s="758">
        <v>0</v>
      </c>
      <c r="AS28" s="758">
        <v>0</v>
      </c>
      <c r="AT28" s="758">
        <v>0</v>
      </c>
      <c r="AU28" s="758">
        <v>0</v>
      </c>
      <c r="AV28" s="750"/>
      <c r="AW28" s="750"/>
      <c r="AX28" s="749"/>
      <c r="AY28" s="749"/>
      <c r="AZ28" s="749"/>
      <c r="BA28" s="749"/>
    </row>
    <row r="29" spans="1:53" ht="15" x14ac:dyDescent="0.25">
      <c r="A29" s="751">
        <v>2012</v>
      </c>
      <c r="B29" s="762" t="s">
        <v>239</v>
      </c>
      <c r="C29" s="757">
        <v>0</v>
      </c>
      <c r="D29" s="757">
        <v>0</v>
      </c>
      <c r="E29" s="757">
        <v>0</v>
      </c>
      <c r="F29" s="757">
        <v>0</v>
      </c>
      <c r="G29" s="757">
        <v>0</v>
      </c>
      <c r="H29" s="1269">
        <v>0</v>
      </c>
      <c r="I29" s="1269">
        <v>102205.4129950137</v>
      </c>
      <c r="J29" s="759">
        <v>102205.4129950137</v>
      </c>
      <c r="K29" s="759">
        <v>102205.4129950137</v>
      </c>
      <c r="L29" s="759">
        <v>27975.705228667306</v>
      </c>
      <c r="M29" s="759">
        <v>27975.705228667306</v>
      </c>
      <c r="N29" s="759">
        <v>5146.6735304499634</v>
      </c>
      <c r="O29" s="759">
        <v>5146.6735304499634</v>
      </c>
      <c r="P29" s="759">
        <v>5146.6735304499634</v>
      </c>
      <c r="Q29" s="759">
        <v>5146.6735304499634</v>
      </c>
      <c r="R29" s="759">
        <v>5146.6735304499634</v>
      </c>
      <c r="S29" s="759">
        <v>3965.8870393194247</v>
      </c>
      <c r="T29" s="759">
        <v>3965.8870393194247</v>
      </c>
      <c r="U29" s="759">
        <v>0</v>
      </c>
      <c r="V29" s="759">
        <v>0</v>
      </c>
      <c r="W29" s="759">
        <v>0</v>
      </c>
      <c r="X29" s="759">
        <v>0</v>
      </c>
      <c r="Y29" s="759">
        <v>0</v>
      </c>
      <c r="Z29" s="759">
        <v>0</v>
      </c>
      <c r="AA29" s="759">
        <v>0</v>
      </c>
      <c r="AB29" s="759">
        <v>0</v>
      </c>
      <c r="AC29" s="759">
        <v>0</v>
      </c>
      <c r="AD29" s="759">
        <v>0</v>
      </c>
      <c r="AE29" s="759">
        <v>0</v>
      </c>
      <c r="AF29" s="759">
        <v>0</v>
      </c>
      <c r="AG29" s="759">
        <v>0</v>
      </c>
      <c r="AH29" s="759">
        <v>0</v>
      </c>
      <c r="AI29" s="759">
        <v>0</v>
      </c>
      <c r="AJ29" s="759">
        <v>0</v>
      </c>
      <c r="AK29" s="759">
        <v>0</v>
      </c>
      <c r="AL29" s="756">
        <v>0</v>
      </c>
      <c r="AM29" s="756">
        <v>0</v>
      </c>
      <c r="AN29" s="756">
        <v>0</v>
      </c>
      <c r="AO29" s="756">
        <v>0</v>
      </c>
      <c r="AP29" s="756">
        <v>0</v>
      </c>
      <c r="AQ29" s="756">
        <v>0</v>
      </c>
      <c r="AR29" s="756">
        <v>0</v>
      </c>
      <c r="AS29" s="756">
        <v>0</v>
      </c>
      <c r="AT29" s="756">
        <v>0</v>
      </c>
      <c r="AU29" s="756">
        <v>0</v>
      </c>
      <c r="AV29" s="750"/>
      <c r="AW29" s="750"/>
      <c r="AX29" s="749"/>
      <c r="AY29" s="749"/>
      <c r="AZ29" s="749"/>
      <c r="BA29" s="749"/>
    </row>
    <row r="30" spans="1:53" ht="15" x14ac:dyDescent="0.25">
      <c r="A30" s="751">
        <v>2012</v>
      </c>
      <c r="B30" s="762" t="s">
        <v>6</v>
      </c>
      <c r="C30" s="757">
        <v>0</v>
      </c>
      <c r="D30" s="757">
        <v>0</v>
      </c>
      <c r="E30" s="757">
        <v>0</v>
      </c>
      <c r="F30" s="757">
        <v>0</v>
      </c>
      <c r="G30" s="757">
        <v>0</v>
      </c>
      <c r="H30" s="1269">
        <v>-4098.8885651113269</v>
      </c>
      <c r="I30" s="1269">
        <v>97825.471165497045</v>
      </c>
      <c r="J30" s="759">
        <v>97825.471165497045</v>
      </c>
      <c r="K30" s="759">
        <v>97825.471165497045</v>
      </c>
      <c r="L30" s="759">
        <v>97822.050637150242</v>
      </c>
      <c r="M30" s="759">
        <v>88325.153749454257</v>
      </c>
      <c r="N30" s="759">
        <v>67081.160561645316</v>
      </c>
      <c r="O30" s="759">
        <v>54572.478799270204</v>
      </c>
      <c r="P30" s="759">
        <v>54516.097520898016</v>
      </c>
      <c r="Q30" s="759">
        <v>53014.269450428787</v>
      </c>
      <c r="R30" s="759">
        <v>41148.491797908428</v>
      </c>
      <c r="S30" s="759">
        <v>37007.10638889057</v>
      </c>
      <c r="T30" s="759">
        <v>36689.551612964409</v>
      </c>
      <c r="U30" s="759">
        <v>36633.751659117683</v>
      </c>
      <c r="V30" s="759">
        <v>36001.060998409215</v>
      </c>
      <c r="W30" s="759">
        <v>36000.733742732904</v>
      </c>
      <c r="X30" s="759">
        <v>35612.662403571238</v>
      </c>
      <c r="Y30" s="759">
        <v>29707.341518781177</v>
      </c>
      <c r="Z30" s="759">
        <v>30611.4562710153</v>
      </c>
      <c r="AA30" s="759">
        <v>34795.357265108418</v>
      </c>
      <c r="AB30" s="759">
        <v>2254.1454187657318</v>
      </c>
      <c r="AC30" s="759">
        <v>0</v>
      </c>
      <c r="AD30" s="759">
        <v>0</v>
      </c>
      <c r="AE30" s="759">
        <v>0</v>
      </c>
      <c r="AF30" s="759">
        <v>0</v>
      </c>
      <c r="AG30" s="759">
        <v>0</v>
      </c>
      <c r="AH30" s="759">
        <v>0</v>
      </c>
      <c r="AI30" s="759">
        <v>0</v>
      </c>
      <c r="AJ30" s="759">
        <v>0</v>
      </c>
      <c r="AK30" s="759">
        <v>0</v>
      </c>
      <c r="AL30" s="756">
        <v>0</v>
      </c>
      <c r="AM30" s="756">
        <v>0</v>
      </c>
      <c r="AN30" s="756">
        <v>0</v>
      </c>
      <c r="AO30" s="756">
        <v>0</v>
      </c>
      <c r="AP30" s="756">
        <v>0</v>
      </c>
      <c r="AQ30" s="756">
        <v>0</v>
      </c>
      <c r="AR30" s="756">
        <v>0</v>
      </c>
      <c r="AS30" s="756">
        <v>0</v>
      </c>
      <c r="AT30" s="756">
        <v>0</v>
      </c>
      <c r="AU30" s="756">
        <v>0</v>
      </c>
      <c r="AV30" s="750"/>
      <c r="AW30" s="750"/>
      <c r="AX30" s="749"/>
      <c r="AY30" s="749"/>
      <c r="AZ30" s="749"/>
      <c r="BA30" s="749"/>
    </row>
    <row r="31" spans="1:53" ht="15" x14ac:dyDescent="0.25">
      <c r="A31" s="751">
        <v>2012</v>
      </c>
      <c r="B31" s="762" t="s">
        <v>240</v>
      </c>
      <c r="C31" s="757">
        <v>0</v>
      </c>
      <c r="D31" s="757">
        <v>0</v>
      </c>
      <c r="E31" s="757">
        <v>0</v>
      </c>
      <c r="F31" s="757">
        <v>0</v>
      </c>
      <c r="G31" s="757">
        <v>0</v>
      </c>
      <c r="H31" s="1269">
        <v>29112.79935564</v>
      </c>
      <c r="I31" s="1269">
        <f>425497.165008384+495.95</f>
        <v>425993.11500838399</v>
      </c>
      <c r="J31" s="759">
        <v>424513.08330838371</v>
      </c>
      <c r="K31" s="759">
        <v>424513.08330838371</v>
      </c>
      <c r="L31" s="759">
        <v>424513.08330838371</v>
      </c>
      <c r="M31" s="759">
        <v>424513.08330838371</v>
      </c>
      <c r="N31" s="759">
        <v>424513.08330838371</v>
      </c>
      <c r="O31" s="759">
        <v>424513.08330838371</v>
      </c>
      <c r="P31" s="759">
        <v>395400.28395274375</v>
      </c>
      <c r="Q31" s="759">
        <v>395400.28395274375</v>
      </c>
      <c r="R31" s="759">
        <v>395400.28395274375</v>
      </c>
      <c r="S31" s="759">
        <v>395400.28395274375</v>
      </c>
      <c r="T31" s="759">
        <v>395400.28395274375</v>
      </c>
      <c r="U31" s="759">
        <v>9827.4101439065489</v>
      </c>
      <c r="V31" s="759">
        <v>9827.4101439065489</v>
      </c>
      <c r="W31" s="759">
        <v>9827.4101439065489</v>
      </c>
      <c r="X31" s="759">
        <v>0</v>
      </c>
      <c r="Y31" s="759">
        <v>0</v>
      </c>
      <c r="Z31" s="759">
        <v>0</v>
      </c>
      <c r="AA31" s="759">
        <v>0</v>
      </c>
      <c r="AB31" s="759">
        <v>0</v>
      </c>
      <c r="AC31" s="759">
        <v>0</v>
      </c>
      <c r="AD31" s="759">
        <v>0</v>
      </c>
      <c r="AE31" s="759">
        <v>0</v>
      </c>
      <c r="AF31" s="759">
        <v>0</v>
      </c>
      <c r="AG31" s="759">
        <v>0</v>
      </c>
      <c r="AH31" s="759">
        <v>0</v>
      </c>
      <c r="AI31" s="759">
        <v>0</v>
      </c>
      <c r="AJ31" s="759">
        <v>0</v>
      </c>
      <c r="AK31" s="759">
        <v>0</v>
      </c>
      <c r="AL31" s="756">
        <v>0</v>
      </c>
      <c r="AM31" s="756">
        <v>0</v>
      </c>
      <c r="AN31" s="756">
        <v>0</v>
      </c>
      <c r="AO31" s="756">
        <v>0</v>
      </c>
      <c r="AP31" s="756">
        <v>0</v>
      </c>
      <c r="AQ31" s="756">
        <v>0</v>
      </c>
      <c r="AR31" s="756">
        <v>0</v>
      </c>
      <c r="AS31" s="756">
        <v>0</v>
      </c>
      <c r="AT31" s="756">
        <v>0</v>
      </c>
      <c r="AU31" s="756">
        <v>0</v>
      </c>
      <c r="AV31" s="750"/>
      <c r="AW31" s="750"/>
      <c r="AX31" s="749"/>
      <c r="AY31" s="749"/>
      <c r="AZ31" s="749"/>
      <c r="BA31" s="749"/>
    </row>
    <row r="32" spans="1:53" ht="15" x14ac:dyDescent="0.25">
      <c r="A32" s="764"/>
      <c r="B32" s="761"/>
      <c r="C32" s="758">
        <f>SUM(C29:C31)</f>
        <v>0</v>
      </c>
      <c r="D32" s="758">
        <f t="shared" ref="D32:AF32" si="6">SUM(D29:D31)</f>
        <v>0</v>
      </c>
      <c r="E32" s="758">
        <f t="shared" si="6"/>
        <v>0</v>
      </c>
      <c r="F32" s="758">
        <f t="shared" si="6"/>
        <v>0</v>
      </c>
      <c r="G32" s="758">
        <f t="shared" si="6"/>
        <v>0</v>
      </c>
      <c r="H32" s="758">
        <f t="shared" si="6"/>
        <v>25013.910790528673</v>
      </c>
      <c r="I32" s="758">
        <f>SUM(I29:I31)</f>
        <v>626023.99916889472</v>
      </c>
      <c r="J32" s="758">
        <f t="shared" si="6"/>
        <v>624543.96746889444</v>
      </c>
      <c r="K32" s="758">
        <f t="shared" si="6"/>
        <v>624543.96746889444</v>
      </c>
      <c r="L32" s="758">
        <f t="shared" si="6"/>
        <v>550310.83917420125</v>
      </c>
      <c r="M32" s="758">
        <f t="shared" si="6"/>
        <v>540813.94228650525</v>
      </c>
      <c r="N32" s="758">
        <f t="shared" si="6"/>
        <v>496740.91740047897</v>
      </c>
      <c r="O32" s="758">
        <f t="shared" si="6"/>
        <v>484232.23563810386</v>
      </c>
      <c r="P32" s="758">
        <f t="shared" si="6"/>
        <v>455063.0550040917</v>
      </c>
      <c r="Q32" s="758">
        <f t="shared" si="6"/>
        <v>453561.2269336225</v>
      </c>
      <c r="R32" s="758">
        <f t="shared" si="6"/>
        <v>441695.44928110216</v>
      </c>
      <c r="S32" s="758">
        <f t="shared" si="6"/>
        <v>436373.27738095372</v>
      </c>
      <c r="T32" s="758">
        <f t="shared" si="6"/>
        <v>436055.72260502761</v>
      </c>
      <c r="U32" s="758">
        <f t="shared" si="6"/>
        <v>46461.161803024232</v>
      </c>
      <c r="V32" s="758">
        <f t="shared" si="6"/>
        <v>45828.471142315764</v>
      </c>
      <c r="W32" s="758">
        <f t="shared" si="6"/>
        <v>45828.143886639453</v>
      </c>
      <c r="X32" s="758">
        <f t="shared" si="6"/>
        <v>35612.662403571238</v>
      </c>
      <c r="Y32" s="758">
        <f t="shared" si="6"/>
        <v>29707.341518781177</v>
      </c>
      <c r="Z32" s="758">
        <f t="shared" si="6"/>
        <v>30611.4562710153</v>
      </c>
      <c r="AA32" s="758">
        <f t="shared" si="6"/>
        <v>34795.357265108418</v>
      </c>
      <c r="AB32" s="758">
        <f t="shared" si="6"/>
        <v>2254.1454187657318</v>
      </c>
      <c r="AC32" s="758">
        <f t="shared" si="6"/>
        <v>0</v>
      </c>
      <c r="AD32" s="758">
        <f t="shared" si="6"/>
        <v>0</v>
      </c>
      <c r="AE32" s="758">
        <f t="shared" si="6"/>
        <v>0</v>
      </c>
      <c r="AF32" s="758">
        <f t="shared" si="6"/>
        <v>0</v>
      </c>
      <c r="AG32" s="758">
        <v>0</v>
      </c>
      <c r="AH32" s="758">
        <v>0</v>
      </c>
      <c r="AI32" s="758">
        <v>0</v>
      </c>
      <c r="AJ32" s="758">
        <v>0</v>
      </c>
      <c r="AK32" s="758">
        <v>0</v>
      </c>
      <c r="AL32" s="758">
        <v>0</v>
      </c>
      <c r="AM32" s="758">
        <v>0</v>
      </c>
      <c r="AN32" s="758">
        <v>0</v>
      </c>
      <c r="AO32" s="758">
        <v>0</v>
      </c>
      <c r="AP32" s="758">
        <v>0</v>
      </c>
      <c r="AQ32" s="758">
        <v>0</v>
      </c>
      <c r="AR32" s="758">
        <v>0</v>
      </c>
      <c r="AS32" s="758">
        <v>0</v>
      </c>
      <c r="AT32" s="758">
        <v>0</v>
      </c>
      <c r="AU32" s="758">
        <v>0</v>
      </c>
      <c r="AV32" s="750"/>
      <c r="AW32" s="750"/>
      <c r="AX32" s="749"/>
      <c r="AY32" s="749"/>
      <c r="AZ32" s="749"/>
      <c r="BA32" s="749"/>
    </row>
    <row r="33" spans="1:53" ht="15" x14ac:dyDescent="0.25">
      <c r="A33" s="775">
        <v>2013</v>
      </c>
      <c r="B33" s="843" t="s">
        <v>239</v>
      </c>
      <c r="C33" s="759">
        <v>0</v>
      </c>
      <c r="D33" s="759">
        <v>0</v>
      </c>
      <c r="E33" s="759">
        <v>0</v>
      </c>
      <c r="F33" s="759">
        <v>0</v>
      </c>
      <c r="G33" s="759">
        <v>0</v>
      </c>
      <c r="H33" s="759">
        <v>0</v>
      </c>
      <c r="I33" s="1269">
        <v>0</v>
      </c>
      <c r="J33" s="1270">
        <v>28036.084046126001</v>
      </c>
      <c r="K33" s="769">
        <v>28036.084046126001</v>
      </c>
      <c r="L33" s="769">
        <v>27116.92714258</v>
      </c>
      <c r="M33" s="769">
        <v>15320.393792241999</v>
      </c>
      <c r="N33" s="769">
        <v>6778.1928762569996</v>
      </c>
      <c r="O33" s="769">
        <v>6778.1928762569996</v>
      </c>
      <c r="P33" s="769">
        <v>6778.1928762569996</v>
      </c>
      <c r="Q33" s="769">
        <v>6778.1928762569996</v>
      </c>
      <c r="R33" s="769">
        <v>6778.1928762569996</v>
      </c>
      <c r="S33" s="769">
        <v>6778.1928762569996</v>
      </c>
      <c r="T33" s="769">
        <v>5836.6250519389996</v>
      </c>
      <c r="U33" s="769">
        <v>4237.1029805010003</v>
      </c>
      <c r="V33" s="769">
        <v>0</v>
      </c>
      <c r="W33" s="769">
        <v>0</v>
      </c>
      <c r="X33" s="769">
        <v>0</v>
      </c>
      <c r="Y33" s="769">
        <v>0</v>
      </c>
      <c r="Z33" s="769">
        <v>0</v>
      </c>
      <c r="AA33" s="769">
        <v>0</v>
      </c>
      <c r="AB33" s="769">
        <v>0</v>
      </c>
      <c r="AC33" s="769">
        <v>0</v>
      </c>
      <c r="AD33" s="769">
        <v>0</v>
      </c>
      <c r="AE33" s="769">
        <v>0</v>
      </c>
      <c r="AF33" s="769">
        <v>0</v>
      </c>
      <c r="AG33" s="769">
        <v>0</v>
      </c>
      <c r="AH33" s="769">
        <v>0</v>
      </c>
      <c r="AI33" s="769">
        <v>0</v>
      </c>
      <c r="AJ33" s="769">
        <v>0</v>
      </c>
      <c r="AK33" s="769">
        <v>0</v>
      </c>
      <c r="AL33" s="756">
        <v>0</v>
      </c>
      <c r="AM33" s="756">
        <v>0</v>
      </c>
      <c r="AN33" s="756">
        <v>0</v>
      </c>
      <c r="AO33" s="756">
        <v>0</v>
      </c>
      <c r="AP33" s="756">
        <v>0</v>
      </c>
      <c r="AQ33" s="756">
        <v>0</v>
      </c>
      <c r="AR33" s="756">
        <v>0</v>
      </c>
      <c r="AS33" s="756">
        <v>0</v>
      </c>
      <c r="AT33" s="756">
        <v>0</v>
      </c>
      <c r="AU33" s="756">
        <v>0</v>
      </c>
      <c r="AV33" s="750"/>
      <c r="AW33" s="750"/>
      <c r="AX33" s="749"/>
      <c r="AY33" s="749"/>
      <c r="AZ33" s="749"/>
      <c r="BA33" s="749"/>
    </row>
    <row r="34" spans="1:53" ht="15" x14ac:dyDescent="0.25">
      <c r="A34" s="775">
        <v>2013</v>
      </c>
      <c r="B34" s="843" t="s">
        <v>6</v>
      </c>
      <c r="C34" s="759">
        <v>0</v>
      </c>
      <c r="D34" s="759">
        <v>0</v>
      </c>
      <c r="E34" s="759">
        <v>0</v>
      </c>
      <c r="F34" s="759">
        <v>0</v>
      </c>
      <c r="G34" s="759">
        <v>0</v>
      </c>
      <c r="H34" s="759">
        <v>0</v>
      </c>
      <c r="I34" s="1269">
        <v>2342.3586289999998</v>
      </c>
      <c r="J34" s="1270">
        <v>119391.38278404402</v>
      </c>
      <c r="K34" s="769">
        <v>119312.93371788203</v>
      </c>
      <c r="L34" s="769">
        <v>116908.95076011402</v>
      </c>
      <c r="M34" s="769">
        <v>108169.00628764802</v>
      </c>
      <c r="N34" s="769">
        <v>101953.82199294835</v>
      </c>
      <c r="O34" s="769">
        <v>95609.295199869215</v>
      </c>
      <c r="P34" s="769">
        <v>95529.12025785321</v>
      </c>
      <c r="Q34" s="769">
        <v>95430.118669698204</v>
      </c>
      <c r="R34" s="769">
        <v>87040.938786368206</v>
      </c>
      <c r="S34" s="769">
        <v>87040.938786368206</v>
      </c>
      <c r="T34" s="769">
        <v>82845.143213973206</v>
      </c>
      <c r="U34" s="769">
        <v>76816.223666312217</v>
      </c>
      <c r="V34" s="769">
        <v>76816.223666312217</v>
      </c>
      <c r="W34" s="769">
        <v>76223.265142984208</v>
      </c>
      <c r="X34" s="769">
        <v>76223.265142984208</v>
      </c>
      <c r="Y34" s="769">
        <v>74346.634851576193</v>
      </c>
      <c r="Z34" s="769">
        <v>75944.968710521207</v>
      </c>
      <c r="AA34" s="769">
        <v>67720.498646878797</v>
      </c>
      <c r="AB34" s="769">
        <v>62214.865804644003</v>
      </c>
      <c r="AC34" s="769">
        <v>12180.738265296</v>
      </c>
      <c r="AD34" s="769">
        <v>0</v>
      </c>
      <c r="AE34" s="769">
        <v>0</v>
      </c>
      <c r="AF34" s="769">
        <v>0</v>
      </c>
      <c r="AG34" s="769">
        <v>0</v>
      </c>
      <c r="AH34" s="769">
        <v>0</v>
      </c>
      <c r="AI34" s="769">
        <v>0</v>
      </c>
      <c r="AJ34" s="769">
        <v>0</v>
      </c>
      <c r="AK34" s="769">
        <v>0</v>
      </c>
      <c r="AL34" s="756">
        <v>0</v>
      </c>
      <c r="AM34" s="756">
        <v>0</v>
      </c>
      <c r="AN34" s="756">
        <v>0</v>
      </c>
      <c r="AO34" s="756">
        <v>0</v>
      </c>
      <c r="AP34" s="756">
        <v>0</v>
      </c>
      <c r="AQ34" s="756">
        <v>0</v>
      </c>
      <c r="AR34" s="756">
        <v>0</v>
      </c>
      <c r="AS34" s="756">
        <v>0</v>
      </c>
      <c r="AT34" s="756">
        <v>0</v>
      </c>
      <c r="AU34" s="756">
        <v>0</v>
      </c>
      <c r="AV34" s="750"/>
      <c r="AW34" s="750"/>
      <c r="AX34" s="749"/>
      <c r="AY34" s="749"/>
      <c r="AZ34" s="749"/>
      <c r="BA34" s="749"/>
    </row>
    <row r="35" spans="1:53" ht="15" x14ac:dyDescent="0.25">
      <c r="A35" s="775">
        <v>2013</v>
      </c>
      <c r="B35" s="843" t="s">
        <v>240</v>
      </c>
      <c r="C35" s="759">
        <v>0</v>
      </c>
      <c r="D35" s="759">
        <v>0</v>
      </c>
      <c r="E35" s="759">
        <v>0</v>
      </c>
      <c r="F35" s="759">
        <v>0</v>
      </c>
      <c r="G35" s="759">
        <v>0</v>
      </c>
      <c r="H35" s="759">
        <v>0</v>
      </c>
      <c r="I35" s="1269">
        <v>0</v>
      </c>
      <c r="J35" s="1270">
        <f>77701.888925876+917</f>
        <v>78618.888925876003</v>
      </c>
      <c r="K35" s="769">
        <v>77701.888925876003</v>
      </c>
      <c r="L35" s="769">
        <v>77701.888925876003</v>
      </c>
      <c r="M35" s="769">
        <v>77701.888925876003</v>
      </c>
      <c r="N35" s="769">
        <v>77701.888925876003</v>
      </c>
      <c r="O35" s="769">
        <v>76656.225814766003</v>
      </c>
      <c r="P35" s="769">
        <v>76656.225814766003</v>
      </c>
      <c r="Q35" s="769">
        <v>76166.040008555996</v>
      </c>
      <c r="R35" s="769">
        <v>75895.051633798997</v>
      </c>
      <c r="S35" s="769">
        <v>68272.422912292997</v>
      </c>
      <c r="T35" s="769">
        <v>54900.602207882999</v>
      </c>
      <c r="U35" s="769">
        <v>50836.244699902003</v>
      </c>
      <c r="V35" s="769">
        <v>24585.874156057998</v>
      </c>
      <c r="W35" s="769">
        <v>24585.874156057998</v>
      </c>
      <c r="X35" s="769">
        <v>24585.874156057998</v>
      </c>
      <c r="Y35" s="769">
        <v>3912.4649856780002</v>
      </c>
      <c r="Z35" s="769">
        <v>20538.307807728001</v>
      </c>
      <c r="AA35" s="769">
        <v>3912.4649856780002</v>
      </c>
      <c r="AB35" s="769">
        <v>3912.4649856780002</v>
      </c>
      <c r="AC35" s="769">
        <v>3912.4649856780002</v>
      </c>
      <c r="AD35" s="769">
        <v>0</v>
      </c>
      <c r="AE35" s="769">
        <v>0</v>
      </c>
      <c r="AF35" s="769">
        <v>0</v>
      </c>
      <c r="AG35" s="769">
        <v>0</v>
      </c>
      <c r="AH35" s="756">
        <v>0</v>
      </c>
      <c r="AI35" s="756">
        <v>0</v>
      </c>
      <c r="AJ35" s="756">
        <v>0</v>
      </c>
      <c r="AK35" s="756">
        <v>0</v>
      </c>
      <c r="AL35" s="756">
        <v>0</v>
      </c>
      <c r="AM35" s="756">
        <v>0</v>
      </c>
      <c r="AN35" s="756">
        <v>0</v>
      </c>
      <c r="AO35" s="756">
        <v>0</v>
      </c>
      <c r="AP35" s="756">
        <v>0</v>
      </c>
      <c r="AQ35" s="756">
        <v>0</v>
      </c>
      <c r="AR35" s="756">
        <v>0</v>
      </c>
      <c r="AS35" s="756">
        <v>0</v>
      </c>
      <c r="AT35" s="756">
        <v>0</v>
      </c>
      <c r="AU35" s="756">
        <v>0</v>
      </c>
      <c r="AV35" s="750"/>
      <c r="AW35" s="750"/>
      <c r="AX35" s="749"/>
      <c r="AY35" s="749"/>
      <c r="AZ35" s="749"/>
      <c r="BA35" s="749"/>
    </row>
    <row r="36" spans="1:53" ht="15" x14ac:dyDescent="0.25">
      <c r="A36" s="776"/>
      <c r="B36" s="761"/>
      <c r="C36" s="758">
        <f>SUM(C33:C35)</f>
        <v>0</v>
      </c>
      <c r="D36" s="758">
        <f t="shared" ref="D36:AF36" si="7">SUM(D33:D35)</f>
        <v>0</v>
      </c>
      <c r="E36" s="758">
        <f t="shared" si="7"/>
        <v>0</v>
      </c>
      <c r="F36" s="758">
        <f t="shared" si="7"/>
        <v>0</v>
      </c>
      <c r="G36" s="758">
        <f t="shared" si="7"/>
        <v>0</v>
      </c>
      <c r="H36" s="758">
        <f t="shared" si="7"/>
        <v>0</v>
      </c>
      <c r="I36" s="758">
        <f t="shared" si="7"/>
        <v>2342.3586289999998</v>
      </c>
      <c r="J36" s="758">
        <f t="shared" si="7"/>
        <v>226046.35575604602</v>
      </c>
      <c r="K36" s="758">
        <f t="shared" si="7"/>
        <v>225050.90668988402</v>
      </c>
      <c r="L36" s="758">
        <f t="shared" si="7"/>
        <v>221727.76682857002</v>
      </c>
      <c r="M36" s="758">
        <f t="shared" si="7"/>
        <v>201191.28900576604</v>
      </c>
      <c r="N36" s="758">
        <f t="shared" si="7"/>
        <v>186433.90379508137</v>
      </c>
      <c r="O36" s="758">
        <f t="shared" si="7"/>
        <v>179043.71389089222</v>
      </c>
      <c r="P36" s="758">
        <f t="shared" si="7"/>
        <v>178963.5389488762</v>
      </c>
      <c r="Q36" s="758">
        <f t="shared" si="7"/>
        <v>178374.3515545112</v>
      </c>
      <c r="R36" s="758">
        <f t="shared" si="7"/>
        <v>169714.18329642422</v>
      </c>
      <c r="S36" s="758">
        <f t="shared" si="7"/>
        <v>162091.55457491821</v>
      </c>
      <c r="T36" s="758">
        <f t="shared" si="7"/>
        <v>143582.37047379522</v>
      </c>
      <c r="U36" s="758">
        <f t="shared" si="7"/>
        <v>131889.57134671521</v>
      </c>
      <c r="V36" s="758">
        <f t="shared" si="7"/>
        <v>101402.09782237021</v>
      </c>
      <c r="W36" s="758">
        <f t="shared" si="7"/>
        <v>100809.1392990422</v>
      </c>
      <c r="X36" s="758">
        <f t="shared" si="7"/>
        <v>100809.1392990422</v>
      </c>
      <c r="Y36" s="758">
        <f t="shared" si="7"/>
        <v>78259.099837254194</v>
      </c>
      <c r="Z36" s="758">
        <f t="shared" si="7"/>
        <v>96483.276518249215</v>
      </c>
      <c r="AA36" s="758">
        <f t="shared" si="7"/>
        <v>71632.963632556799</v>
      </c>
      <c r="AB36" s="758">
        <f t="shared" si="7"/>
        <v>66127.330790321997</v>
      </c>
      <c r="AC36" s="758">
        <f t="shared" si="7"/>
        <v>16093.203250974</v>
      </c>
      <c r="AD36" s="758">
        <f t="shared" si="7"/>
        <v>0</v>
      </c>
      <c r="AE36" s="758">
        <f t="shared" si="7"/>
        <v>0</v>
      </c>
      <c r="AF36" s="758">
        <f t="shared" si="7"/>
        <v>0</v>
      </c>
      <c r="AG36" s="758">
        <f t="shared" ref="AG36" si="8">SUM(AG33:AG35)</f>
        <v>0</v>
      </c>
      <c r="AH36" s="758">
        <f t="shared" ref="AH36" si="9">SUM(AH33:AH35)</f>
        <v>0</v>
      </c>
      <c r="AI36" s="758">
        <f t="shared" ref="AI36" si="10">SUM(AI33:AI35)</f>
        <v>0</v>
      </c>
      <c r="AJ36" s="758">
        <f t="shared" ref="AJ36" si="11">SUM(AJ33:AJ35)</f>
        <v>0</v>
      </c>
      <c r="AK36" s="758">
        <f t="shared" ref="AK36" si="12">SUM(AK33:AK35)</f>
        <v>0</v>
      </c>
      <c r="AL36" s="758">
        <f t="shared" ref="AL36" si="13">SUM(AL33:AL35)</f>
        <v>0</v>
      </c>
      <c r="AM36" s="758">
        <f t="shared" ref="AM36" si="14">SUM(AM33:AM35)</f>
        <v>0</v>
      </c>
      <c r="AN36" s="758">
        <f t="shared" ref="AN36" si="15">SUM(AN33:AN35)</f>
        <v>0</v>
      </c>
      <c r="AO36" s="758">
        <f t="shared" ref="AO36" si="16">SUM(AO33:AO35)</f>
        <v>0</v>
      </c>
      <c r="AP36" s="758">
        <f t="shared" ref="AP36" si="17">SUM(AP33:AP35)</f>
        <v>0</v>
      </c>
      <c r="AQ36" s="758">
        <f t="shared" ref="AQ36" si="18">SUM(AQ33:AQ35)</f>
        <v>0</v>
      </c>
      <c r="AR36" s="758">
        <f t="shared" ref="AR36" si="19">SUM(AR33:AR35)</f>
        <v>0</v>
      </c>
      <c r="AS36" s="758">
        <v>0</v>
      </c>
      <c r="AT36" s="758">
        <v>0</v>
      </c>
      <c r="AU36" s="758">
        <v>0</v>
      </c>
      <c r="AV36" s="750"/>
      <c r="AW36" s="750"/>
      <c r="AX36" s="749"/>
      <c r="AY36" s="749"/>
      <c r="AZ36" s="749"/>
      <c r="BA36" s="749"/>
    </row>
    <row r="37" spans="1:53" ht="15" x14ac:dyDescent="0.25">
      <c r="A37" s="775">
        <v>2014</v>
      </c>
      <c r="B37" s="843" t="s">
        <v>239</v>
      </c>
      <c r="C37" s="759">
        <v>0</v>
      </c>
      <c r="D37" s="759">
        <v>0</v>
      </c>
      <c r="E37" s="759">
        <v>0</v>
      </c>
      <c r="F37" s="759">
        <v>0</v>
      </c>
      <c r="G37" s="759">
        <v>0</v>
      </c>
      <c r="H37" s="759">
        <v>0</v>
      </c>
      <c r="I37" s="1269">
        <v>0</v>
      </c>
      <c r="J37" s="1269">
        <v>0</v>
      </c>
      <c r="K37" s="1269">
        <v>162232</v>
      </c>
      <c r="L37" s="759">
        <f>+L33/K33*K37</f>
        <v>156913.25924680696</v>
      </c>
      <c r="M37" s="759">
        <f>+M33/L33*L37</f>
        <v>88652.114240128401</v>
      </c>
      <c r="N37" s="759">
        <f>+N33/M33*M37</f>
        <v>39222.303118073032</v>
      </c>
      <c r="O37" s="759">
        <f t="shared" ref="O37:V37" si="20">+O33/N33*N37</f>
        <v>39222.303118073032</v>
      </c>
      <c r="P37" s="759">
        <f t="shared" si="20"/>
        <v>39222.303118073032</v>
      </c>
      <c r="Q37" s="759">
        <f t="shared" si="20"/>
        <v>39222.303118073032</v>
      </c>
      <c r="R37" s="759">
        <f t="shared" si="20"/>
        <v>39222.303118073032</v>
      </c>
      <c r="S37" s="759">
        <f t="shared" si="20"/>
        <v>39222.303118073032</v>
      </c>
      <c r="T37" s="759">
        <f t="shared" si="20"/>
        <v>33773.880612867106</v>
      </c>
      <c r="U37" s="759">
        <f t="shared" si="20"/>
        <v>24518.17770276736</v>
      </c>
      <c r="V37" s="759">
        <f t="shared" si="20"/>
        <v>0</v>
      </c>
      <c r="W37" s="759">
        <v>0</v>
      </c>
      <c r="X37" s="759">
        <v>0</v>
      </c>
      <c r="Y37" s="759">
        <v>0</v>
      </c>
      <c r="Z37" s="759">
        <v>0</v>
      </c>
      <c r="AA37" s="759">
        <v>0</v>
      </c>
      <c r="AB37" s="759">
        <v>0</v>
      </c>
      <c r="AC37" s="759">
        <v>0</v>
      </c>
      <c r="AD37" s="759"/>
      <c r="AE37" s="759">
        <v>0</v>
      </c>
      <c r="AF37" s="759">
        <v>0</v>
      </c>
      <c r="AG37" s="759">
        <v>0</v>
      </c>
      <c r="AH37" s="756">
        <v>0</v>
      </c>
      <c r="AI37" s="756">
        <v>0</v>
      </c>
      <c r="AJ37" s="756">
        <v>0</v>
      </c>
      <c r="AK37" s="756">
        <v>0</v>
      </c>
      <c r="AL37" s="756">
        <v>0</v>
      </c>
      <c r="AM37" s="756">
        <v>0</v>
      </c>
      <c r="AN37" s="756">
        <v>0</v>
      </c>
      <c r="AO37" s="756">
        <v>0</v>
      </c>
      <c r="AP37" s="756">
        <v>0</v>
      </c>
      <c r="AQ37" s="756">
        <v>0</v>
      </c>
      <c r="AR37" s="756">
        <v>0</v>
      </c>
      <c r="AS37" s="756">
        <v>0</v>
      </c>
      <c r="AT37" s="756">
        <v>0</v>
      </c>
      <c r="AU37" s="756">
        <v>0</v>
      </c>
      <c r="AV37" s="750"/>
      <c r="AW37" s="750"/>
      <c r="AX37" s="749"/>
      <c r="AY37" s="749"/>
      <c r="AZ37" s="749"/>
      <c r="BA37" s="749"/>
    </row>
    <row r="38" spans="1:53" ht="15" x14ac:dyDescent="0.25">
      <c r="A38" s="775">
        <v>2014</v>
      </c>
      <c r="B38" s="843" t="s">
        <v>6</v>
      </c>
      <c r="C38" s="759">
        <v>0</v>
      </c>
      <c r="D38" s="759">
        <v>0</v>
      </c>
      <c r="E38" s="759">
        <v>0</v>
      </c>
      <c r="F38" s="759">
        <v>0</v>
      </c>
      <c r="G38" s="759">
        <v>0</v>
      </c>
      <c r="H38" s="759">
        <v>0</v>
      </c>
      <c r="I38" s="1269">
        <v>14341</v>
      </c>
      <c r="J38" s="1269">
        <v>4535</v>
      </c>
      <c r="K38" s="1269">
        <f>387064+1371+14341+4535</f>
        <v>407311</v>
      </c>
      <c r="L38" s="759">
        <f>+L34/K34*K38</f>
        <v>399104.27276599611</v>
      </c>
      <c r="M38" s="759">
        <f>+M34/L34*L38</f>
        <v>369267.81319622305</v>
      </c>
      <c r="N38" s="759">
        <f t="shared" ref="N38:AD38" si="21">+N34/M34*M38</f>
        <v>348050.39064717875</v>
      </c>
      <c r="O38" s="759">
        <f t="shared" si="21"/>
        <v>326391.41812768445</v>
      </c>
      <c r="P38" s="759">
        <f t="shared" si="21"/>
        <v>326117.71657002519</v>
      </c>
      <c r="Q38" s="759">
        <f t="shared" si="21"/>
        <v>325779.74452779588</v>
      </c>
      <c r="R38" s="759">
        <f t="shared" si="21"/>
        <v>297140.72660255898</v>
      </c>
      <c r="S38" s="759">
        <f t="shared" si="21"/>
        <v>297140.72660255898</v>
      </c>
      <c r="T38" s="759">
        <f t="shared" si="21"/>
        <v>282817.10185263259</v>
      </c>
      <c r="U38" s="759">
        <f t="shared" si="21"/>
        <v>262235.55068833241</v>
      </c>
      <c r="V38" s="759">
        <f t="shared" si="21"/>
        <v>262235.55068833241</v>
      </c>
      <c r="W38" s="759">
        <f t="shared" si="21"/>
        <v>260211.30636234567</v>
      </c>
      <c r="X38" s="759">
        <f t="shared" si="21"/>
        <v>260211.30636234567</v>
      </c>
      <c r="Y38" s="759">
        <f t="shared" si="21"/>
        <v>253804.85790109952</v>
      </c>
      <c r="Z38" s="759">
        <f t="shared" si="21"/>
        <v>259261.25681892427</v>
      </c>
      <c r="AA38" s="759">
        <f t="shared" si="21"/>
        <v>231184.52597586912</v>
      </c>
      <c r="AB38" s="759">
        <f t="shared" si="21"/>
        <v>212389.37318961759</v>
      </c>
      <c r="AC38" s="759">
        <f t="shared" si="21"/>
        <v>41582.656037166882</v>
      </c>
      <c r="AD38" s="759">
        <f t="shared" si="21"/>
        <v>0</v>
      </c>
      <c r="AE38" s="759">
        <v>0</v>
      </c>
      <c r="AF38" s="759">
        <v>0</v>
      </c>
      <c r="AG38" s="759">
        <v>0</v>
      </c>
      <c r="AH38" s="756">
        <v>0</v>
      </c>
      <c r="AI38" s="756">
        <v>0</v>
      </c>
      <c r="AJ38" s="756">
        <v>0</v>
      </c>
      <c r="AK38" s="756">
        <v>0</v>
      </c>
      <c r="AL38" s="756">
        <v>0</v>
      </c>
      <c r="AM38" s="756">
        <v>0</v>
      </c>
      <c r="AN38" s="756">
        <v>0</v>
      </c>
      <c r="AO38" s="756">
        <v>0</v>
      </c>
      <c r="AP38" s="756">
        <v>0</v>
      </c>
      <c r="AQ38" s="756">
        <v>0</v>
      </c>
      <c r="AR38" s="756">
        <v>0</v>
      </c>
      <c r="AS38" s="756">
        <v>0</v>
      </c>
      <c r="AT38" s="756">
        <v>0</v>
      </c>
      <c r="AU38" s="756">
        <v>0</v>
      </c>
      <c r="AV38" s="750"/>
      <c r="AW38" s="750"/>
      <c r="AX38" s="749"/>
      <c r="AY38" s="749"/>
      <c r="AZ38" s="749"/>
      <c r="BA38" s="749"/>
    </row>
    <row r="39" spans="1:53" ht="15" x14ac:dyDescent="0.25">
      <c r="A39" s="775">
        <v>2014</v>
      </c>
      <c r="B39" s="843" t="s">
        <v>240</v>
      </c>
      <c r="C39" s="759">
        <v>0</v>
      </c>
      <c r="D39" s="759">
        <v>0</v>
      </c>
      <c r="E39" s="759">
        <v>0</v>
      </c>
      <c r="F39" s="759">
        <v>0</v>
      </c>
      <c r="G39" s="759">
        <v>0</v>
      </c>
      <c r="H39" s="759">
        <v>0</v>
      </c>
      <c r="I39" s="1269">
        <v>0</v>
      </c>
      <c r="J39" s="1269">
        <v>0</v>
      </c>
      <c r="K39" s="1269">
        <f>165138+65274</f>
        <v>230412</v>
      </c>
      <c r="L39" s="759">
        <f>+L35/K35*K39</f>
        <v>230412</v>
      </c>
      <c r="M39" s="759">
        <f t="shared" ref="M39:AC39" si="22">+M35/L35*L39</f>
        <v>230412</v>
      </c>
      <c r="N39" s="759">
        <f t="shared" si="22"/>
        <v>230412</v>
      </c>
      <c r="O39" s="759">
        <f t="shared" si="22"/>
        <v>227311.26033861394</v>
      </c>
      <c r="P39" s="759">
        <f t="shared" si="22"/>
        <v>227311.26033861394</v>
      </c>
      <c r="Q39" s="759">
        <f t="shared" si="22"/>
        <v>225857.69603610123</v>
      </c>
      <c r="R39" s="759">
        <f t="shared" si="22"/>
        <v>225054.12518000437</v>
      </c>
      <c r="S39" s="759">
        <f t="shared" si="22"/>
        <v>202450.49027152598</v>
      </c>
      <c r="T39" s="759">
        <f t="shared" si="22"/>
        <v>162798.58483221711</v>
      </c>
      <c r="U39" s="759">
        <f t="shared" si="22"/>
        <v>150746.41010294802</v>
      </c>
      <c r="V39" s="759">
        <f t="shared" si="22"/>
        <v>72905.311754385635</v>
      </c>
      <c r="W39" s="759">
        <f t="shared" si="22"/>
        <v>72905.311754385635</v>
      </c>
      <c r="X39" s="759">
        <f t="shared" si="22"/>
        <v>72905.311754385635</v>
      </c>
      <c r="Y39" s="759">
        <f t="shared" si="22"/>
        <v>11601.762772331162</v>
      </c>
      <c r="Z39" s="759">
        <f t="shared" si="22"/>
        <v>60902.928410255139</v>
      </c>
      <c r="AA39" s="759">
        <f t="shared" si="22"/>
        <v>11601.76277233116</v>
      </c>
      <c r="AB39" s="759">
        <f t="shared" si="22"/>
        <v>11601.76277233116</v>
      </c>
      <c r="AC39" s="759">
        <f t="shared" si="22"/>
        <v>11601.76277233116</v>
      </c>
      <c r="AD39" s="759">
        <f t="shared" ref="AD39" si="23">+AD34/AC34*AC39</f>
        <v>0</v>
      </c>
      <c r="AE39" s="759">
        <v>0</v>
      </c>
      <c r="AF39" s="759">
        <v>0</v>
      </c>
      <c r="AG39" s="759">
        <v>0</v>
      </c>
      <c r="AH39" s="756">
        <v>0</v>
      </c>
      <c r="AI39" s="756">
        <v>0</v>
      </c>
      <c r="AJ39" s="756">
        <v>0</v>
      </c>
      <c r="AK39" s="756">
        <v>0</v>
      </c>
      <c r="AL39" s="756">
        <v>0</v>
      </c>
      <c r="AM39" s="756">
        <v>0</v>
      </c>
      <c r="AN39" s="756">
        <v>0</v>
      </c>
      <c r="AO39" s="756">
        <v>0</v>
      </c>
      <c r="AP39" s="756">
        <v>0</v>
      </c>
      <c r="AQ39" s="756">
        <v>0</v>
      </c>
      <c r="AR39" s="756">
        <v>0</v>
      </c>
      <c r="AS39" s="756">
        <v>0</v>
      </c>
      <c r="AT39" s="756">
        <v>0</v>
      </c>
      <c r="AU39" s="756">
        <v>0</v>
      </c>
      <c r="AV39" s="750"/>
      <c r="AW39" s="750"/>
      <c r="AX39" s="749"/>
      <c r="AY39" s="749"/>
      <c r="AZ39" s="749"/>
      <c r="BA39" s="749"/>
    </row>
    <row r="40" spans="1:53" ht="15" x14ac:dyDescent="0.25">
      <c r="A40" s="776"/>
      <c r="B40" s="761"/>
      <c r="C40" s="758">
        <f>SUM(C37:C39)</f>
        <v>0</v>
      </c>
      <c r="D40" s="758">
        <f t="shared" ref="D40:AF40" si="24">SUM(D37:D39)</f>
        <v>0</v>
      </c>
      <c r="E40" s="758">
        <f t="shared" si="24"/>
        <v>0</v>
      </c>
      <c r="F40" s="758">
        <f t="shared" si="24"/>
        <v>0</v>
      </c>
      <c r="G40" s="758">
        <f t="shared" si="24"/>
        <v>0</v>
      </c>
      <c r="H40" s="758">
        <f t="shared" si="24"/>
        <v>0</v>
      </c>
      <c r="I40" s="758">
        <f t="shared" si="24"/>
        <v>14341</v>
      </c>
      <c r="J40" s="758">
        <f t="shared" si="24"/>
        <v>4535</v>
      </c>
      <c r="K40" s="758">
        <f t="shared" si="24"/>
        <v>799955</v>
      </c>
      <c r="L40" s="758">
        <f t="shared" si="24"/>
        <v>786429.53201280301</v>
      </c>
      <c r="M40" s="758">
        <f t="shared" si="24"/>
        <v>688331.92743635143</v>
      </c>
      <c r="N40" s="758">
        <f t="shared" si="24"/>
        <v>617684.69376525178</v>
      </c>
      <c r="O40" s="758">
        <f t="shared" si="24"/>
        <v>592924.98158437142</v>
      </c>
      <c r="P40" s="758">
        <f t="shared" si="24"/>
        <v>592651.28002671222</v>
      </c>
      <c r="Q40" s="758">
        <f t="shared" si="24"/>
        <v>590859.74368197017</v>
      </c>
      <c r="R40" s="758">
        <f t="shared" si="24"/>
        <v>561417.15490063641</v>
      </c>
      <c r="S40" s="758">
        <f t="shared" si="24"/>
        <v>538813.51999215805</v>
      </c>
      <c r="T40" s="758">
        <f t="shared" si="24"/>
        <v>479389.56729771686</v>
      </c>
      <c r="U40" s="758">
        <f t="shared" si="24"/>
        <v>437500.1384940478</v>
      </c>
      <c r="V40" s="758">
        <f t="shared" si="24"/>
        <v>335140.86244271806</v>
      </c>
      <c r="W40" s="758">
        <f t="shared" si="24"/>
        <v>333116.61811673129</v>
      </c>
      <c r="X40" s="758">
        <f t="shared" si="24"/>
        <v>333116.61811673129</v>
      </c>
      <c r="Y40" s="758">
        <f t="shared" si="24"/>
        <v>265406.62067343068</v>
      </c>
      <c r="Z40" s="758">
        <f t="shared" si="24"/>
        <v>320164.18522917939</v>
      </c>
      <c r="AA40" s="758">
        <f t="shared" si="24"/>
        <v>242786.28874820028</v>
      </c>
      <c r="AB40" s="758">
        <f t="shared" si="24"/>
        <v>223991.13596194875</v>
      </c>
      <c r="AC40" s="758">
        <f t="shared" si="24"/>
        <v>53184.418809498042</v>
      </c>
      <c r="AD40" s="758">
        <f t="shared" si="24"/>
        <v>0</v>
      </c>
      <c r="AE40" s="758">
        <f t="shared" si="24"/>
        <v>0</v>
      </c>
      <c r="AF40" s="758">
        <f t="shared" si="24"/>
        <v>0</v>
      </c>
      <c r="AG40" s="758">
        <v>0</v>
      </c>
      <c r="AH40" s="758">
        <v>0</v>
      </c>
      <c r="AI40" s="758">
        <v>0</v>
      </c>
      <c r="AJ40" s="758">
        <v>0</v>
      </c>
      <c r="AK40" s="758">
        <v>0</v>
      </c>
      <c r="AL40" s="758">
        <v>0</v>
      </c>
      <c r="AM40" s="758">
        <v>0</v>
      </c>
      <c r="AN40" s="758">
        <v>0</v>
      </c>
      <c r="AO40" s="758">
        <v>0</v>
      </c>
      <c r="AP40" s="758">
        <v>0</v>
      </c>
      <c r="AQ40" s="758">
        <v>0</v>
      </c>
      <c r="AR40" s="758">
        <v>0</v>
      </c>
      <c r="AS40" s="758">
        <v>0</v>
      </c>
      <c r="AT40" s="758">
        <v>0</v>
      </c>
      <c r="AU40" s="758">
        <v>0</v>
      </c>
      <c r="AV40" s="750"/>
      <c r="AW40" s="750"/>
      <c r="AX40" s="749"/>
      <c r="AY40" s="749"/>
      <c r="AZ40" s="749"/>
      <c r="BA40" s="749"/>
    </row>
    <row r="41" spans="1:53" ht="15" x14ac:dyDescent="0.25">
      <c r="A41" s="775">
        <v>2015</v>
      </c>
      <c r="B41" s="843" t="s">
        <v>239</v>
      </c>
      <c r="C41" s="759">
        <v>0</v>
      </c>
      <c r="D41" s="759">
        <v>0</v>
      </c>
      <c r="E41" s="759">
        <v>0</v>
      </c>
      <c r="F41" s="759">
        <v>0</v>
      </c>
      <c r="G41" s="759">
        <v>0</v>
      </c>
      <c r="H41" s="759">
        <v>0</v>
      </c>
      <c r="I41" s="759">
        <v>0</v>
      </c>
      <c r="J41" s="759">
        <v>0</v>
      </c>
      <c r="K41" s="759">
        <v>0</v>
      </c>
      <c r="L41" s="759"/>
      <c r="M41" s="759"/>
      <c r="N41" s="759"/>
      <c r="O41" s="759"/>
      <c r="P41" s="759"/>
      <c r="Q41" s="759"/>
      <c r="R41" s="759"/>
      <c r="S41" s="759"/>
      <c r="T41" s="759"/>
      <c r="U41" s="759"/>
      <c r="V41" s="759"/>
      <c r="W41" s="759"/>
      <c r="X41" s="759"/>
      <c r="Y41" s="759"/>
      <c r="Z41" s="759"/>
      <c r="AA41" s="759"/>
      <c r="AB41" s="759"/>
      <c r="AC41" s="759"/>
      <c r="AD41" s="759"/>
      <c r="AE41" s="759"/>
      <c r="AF41" s="759">
        <v>0</v>
      </c>
      <c r="AG41" s="759">
        <v>0</v>
      </c>
      <c r="AH41" s="759">
        <v>0</v>
      </c>
      <c r="AI41" s="756">
        <v>0</v>
      </c>
      <c r="AJ41" s="756">
        <v>0</v>
      </c>
      <c r="AK41" s="756">
        <v>0</v>
      </c>
      <c r="AL41" s="756">
        <v>0</v>
      </c>
      <c r="AM41" s="756">
        <v>0</v>
      </c>
      <c r="AN41" s="756">
        <v>0</v>
      </c>
      <c r="AO41" s="756">
        <v>0</v>
      </c>
      <c r="AP41" s="756">
        <v>0</v>
      </c>
      <c r="AQ41" s="756">
        <v>0</v>
      </c>
      <c r="AR41" s="756">
        <v>0</v>
      </c>
      <c r="AS41" s="756">
        <v>0</v>
      </c>
      <c r="AT41" s="756">
        <v>0</v>
      </c>
      <c r="AU41" s="756">
        <v>0</v>
      </c>
      <c r="AV41" s="750"/>
      <c r="AW41" s="750"/>
      <c r="AX41" s="749"/>
      <c r="AY41" s="749"/>
      <c r="AZ41" s="749"/>
      <c r="BA41" s="749"/>
    </row>
    <row r="42" spans="1:53" ht="15" x14ac:dyDescent="0.25">
      <c r="A42" s="775">
        <v>2015</v>
      </c>
      <c r="B42" s="843" t="s">
        <v>6</v>
      </c>
      <c r="C42" s="759">
        <v>0</v>
      </c>
      <c r="D42" s="759">
        <v>0</v>
      </c>
      <c r="E42" s="759">
        <v>0</v>
      </c>
      <c r="F42" s="759">
        <v>0</v>
      </c>
      <c r="G42" s="759">
        <v>0</v>
      </c>
      <c r="H42" s="759">
        <v>0</v>
      </c>
      <c r="I42" s="759">
        <v>0</v>
      </c>
      <c r="J42" s="759">
        <v>0</v>
      </c>
      <c r="K42" s="759">
        <v>0</v>
      </c>
      <c r="L42" s="759"/>
      <c r="M42" s="759"/>
      <c r="N42" s="759"/>
      <c r="O42" s="759"/>
      <c r="P42" s="759"/>
      <c r="Q42" s="759"/>
      <c r="R42" s="759"/>
      <c r="S42" s="759"/>
      <c r="T42" s="759"/>
      <c r="U42" s="759"/>
      <c r="V42" s="759"/>
      <c r="W42" s="759"/>
      <c r="X42" s="759"/>
      <c r="Y42" s="759"/>
      <c r="Z42" s="759"/>
      <c r="AA42" s="759"/>
      <c r="AB42" s="759"/>
      <c r="AC42" s="759"/>
      <c r="AD42" s="759"/>
      <c r="AE42" s="759"/>
      <c r="AF42" s="759">
        <v>0</v>
      </c>
      <c r="AG42" s="759">
        <v>0</v>
      </c>
      <c r="AH42" s="759">
        <v>0</v>
      </c>
      <c r="AI42" s="756">
        <v>0</v>
      </c>
      <c r="AJ42" s="756">
        <v>0</v>
      </c>
      <c r="AK42" s="756">
        <v>0</v>
      </c>
      <c r="AL42" s="756">
        <v>0</v>
      </c>
      <c r="AM42" s="756">
        <v>0</v>
      </c>
      <c r="AN42" s="756">
        <v>0</v>
      </c>
      <c r="AO42" s="756">
        <v>0</v>
      </c>
      <c r="AP42" s="756">
        <v>0</v>
      </c>
      <c r="AQ42" s="756">
        <v>0</v>
      </c>
      <c r="AR42" s="756">
        <v>0</v>
      </c>
      <c r="AS42" s="756">
        <v>0</v>
      </c>
      <c r="AT42" s="756">
        <v>0</v>
      </c>
      <c r="AU42" s="756">
        <v>0</v>
      </c>
      <c r="AV42" s="750"/>
      <c r="AW42" s="750"/>
      <c r="AX42" s="749"/>
      <c r="AY42" s="749"/>
      <c r="AZ42" s="749"/>
      <c r="BA42" s="749"/>
    </row>
    <row r="43" spans="1:53" ht="15" x14ac:dyDescent="0.25">
      <c r="A43" s="775">
        <v>2015</v>
      </c>
      <c r="B43" s="843" t="s">
        <v>240</v>
      </c>
      <c r="C43" s="759">
        <v>0</v>
      </c>
      <c r="D43" s="759">
        <v>0</v>
      </c>
      <c r="E43" s="759">
        <v>0</v>
      </c>
      <c r="F43" s="759">
        <v>0</v>
      </c>
      <c r="G43" s="759">
        <v>0</v>
      </c>
      <c r="H43" s="759">
        <v>0</v>
      </c>
      <c r="I43" s="759">
        <v>0</v>
      </c>
      <c r="J43" s="759">
        <v>0</v>
      </c>
      <c r="K43" s="759">
        <v>0</v>
      </c>
      <c r="L43" s="759"/>
      <c r="M43" s="759"/>
      <c r="N43" s="759"/>
      <c r="O43" s="759"/>
      <c r="P43" s="759"/>
      <c r="Q43" s="759"/>
      <c r="R43" s="759"/>
      <c r="S43" s="759"/>
      <c r="T43" s="759"/>
      <c r="U43" s="759"/>
      <c r="V43" s="759"/>
      <c r="W43" s="759"/>
      <c r="X43" s="759"/>
      <c r="Y43" s="759"/>
      <c r="Z43" s="759"/>
      <c r="AA43" s="759"/>
      <c r="AB43" s="759"/>
      <c r="AC43" s="759"/>
      <c r="AD43" s="759"/>
      <c r="AE43" s="759"/>
      <c r="AF43" s="759">
        <v>0</v>
      </c>
      <c r="AG43" s="759">
        <v>0</v>
      </c>
      <c r="AH43" s="759">
        <v>0</v>
      </c>
      <c r="AI43" s="756">
        <v>0</v>
      </c>
      <c r="AJ43" s="756">
        <v>0</v>
      </c>
      <c r="AK43" s="756">
        <v>0</v>
      </c>
      <c r="AL43" s="756">
        <v>0</v>
      </c>
      <c r="AM43" s="756">
        <v>0</v>
      </c>
      <c r="AN43" s="756">
        <v>0</v>
      </c>
      <c r="AO43" s="756">
        <v>0</v>
      </c>
      <c r="AP43" s="756">
        <v>0</v>
      </c>
      <c r="AQ43" s="756">
        <v>0</v>
      </c>
      <c r="AR43" s="756">
        <v>0</v>
      </c>
      <c r="AS43" s="756">
        <v>0</v>
      </c>
      <c r="AT43" s="756">
        <v>0</v>
      </c>
      <c r="AU43" s="756">
        <v>0</v>
      </c>
      <c r="AV43" s="750"/>
      <c r="AW43" s="750"/>
      <c r="AX43" s="749"/>
      <c r="AY43" s="749"/>
      <c r="AZ43" s="749"/>
      <c r="BA43" s="749"/>
    </row>
    <row r="44" spans="1:53" ht="15" x14ac:dyDescent="0.25">
      <c r="A44" s="777"/>
      <c r="B44" s="844"/>
      <c r="C44" s="758">
        <f>SUM(C41:C43)</f>
        <v>0</v>
      </c>
      <c r="D44" s="758">
        <f t="shared" ref="D44:AE44" si="25">SUM(D41:D43)</f>
        <v>0</v>
      </c>
      <c r="E44" s="758">
        <f t="shared" si="25"/>
        <v>0</v>
      </c>
      <c r="F44" s="758">
        <f t="shared" si="25"/>
        <v>0</v>
      </c>
      <c r="G44" s="758">
        <f t="shared" si="25"/>
        <v>0</v>
      </c>
      <c r="H44" s="758">
        <f t="shared" si="25"/>
        <v>0</v>
      </c>
      <c r="I44" s="758">
        <f t="shared" si="25"/>
        <v>0</v>
      </c>
      <c r="J44" s="758">
        <f t="shared" si="25"/>
        <v>0</v>
      </c>
      <c r="K44" s="758">
        <f t="shared" si="25"/>
        <v>0</v>
      </c>
      <c r="L44" s="758">
        <f t="shared" si="25"/>
        <v>0</v>
      </c>
      <c r="M44" s="758">
        <f t="shared" si="25"/>
        <v>0</v>
      </c>
      <c r="N44" s="758">
        <f t="shared" si="25"/>
        <v>0</v>
      </c>
      <c r="O44" s="758">
        <f t="shared" si="25"/>
        <v>0</v>
      </c>
      <c r="P44" s="758">
        <f t="shared" si="25"/>
        <v>0</v>
      </c>
      <c r="Q44" s="758">
        <f t="shared" si="25"/>
        <v>0</v>
      </c>
      <c r="R44" s="758">
        <f t="shared" si="25"/>
        <v>0</v>
      </c>
      <c r="S44" s="758">
        <f t="shared" si="25"/>
        <v>0</v>
      </c>
      <c r="T44" s="758">
        <f t="shared" si="25"/>
        <v>0</v>
      </c>
      <c r="U44" s="758">
        <f t="shared" si="25"/>
        <v>0</v>
      </c>
      <c r="V44" s="758">
        <f t="shared" si="25"/>
        <v>0</v>
      </c>
      <c r="W44" s="758">
        <f t="shared" si="25"/>
        <v>0</v>
      </c>
      <c r="X44" s="758">
        <f t="shared" si="25"/>
        <v>0</v>
      </c>
      <c r="Y44" s="758">
        <f t="shared" si="25"/>
        <v>0</v>
      </c>
      <c r="Z44" s="758">
        <f t="shared" si="25"/>
        <v>0</v>
      </c>
      <c r="AA44" s="758">
        <f t="shared" si="25"/>
        <v>0</v>
      </c>
      <c r="AB44" s="758">
        <f t="shared" si="25"/>
        <v>0</v>
      </c>
      <c r="AC44" s="758">
        <f t="shared" si="25"/>
        <v>0</v>
      </c>
      <c r="AD44" s="758">
        <f t="shared" si="25"/>
        <v>0</v>
      </c>
      <c r="AE44" s="758">
        <f t="shared" si="25"/>
        <v>0</v>
      </c>
      <c r="AF44" s="758">
        <v>0</v>
      </c>
      <c r="AG44" s="758">
        <v>0</v>
      </c>
      <c r="AH44" s="758">
        <v>0</v>
      </c>
      <c r="AI44" s="758">
        <v>0</v>
      </c>
      <c r="AJ44" s="758">
        <v>0</v>
      </c>
      <c r="AK44" s="758">
        <v>0</v>
      </c>
      <c r="AL44" s="758">
        <v>0</v>
      </c>
      <c r="AM44" s="758">
        <v>0</v>
      </c>
      <c r="AN44" s="758">
        <v>0</v>
      </c>
      <c r="AO44" s="758">
        <v>0</v>
      </c>
      <c r="AP44" s="758">
        <v>0</v>
      </c>
      <c r="AQ44" s="758">
        <v>0</v>
      </c>
      <c r="AR44" s="758">
        <v>0</v>
      </c>
      <c r="AS44" s="758">
        <v>0</v>
      </c>
      <c r="AT44" s="758">
        <v>0</v>
      </c>
      <c r="AU44" s="758">
        <v>0</v>
      </c>
      <c r="AV44" s="750"/>
      <c r="AW44" s="750"/>
      <c r="AX44" s="749"/>
      <c r="AY44" s="749"/>
      <c r="AZ44" s="749"/>
      <c r="BA44" s="749"/>
    </row>
    <row r="45" spans="1:53" ht="15" x14ac:dyDescent="0.25">
      <c r="A45" s="775">
        <v>2016</v>
      </c>
      <c r="B45" s="843" t="s">
        <v>239</v>
      </c>
      <c r="C45" s="757"/>
      <c r="D45" s="757"/>
      <c r="E45" s="757"/>
      <c r="F45" s="757"/>
      <c r="G45" s="757"/>
      <c r="H45" s="757"/>
      <c r="I45" s="757"/>
      <c r="J45" s="757"/>
      <c r="K45" s="757"/>
      <c r="L45" s="757"/>
      <c r="M45" s="757"/>
      <c r="N45" s="757"/>
      <c r="O45" s="757"/>
      <c r="P45" s="757"/>
      <c r="Q45" s="757"/>
      <c r="R45" s="757"/>
      <c r="S45" s="757"/>
      <c r="T45" s="757"/>
      <c r="U45" s="757"/>
      <c r="V45" s="757"/>
      <c r="W45" s="757"/>
      <c r="X45" s="757"/>
      <c r="Y45" s="757"/>
      <c r="Z45" s="757"/>
      <c r="AA45" s="757"/>
      <c r="AB45" s="757"/>
      <c r="AC45" s="757"/>
      <c r="AD45" s="757"/>
      <c r="AE45" s="757"/>
      <c r="AF45" s="757"/>
      <c r="AG45" s="757"/>
      <c r="AH45" s="757"/>
      <c r="AI45" s="757"/>
      <c r="AJ45" s="757"/>
      <c r="AK45" s="757"/>
      <c r="AL45" s="757"/>
      <c r="AM45" s="757"/>
      <c r="AN45" s="757"/>
      <c r="AO45" s="757"/>
      <c r="AP45" s="757"/>
      <c r="AQ45" s="757"/>
      <c r="AR45" s="757"/>
      <c r="AS45" s="757"/>
      <c r="AT45" s="757"/>
      <c r="AU45" s="757"/>
      <c r="AV45" s="750"/>
      <c r="AW45" s="750"/>
      <c r="AX45" s="749"/>
      <c r="AY45" s="749"/>
      <c r="AZ45" s="749"/>
      <c r="BA45" s="749"/>
    </row>
    <row r="46" spans="1:53" ht="15" x14ac:dyDescent="0.25">
      <c r="A46" s="775">
        <v>2016</v>
      </c>
      <c r="B46" s="843" t="s">
        <v>6</v>
      </c>
      <c r="C46" s="757"/>
      <c r="D46" s="757"/>
      <c r="E46" s="757"/>
      <c r="F46" s="757"/>
      <c r="G46" s="757"/>
      <c r="H46" s="757"/>
      <c r="I46" s="757"/>
      <c r="J46" s="757"/>
      <c r="K46" s="757"/>
      <c r="L46" s="757"/>
      <c r="M46" s="757"/>
      <c r="N46" s="757"/>
      <c r="O46" s="757"/>
      <c r="P46" s="757"/>
      <c r="Q46" s="757"/>
      <c r="R46" s="757"/>
      <c r="S46" s="757"/>
      <c r="T46" s="757"/>
      <c r="U46" s="757"/>
      <c r="V46" s="757"/>
      <c r="W46" s="757"/>
      <c r="X46" s="757"/>
      <c r="Y46" s="757"/>
      <c r="Z46" s="757"/>
      <c r="AA46" s="757"/>
      <c r="AB46" s="757"/>
      <c r="AC46" s="757"/>
      <c r="AD46" s="757"/>
      <c r="AE46" s="757"/>
      <c r="AF46" s="757"/>
      <c r="AG46" s="757"/>
      <c r="AH46" s="757"/>
      <c r="AI46" s="757"/>
      <c r="AJ46" s="757"/>
      <c r="AK46" s="757"/>
      <c r="AL46" s="757"/>
      <c r="AM46" s="757"/>
      <c r="AN46" s="757"/>
      <c r="AO46" s="757"/>
      <c r="AP46" s="757"/>
      <c r="AQ46" s="757"/>
      <c r="AR46" s="757"/>
      <c r="AS46" s="757"/>
      <c r="AT46" s="757"/>
      <c r="AU46" s="757"/>
      <c r="AV46" s="750"/>
      <c r="AW46" s="750"/>
      <c r="AX46" s="749"/>
      <c r="AY46" s="749"/>
      <c r="AZ46" s="749"/>
      <c r="BA46" s="749"/>
    </row>
    <row r="47" spans="1:53" ht="15" x14ac:dyDescent="0.25">
      <c r="A47" s="775">
        <v>2016</v>
      </c>
      <c r="B47" s="843" t="s">
        <v>240</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757"/>
      <c r="AM47" s="757"/>
      <c r="AN47" s="757"/>
      <c r="AO47" s="757"/>
      <c r="AP47" s="757"/>
      <c r="AQ47" s="757"/>
      <c r="AR47" s="757"/>
      <c r="AS47" s="757"/>
      <c r="AT47" s="757"/>
      <c r="AU47" s="757"/>
      <c r="AV47" s="750"/>
      <c r="AW47" s="750"/>
      <c r="AX47" s="749"/>
      <c r="AY47" s="749"/>
      <c r="AZ47" s="749"/>
      <c r="BA47" s="749"/>
    </row>
    <row r="48" spans="1:53" ht="15" x14ac:dyDescent="0.25">
      <c r="A48" s="765"/>
      <c r="B48" s="766"/>
      <c r="C48" s="767">
        <f>SUM(C45:C47)</f>
        <v>0</v>
      </c>
      <c r="D48" s="767">
        <f t="shared" ref="D48:AU48" si="26">SUM(D45:D47)</f>
        <v>0</v>
      </c>
      <c r="E48" s="767">
        <f t="shared" si="26"/>
        <v>0</v>
      </c>
      <c r="F48" s="767">
        <f t="shared" si="26"/>
        <v>0</v>
      </c>
      <c r="G48" s="767">
        <f t="shared" si="26"/>
        <v>0</v>
      </c>
      <c r="H48" s="767">
        <f t="shared" si="26"/>
        <v>0</v>
      </c>
      <c r="I48" s="767">
        <f t="shared" si="26"/>
        <v>0</v>
      </c>
      <c r="J48" s="767">
        <f t="shared" si="26"/>
        <v>0</v>
      </c>
      <c r="K48" s="767">
        <f t="shared" si="26"/>
        <v>0</v>
      </c>
      <c r="L48" s="767">
        <f t="shared" si="26"/>
        <v>0</v>
      </c>
      <c r="M48" s="767">
        <f t="shared" si="26"/>
        <v>0</v>
      </c>
      <c r="N48" s="767">
        <f t="shared" si="26"/>
        <v>0</v>
      </c>
      <c r="O48" s="767">
        <f t="shared" si="26"/>
        <v>0</v>
      </c>
      <c r="P48" s="767">
        <f t="shared" si="26"/>
        <v>0</v>
      </c>
      <c r="Q48" s="767">
        <f t="shared" si="26"/>
        <v>0</v>
      </c>
      <c r="R48" s="767">
        <f t="shared" si="26"/>
        <v>0</v>
      </c>
      <c r="S48" s="767">
        <f t="shared" si="26"/>
        <v>0</v>
      </c>
      <c r="T48" s="767">
        <f t="shared" si="26"/>
        <v>0</v>
      </c>
      <c r="U48" s="767">
        <f t="shared" si="26"/>
        <v>0</v>
      </c>
      <c r="V48" s="767">
        <f t="shared" si="26"/>
        <v>0</v>
      </c>
      <c r="W48" s="767">
        <f t="shared" si="26"/>
        <v>0</v>
      </c>
      <c r="X48" s="767">
        <f t="shared" si="26"/>
        <v>0</v>
      </c>
      <c r="Y48" s="767">
        <f t="shared" si="26"/>
        <v>0</v>
      </c>
      <c r="Z48" s="767">
        <f t="shared" si="26"/>
        <v>0</v>
      </c>
      <c r="AA48" s="767">
        <f t="shared" si="26"/>
        <v>0</v>
      </c>
      <c r="AB48" s="767">
        <f t="shared" si="26"/>
        <v>0</v>
      </c>
      <c r="AC48" s="767">
        <f t="shared" si="26"/>
        <v>0</v>
      </c>
      <c r="AD48" s="767">
        <f t="shared" si="26"/>
        <v>0</v>
      </c>
      <c r="AE48" s="767">
        <f t="shared" si="26"/>
        <v>0</v>
      </c>
      <c r="AF48" s="767">
        <f t="shared" si="26"/>
        <v>0</v>
      </c>
      <c r="AG48" s="767">
        <f t="shared" si="26"/>
        <v>0</v>
      </c>
      <c r="AH48" s="767">
        <f t="shared" si="26"/>
        <v>0</v>
      </c>
      <c r="AI48" s="767">
        <f t="shared" si="26"/>
        <v>0</v>
      </c>
      <c r="AJ48" s="767">
        <f t="shared" si="26"/>
        <v>0</v>
      </c>
      <c r="AK48" s="767">
        <f t="shared" si="26"/>
        <v>0</v>
      </c>
      <c r="AL48" s="767">
        <f t="shared" si="26"/>
        <v>0</v>
      </c>
      <c r="AM48" s="767">
        <f t="shared" si="26"/>
        <v>0</v>
      </c>
      <c r="AN48" s="767">
        <f t="shared" si="26"/>
        <v>0</v>
      </c>
      <c r="AO48" s="767">
        <f t="shared" si="26"/>
        <v>0</v>
      </c>
      <c r="AP48" s="767">
        <f t="shared" si="26"/>
        <v>0</v>
      </c>
      <c r="AQ48" s="767">
        <f t="shared" si="26"/>
        <v>0</v>
      </c>
      <c r="AR48" s="767">
        <f t="shared" si="26"/>
        <v>0</v>
      </c>
      <c r="AS48" s="767">
        <f t="shared" si="26"/>
        <v>0</v>
      </c>
      <c r="AT48" s="767">
        <f t="shared" si="26"/>
        <v>0</v>
      </c>
      <c r="AU48" s="767">
        <f t="shared" si="26"/>
        <v>0</v>
      </c>
      <c r="AV48" s="750"/>
      <c r="AW48" s="750"/>
      <c r="AX48" s="749"/>
      <c r="AY48" s="749"/>
      <c r="AZ48" s="749"/>
      <c r="BA48" s="749"/>
    </row>
    <row r="49" spans="1:53" ht="15" x14ac:dyDescent="0.25">
      <c r="A49" s="779" t="s">
        <v>32</v>
      </c>
      <c r="B49" s="773"/>
      <c r="C49" s="760">
        <f>+C8+C12+C16+C20+C24+C28+C36+C40+C44+C48+C32</f>
        <v>688739.31666189851</v>
      </c>
      <c r="D49" s="760">
        <f t="shared" ref="D49:AF49" si="27">+D8+D12+D16+D20+D24+D28+D36+D40+D44+D48+D32</f>
        <v>1445689.4867662429</v>
      </c>
      <c r="E49" s="760">
        <f t="shared" si="27"/>
        <v>1559541.2207570404</v>
      </c>
      <c r="F49" s="760">
        <f t="shared" si="27"/>
        <v>2145386.8621764053</v>
      </c>
      <c r="G49" s="760">
        <f t="shared" si="27"/>
        <v>1958747.7240365143</v>
      </c>
      <c r="H49" s="760">
        <f>+H8+H12+H16+H20+H24+H28+H36+H40+H44+H48+H32</f>
        <v>2196543.40106535</v>
      </c>
      <c r="I49" s="760">
        <f>+I8+I12+I16+I20+I24+I28+I36+I40+I44+I48+I32</f>
        <v>2757700.1637277706</v>
      </c>
      <c r="J49" s="760">
        <f>+J8+J12+J16+J20+J24+J28+J36+J40+J44+J48+J32</f>
        <v>2955385.2371838554</v>
      </c>
      <c r="K49" s="760">
        <f>+K8+K12+K16+K20+K24+K28+K36+K40+K44+K48+K32</f>
        <v>3544006.1016640281</v>
      </c>
      <c r="L49" s="760">
        <f>+L8+L12+L16+L20+L24+L28+L36+L40+L44+L48+L32</f>
        <v>3068175.5302881105</v>
      </c>
      <c r="M49" s="760">
        <f t="shared" si="27"/>
        <v>2757733.8162730415</v>
      </c>
      <c r="N49" s="760">
        <f t="shared" si="27"/>
        <v>2221297.0072313561</v>
      </c>
      <c r="O49" s="760">
        <f t="shared" si="27"/>
        <v>1791076.842740979</v>
      </c>
      <c r="P49" s="760">
        <f t="shared" si="27"/>
        <v>1740886.5506517163</v>
      </c>
      <c r="Q49" s="760">
        <f t="shared" si="27"/>
        <v>1699323.0563011698</v>
      </c>
      <c r="R49" s="760">
        <f t="shared" si="27"/>
        <v>1602302.6420798409</v>
      </c>
      <c r="S49" s="760">
        <f t="shared" si="27"/>
        <v>1527948.8924338778</v>
      </c>
      <c r="T49" s="760">
        <f t="shared" si="27"/>
        <v>1429188.208512356</v>
      </c>
      <c r="U49" s="760">
        <f t="shared" si="27"/>
        <v>879668.49328063393</v>
      </c>
      <c r="V49" s="760">
        <f t="shared" si="27"/>
        <v>731059.56946112262</v>
      </c>
      <c r="W49" s="760">
        <f t="shared" si="27"/>
        <v>669664.14389422291</v>
      </c>
      <c r="X49" s="760">
        <f t="shared" si="27"/>
        <v>641000.22018560721</v>
      </c>
      <c r="Y49" s="760">
        <f t="shared" si="27"/>
        <v>494391.41372949176</v>
      </c>
      <c r="Z49" s="760">
        <f t="shared" si="27"/>
        <v>551488.47024937405</v>
      </c>
      <c r="AA49" s="760">
        <f t="shared" si="27"/>
        <v>377484.47866225842</v>
      </c>
      <c r="AB49" s="760">
        <f t="shared" si="27"/>
        <v>303023.84719369584</v>
      </c>
      <c r="AC49" s="760">
        <f t="shared" si="27"/>
        <v>79928.857083131385</v>
      </c>
      <c r="AD49" s="760">
        <f t="shared" si="27"/>
        <v>10651.235022659333</v>
      </c>
      <c r="AE49" s="760">
        <f t="shared" si="27"/>
        <v>10651.235022659333</v>
      </c>
      <c r="AF49" s="760">
        <f t="shared" si="27"/>
        <v>10651.235022659333</v>
      </c>
      <c r="AG49" s="760">
        <v>0</v>
      </c>
      <c r="AH49" s="760">
        <v>0</v>
      </c>
      <c r="AI49" s="760">
        <v>0</v>
      </c>
      <c r="AJ49" s="760">
        <v>0</v>
      </c>
      <c r="AK49" s="760">
        <v>0</v>
      </c>
      <c r="AL49" s="760">
        <v>0</v>
      </c>
      <c r="AM49" s="760">
        <v>0</v>
      </c>
      <c r="AN49" s="760">
        <v>0</v>
      </c>
      <c r="AO49" s="760">
        <v>0</v>
      </c>
      <c r="AP49" s="760">
        <v>0</v>
      </c>
      <c r="AQ49" s="760">
        <v>0</v>
      </c>
      <c r="AR49" s="760">
        <v>0</v>
      </c>
      <c r="AS49" s="760">
        <v>0</v>
      </c>
      <c r="AT49" s="760">
        <v>0</v>
      </c>
      <c r="AU49" s="760">
        <v>0</v>
      </c>
      <c r="AV49" s="750"/>
      <c r="AW49" s="750"/>
      <c r="AX49" s="749"/>
      <c r="AY49" s="749"/>
      <c r="AZ49" s="749"/>
      <c r="BA49" s="749"/>
    </row>
    <row r="50" spans="1:53" ht="18.75" x14ac:dyDescent="0.3">
      <c r="A50" s="1302" t="s">
        <v>390</v>
      </c>
      <c r="B50" s="1303"/>
      <c r="C50" s="1301">
        <v>0</v>
      </c>
      <c r="D50" s="1301">
        <f>+D49-D12</f>
        <v>688739.31666189851</v>
      </c>
      <c r="E50" s="1301">
        <f>+E49-E16</f>
        <v>1107103.9430606847</v>
      </c>
      <c r="F50" s="1301">
        <f>+F49-F20</f>
        <v>1452332.3848804864</v>
      </c>
      <c r="G50" s="1301">
        <f>+G49-G24</f>
        <v>1542482.6589093364</v>
      </c>
      <c r="H50" s="1301">
        <f>+H49-H28-H32</f>
        <v>1877951.4902748214</v>
      </c>
      <c r="I50" s="1301">
        <f>+I49-I32-I36-I40+H32</f>
        <v>2140006.7167204046</v>
      </c>
      <c r="J50" s="1301">
        <f>+J49-J36-J40+I40+I36</f>
        <v>2741487.2400568095</v>
      </c>
      <c r="K50" s="1301">
        <f>+K49-K40+J40+I40</f>
        <v>2762927.1016640281</v>
      </c>
      <c r="L50" s="1301">
        <f>+L8+L12+L16+L20+L24+L28+L32+L36+L40</f>
        <v>3068175.5302881105</v>
      </c>
      <c r="M50" s="1301">
        <f>+M8+M12+M16+M20+M24+M28+M32+M36+M40</f>
        <v>2757733.8162730415</v>
      </c>
      <c r="N50" s="758"/>
      <c r="O50" s="758"/>
      <c r="P50" s="758"/>
      <c r="Q50" s="758"/>
      <c r="R50" s="758"/>
      <c r="S50" s="758"/>
      <c r="T50" s="758"/>
      <c r="U50" s="758"/>
      <c r="V50" s="758"/>
      <c r="W50" s="758"/>
      <c r="X50" s="758"/>
      <c r="Y50" s="758"/>
      <c r="Z50" s="758"/>
      <c r="AA50" s="758"/>
      <c r="AB50" s="758"/>
      <c r="AC50" s="758"/>
      <c r="AD50" s="758"/>
      <c r="AE50" s="758"/>
      <c r="AF50" s="758"/>
      <c r="AG50" s="758">
        <v>0</v>
      </c>
      <c r="AH50" s="758">
        <v>0</v>
      </c>
      <c r="AI50" s="758">
        <v>0</v>
      </c>
      <c r="AJ50" s="758">
        <v>0</v>
      </c>
      <c r="AK50" s="758">
        <v>0</v>
      </c>
      <c r="AL50" s="758">
        <v>0</v>
      </c>
      <c r="AM50" s="758">
        <v>0</v>
      </c>
      <c r="AN50" s="758">
        <v>0</v>
      </c>
      <c r="AO50" s="758">
        <v>0</v>
      </c>
      <c r="AP50" s="758">
        <v>0</v>
      </c>
      <c r="AQ50" s="758">
        <v>0</v>
      </c>
      <c r="AR50" s="758">
        <v>0</v>
      </c>
      <c r="AS50" s="758">
        <v>0</v>
      </c>
      <c r="AT50" s="758">
        <v>0</v>
      </c>
      <c r="AU50" s="758">
        <v>0</v>
      </c>
      <c r="AV50" s="750"/>
      <c r="AW50" s="750"/>
      <c r="AX50" s="749"/>
      <c r="AY50" s="749"/>
      <c r="AZ50" s="749"/>
      <c r="BA50" s="749"/>
    </row>
    <row r="51" spans="1:53" ht="15" x14ac:dyDescent="0.25">
      <c r="A51" s="1304" t="s">
        <v>239</v>
      </c>
      <c r="B51" s="1305"/>
      <c r="C51" s="1199"/>
      <c r="D51" s="1199">
        <f>+D5</f>
        <v>0</v>
      </c>
      <c r="E51" s="1199">
        <f>+E5+E9</f>
        <v>0</v>
      </c>
      <c r="F51" s="1199">
        <f>+F5+F9+F13</f>
        <v>0</v>
      </c>
      <c r="G51" s="1199">
        <f>+G5+G9+G13+G17</f>
        <v>446160.25089603936</v>
      </c>
      <c r="H51" s="1199">
        <f>+H5+H9+H13+H17+H21</f>
        <v>634156.81015625666</v>
      </c>
      <c r="I51" s="1199">
        <f>+I5+I9+I13+I17+I21+I25+H29</f>
        <v>744638.81015625666</v>
      </c>
      <c r="J51" s="1199">
        <f>+J5+J9+J13+J17+J21+J25+J29+I33+I37</f>
        <v>846844.2231512703</v>
      </c>
      <c r="K51" s="1199">
        <f>+K5+K9+K13+K17+K21+K25+K29+K33+J37+I37</f>
        <v>794639.48302655143</v>
      </c>
      <c r="L51" s="1199">
        <f>+L5+L9+L13+L17+L21+L25+L29+L33+L37</f>
        <v>876403.87760346616</v>
      </c>
      <c r="M51" s="1199">
        <f>+M5+M9+M13+M17+M21+M25+M29+M33+M37</f>
        <v>771668.47420065873</v>
      </c>
      <c r="N51" s="1269"/>
      <c r="O51" s="1269"/>
      <c r="P51" s="1269"/>
      <c r="Q51" s="1269"/>
      <c r="R51" s="1269"/>
      <c r="S51" s="1269"/>
      <c r="T51" s="1269"/>
      <c r="U51" s="1269"/>
      <c r="V51" s="1269"/>
      <c r="W51" s="1269"/>
      <c r="X51" s="1269"/>
      <c r="Y51" s="1269"/>
      <c r="Z51" s="1269"/>
      <c r="AA51" s="1269"/>
      <c r="AB51" s="1269"/>
      <c r="AC51" s="1269"/>
      <c r="AD51" s="1269"/>
      <c r="AE51" s="1269"/>
      <c r="AF51" s="1269"/>
      <c r="AG51" s="1269"/>
      <c r="AH51" s="1269"/>
      <c r="AI51" s="1269"/>
      <c r="AJ51" s="1269"/>
      <c r="AK51" s="1269"/>
      <c r="AL51" s="1269"/>
      <c r="AM51" s="1269"/>
      <c r="AN51" s="1269"/>
      <c r="AO51" s="1269"/>
      <c r="AP51" s="1269"/>
      <c r="AQ51" s="1269"/>
      <c r="AR51" s="1269"/>
      <c r="AS51" s="1269"/>
      <c r="AT51" s="1269"/>
      <c r="AU51" s="1269"/>
      <c r="AV51" s="750"/>
      <c r="AW51" s="750"/>
      <c r="AX51" s="749"/>
      <c r="AY51" s="749"/>
      <c r="AZ51" s="749"/>
      <c r="BA51" s="749"/>
    </row>
    <row r="52" spans="1:53" ht="15" x14ac:dyDescent="0.25">
      <c r="A52" s="1304" t="s">
        <v>6</v>
      </c>
      <c r="B52" s="1305"/>
      <c r="C52" s="1199"/>
      <c r="D52" s="1199">
        <f t="shared" ref="D52:D53" si="28">+D6</f>
        <v>688739.31666189851</v>
      </c>
      <c r="E52" s="1199">
        <f t="shared" ref="E52:E53" si="29">+E6+E10</f>
        <v>1107103.9430606847</v>
      </c>
      <c r="F52" s="1199">
        <f t="shared" ref="F52:F53" si="30">+F6+F10+F14</f>
        <v>1452332.3848804866</v>
      </c>
      <c r="G52" s="1199">
        <f t="shared" ref="G52:G53" si="31">+G6+G10+G14+G18</f>
        <v>1096322.408013297</v>
      </c>
      <c r="H52" s="1199">
        <f>+H6+H10+H14+H18+H22</f>
        <v>1243794.6801185647</v>
      </c>
      <c r="I52" s="1199">
        <f>+I6+I10+I14+I18+I22+I26+H30</f>
        <v>1364279.6865146144</v>
      </c>
      <c r="J52" s="1199">
        <f t="shared" ref="J52" si="32">+J6+J10+J14+J18+J22+J26+J30+I34+I38</f>
        <v>1468154.5129032617</v>
      </c>
      <c r="K52" s="1199">
        <f t="shared" ref="K52" si="33">+K6+K10+K14+K18+K22+K26+K30+K34+J38+I38</f>
        <v>1464097.2257093233</v>
      </c>
      <c r="L52" s="1199">
        <f t="shared" ref="L52:M52" si="34">+L6+L10+L14+L18+L22+L26+L30+L34+L38</f>
        <v>1457169.2597564911</v>
      </c>
      <c r="M52" s="1199">
        <f t="shared" si="34"/>
        <v>1251462.9491442298</v>
      </c>
      <c r="N52" s="1269"/>
      <c r="O52" s="1269"/>
      <c r="P52" s="1269"/>
      <c r="Q52" s="1269"/>
      <c r="R52" s="1269"/>
      <c r="S52" s="1269"/>
      <c r="T52" s="1269"/>
      <c r="U52" s="1269"/>
      <c r="V52" s="1269"/>
      <c r="W52" s="1269"/>
      <c r="X52" s="1269"/>
      <c r="Y52" s="1269"/>
      <c r="Z52" s="1269"/>
      <c r="AA52" s="1269"/>
      <c r="AB52" s="1269"/>
      <c r="AC52" s="1269"/>
      <c r="AD52" s="1269"/>
      <c r="AE52" s="1269"/>
      <c r="AF52" s="1269"/>
      <c r="AG52" s="1269"/>
      <c r="AH52" s="1269"/>
      <c r="AI52" s="1269"/>
      <c r="AJ52" s="1269"/>
      <c r="AK52" s="1269"/>
      <c r="AL52" s="1269"/>
      <c r="AM52" s="1269"/>
      <c r="AN52" s="1269"/>
      <c r="AO52" s="1269"/>
      <c r="AP52" s="1269"/>
      <c r="AQ52" s="1269"/>
      <c r="AR52" s="1269"/>
      <c r="AS52" s="1269"/>
      <c r="AT52" s="1269"/>
      <c r="AU52" s="1269"/>
      <c r="AV52" s="750"/>
      <c r="AW52" s="750"/>
      <c r="AX52" s="749"/>
      <c r="AY52" s="749"/>
      <c r="AZ52" s="749"/>
      <c r="BA52" s="749"/>
    </row>
    <row r="53" spans="1:53" ht="15" x14ac:dyDescent="0.25">
      <c r="A53" s="1306" t="s">
        <v>240</v>
      </c>
      <c r="B53" s="1305"/>
      <c r="C53" s="1199"/>
      <c r="D53" s="1199">
        <f t="shared" si="28"/>
        <v>0</v>
      </c>
      <c r="E53" s="1199">
        <f t="shared" si="29"/>
        <v>0</v>
      </c>
      <c r="F53" s="1199">
        <f t="shared" si="30"/>
        <v>0</v>
      </c>
      <c r="G53" s="1199">
        <f t="shared" si="31"/>
        <v>0</v>
      </c>
      <c r="H53" s="1199">
        <f t="shared" ref="H53" si="35">+H7+H11+H15+H19+H23</f>
        <v>0</v>
      </c>
      <c r="I53" s="1199">
        <f>+I7+I11+I15+I19+I23+I27+H31-I54</f>
        <v>31088.220049533549</v>
      </c>
      <c r="J53" s="1199">
        <f>+J7+J11+J15+J19+J23+J27+J31+I35+I39-J54</f>
        <v>41112.60400227725</v>
      </c>
      <c r="K53" s="1199">
        <f>+K7+K11+K15+K19+K23+K27+K31+K35+J39+I39-K54</f>
        <v>89227.192928153265</v>
      </c>
      <c r="L53" s="1199">
        <f>+L7+L11+L15+L19+L23+L27+L31+L35+L39-L54</f>
        <v>319639.19292815326</v>
      </c>
      <c r="M53" s="1199">
        <f>+M7+M11+M15+M19+M23+M27+M31+M35+M39-M54</f>
        <v>319639.19292815326</v>
      </c>
      <c r="N53" s="1269"/>
      <c r="O53" s="1269"/>
      <c r="P53" s="1269"/>
      <c r="Q53" s="1269"/>
      <c r="R53" s="1269"/>
      <c r="S53" s="1269"/>
      <c r="T53" s="1269"/>
      <c r="U53" s="1269"/>
      <c r="V53" s="1269"/>
      <c r="W53" s="1269"/>
      <c r="X53" s="1269"/>
      <c r="Y53" s="1269"/>
      <c r="Z53" s="1269"/>
      <c r="AA53" s="1269"/>
      <c r="AB53" s="1269"/>
      <c r="AC53" s="1269"/>
      <c r="AD53" s="1269"/>
      <c r="AE53" s="1269"/>
      <c r="AF53" s="1269"/>
      <c r="AG53" s="1269"/>
      <c r="AH53" s="1269"/>
      <c r="AI53" s="1269"/>
      <c r="AJ53" s="1269"/>
      <c r="AK53" s="1269"/>
      <c r="AL53" s="1269"/>
      <c r="AM53" s="1269"/>
      <c r="AN53" s="1269"/>
      <c r="AO53" s="1269"/>
      <c r="AP53" s="1269"/>
      <c r="AQ53" s="1269"/>
      <c r="AR53" s="1269"/>
      <c r="AS53" s="1269"/>
      <c r="AT53" s="1269"/>
      <c r="AU53" s="1269"/>
      <c r="AV53" s="750"/>
      <c r="AW53" s="750"/>
      <c r="AX53" s="749"/>
      <c r="AY53" s="749"/>
      <c r="AZ53" s="749"/>
      <c r="BA53" s="749"/>
    </row>
    <row r="54" spans="1:53" ht="15" x14ac:dyDescent="0.25">
      <c r="A54" s="1306" t="s">
        <v>725</v>
      </c>
      <c r="B54" s="1305"/>
      <c r="C54" s="1199"/>
      <c r="D54" s="1199"/>
      <c r="E54" s="1199"/>
      <c r="F54" s="1199"/>
      <c r="G54" s="1199"/>
      <c r="H54" s="1199"/>
      <c r="I54" s="1199"/>
      <c r="J54" s="1199">
        <v>385375.9</v>
      </c>
      <c r="K54" s="1199">
        <f>385376+29587.2</f>
        <v>414963.20000000001</v>
      </c>
      <c r="L54" s="1199">
        <f>+K54</f>
        <v>414963.20000000001</v>
      </c>
      <c r="M54" s="1199">
        <f>+L54</f>
        <v>414963.20000000001</v>
      </c>
      <c r="N54" s="1269"/>
      <c r="O54" s="1269"/>
      <c r="P54" s="1269"/>
      <c r="Q54" s="1269"/>
      <c r="R54" s="1269"/>
      <c r="S54" s="1269"/>
      <c r="T54" s="1269"/>
      <c r="U54" s="1269"/>
      <c r="V54" s="1269"/>
      <c r="W54" s="1269"/>
      <c r="X54" s="1269"/>
      <c r="Y54" s="1269"/>
      <c r="Z54" s="1269"/>
      <c r="AA54" s="1269"/>
      <c r="AB54" s="1269"/>
      <c r="AC54" s="1269"/>
      <c r="AD54" s="1269"/>
      <c r="AE54" s="1269"/>
      <c r="AF54" s="1269"/>
      <c r="AG54" s="1269"/>
      <c r="AH54" s="1269"/>
      <c r="AI54" s="1269"/>
      <c r="AJ54" s="1269"/>
      <c r="AK54" s="1269"/>
      <c r="AL54" s="1269"/>
      <c r="AM54" s="1269"/>
      <c r="AN54" s="1269"/>
      <c r="AO54" s="1269"/>
      <c r="AP54" s="1269"/>
      <c r="AQ54" s="1269"/>
      <c r="AR54" s="1269"/>
      <c r="AS54" s="1269"/>
      <c r="AT54" s="1269"/>
      <c r="AU54" s="1269"/>
      <c r="AV54" s="750"/>
      <c r="AW54" s="750"/>
      <c r="AX54" s="749"/>
      <c r="AY54" s="749"/>
      <c r="AZ54" s="749"/>
      <c r="BA54" s="749"/>
    </row>
    <row r="55" spans="1:53" ht="18.75" x14ac:dyDescent="0.3">
      <c r="A55" s="1298" t="s">
        <v>726</v>
      </c>
      <c r="B55" s="1295"/>
      <c r="C55" s="1296"/>
      <c r="D55" s="1296"/>
      <c r="E55" s="1296"/>
      <c r="F55" s="1296"/>
      <c r="G55" s="1296"/>
      <c r="H55" s="1296"/>
      <c r="I55" s="1296"/>
      <c r="J55" s="1296"/>
      <c r="K55" s="1296"/>
      <c r="L55" s="1296"/>
      <c r="M55" s="1296"/>
      <c r="N55" s="1297"/>
      <c r="O55" s="1297"/>
      <c r="P55" s="1297"/>
      <c r="Q55" s="1297"/>
      <c r="R55" s="1297"/>
      <c r="S55" s="1297"/>
      <c r="T55" s="1297"/>
      <c r="U55" s="1297"/>
      <c r="V55" s="1297"/>
      <c r="W55" s="1297"/>
      <c r="X55" s="1297"/>
      <c r="Y55" s="1297"/>
      <c r="Z55" s="1297"/>
      <c r="AA55" s="1297"/>
      <c r="AB55" s="1297"/>
      <c r="AC55" s="1297"/>
      <c r="AD55" s="1297"/>
      <c r="AE55" s="1297"/>
      <c r="AF55" s="1297"/>
      <c r="AG55" s="1297"/>
      <c r="AH55" s="1297"/>
      <c r="AI55" s="1297"/>
      <c r="AJ55" s="1297"/>
      <c r="AK55" s="1297"/>
      <c r="AL55" s="1297"/>
      <c r="AM55" s="1297"/>
      <c r="AN55" s="1297"/>
      <c r="AO55" s="1297"/>
      <c r="AP55" s="1297"/>
      <c r="AQ55" s="1297"/>
      <c r="AR55" s="1297"/>
      <c r="AS55" s="1297"/>
      <c r="AT55" s="1297"/>
      <c r="AU55" s="1297"/>
      <c r="AV55" s="750"/>
      <c r="AW55" s="750"/>
      <c r="AX55" s="749"/>
      <c r="AY55" s="749"/>
      <c r="AZ55" s="749"/>
      <c r="BA55" s="749"/>
    </row>
    <row r="56" spans="1:53" ht="15" x14ac:dyDescent="0.25">
      <c r="A56" s="1299" t="s">
        <v>239</v>
      </c>
      <c r="B56" s="1300"/>
      <c r="C56" s="1294">
        <f t="shared" ref="C56:K56" si="36">+C5+C9+C13+C17+C21+C25+C29+C33+C37+C41+C45</f>
        <v>0</v>
      </c>
      <c r="D56" s="1294">
        <f t="shared" si="36"/>
        <v>0</v>
      </c>
      <c r="E56" s="1294">
        <f t="shared" si="36"/>
        <v>0</v>
      </c>
      <c r="F56" s="1294">
        <f t="shared" ref="F56:J57" si="37">+F5+F9+F13+F17+F21+F25+F29+F33+F37+F41+F45</f>
        <v>476414.92224623403</v>
      </c>
      <c r="G56" s="1294">
        <f t="shared" si="37"/>
        <v>710523.56925544515</v>
      </c>
      <c r="H56" s="1294">
        <f t="shared" si="37"/>
        <v>744637.81015625666</v>
      </c>
      <c r="I56" s="1294">
        <f t="shared" si="37"/>
        <v>846844.2231512703</v>
      </c>
      <c r="J56" s="1294">
        <f t="shared" si="37"/>
        <v>874880.30719739629</v>
      </c>
      <c r="K56" s="1294">
        <f t="shared" si="36"/>
        <v>956871.48302655143</v>
      </c>
      <c r="L56" s="1294">
        <f>+L5+L9+L13+L17+L21+L25+L29+L33+L37+L41+L45</f>
        <v>876403.87760346616</v>
      </c>
      <c r="M56" s="1294">
        <f>+M5+M9+M13+M17+M21+M25+M29+M33+M37+M41+M45</f>
        <v>771668.47420065873</v>
      </c>
      <c r="N56" s="1294">
        <f t="shared" ref="N56:AD56" si="38">+N5+N9+N13+N17+N21+N25+N29+N33+N37+N41+N45</f>
        <v>441368.46011621843</v>
      </c>
      <c r="O56" s="1294">
        <f t="shared" si="38"/>
        <v>75565.822729524371</v>
      </c>
      <c r="P56" s="1294">
        <f t="shared" si="38"/>
        <v>75565.822729524371</v>
      </c>
      <c r="Q56" s="1294">
        <f t="shared" si="38"/>
        <v>75565.822729524371</v>
      </c>
      <c r="R56" s="1294">
        <f t="shared" si="38"/>
        <v>74289.416233134107</v>
      </c>
      <c r="S56" s="1294">
        <f t="shared" si="38"/>
        <v>73108.62974200357</v>
      </c>
      <c r="T56" s="1294">
        <f t="shared" si="38"/>
        <v>62431.595125505679</v>
      </c>
      <c r="U56" s="1294">
        <f t="shared" si="38"/>
        <v>47610.483104648505</v>
      </c>
      <c r="V56" s="1294">
        <f t="shared" si="38"/>
        <v>18855.202421380145</v>
      </c>
      <c r="W56" s="1294">
        <f t="shared" si="38"/>
        <v>18855.202421380145</v>
      </c>
      <c r="X56" s="1294">
        <f t="shared" si="38"/>
        <v>18855.202421380145</v>
      </c>
      <c r="Y56" s="1294">
        <f t="shared" si="38"/>
        <v>18855.202421380145</v>
      </c>
      <c r="Z56" s="1294">
        <f t="shared" si="38"/>
        <v>15605.982898972226</v>
      </c>
      <c r="AA56" s="1294">
        <f t="shared" si="38"/>
        <v>0</v>
      </c>
      <c r="AB56" s="1294">
        <f t="shared" si="38"/>
        <v>0</v>
      </c>
      <c r="AC56" s="1294">
        <f t="shared" si="38"/>
        <v>0</v>
      </c>
      <c r="AD56" s="1294">
        <f t="shared" si="38"/>
        <v>0</v>
      </c>
      <c r="AE56" s="757"/>
      <c r="AF56" s="757"/>
      <c r="AG56" s="757"/>
      <c r="AH56" s="757"/>
      <c r="AI56" s="757"/>
      <c r="AJ56" s="757"/>
      <c r="AK56" s="757"/>
      <c r="AL56" s="757"/>
      <c r="AM56" s="757"/>
      <c r="AN56" s="757"/>
      <c r="AO56" s="757"/>
      <c r="AP56" s="757"/>
      <c r="AQ56" s="757"/>
      <c r="AR56" s="757"/>
      <c r="AS56" s="757"/>
      <c r="AT56" s="757"/>
      <c r="AU56" s="757"/>
      <c r="AV56" s="750"/>
      <c r="AW56" s="750"/>
      <c r="AX56" s="749"/>
      <c r="AY56" s="749"/>
      <c r="AZ56" s="749"/>
      <c r="BA56" s="749"/>
    </row>
    <row r="57" spans="1:53" ht="15" x14ac:dyDescent="0.25">
      <c r="A57" s="1299" t="s">
        <v>6</v>
      </c>
      <c r="B57" s="1300"/>
      <c r="C57" s="1294">
        <f>+C6+C10+C14+C18+C22+C26+C30+C34+C38+C42+C46</f>
        <v>688739.31666189851</v>
      </c>
      <c r="D57" s="1294">
        <f>+D6+D10+D14+D18+D22+D26+D30+D34+D38+D42+D46</f>
        <v>1445689.4867662429</v>
      </c>
      <c r="E57" s="1294">
        <f>+E6+E10+E14+E18+E22+E26+E30+E34+E38+E42+E46</f>
        <v>1559541.2207570404</v>
      </c>
      <c r="F57" s="1294">
        <f t="shared" si="37"/>
        <v>1668971.9399301712</v>
      </c>
      <c r="G57" s="1294">
        <f t="shared" si="37"/>
        <v>1248224.1547810691</v>
      </c>
      <c r="H57" s="1294">
        <f t="shared" si="37"/>
        <v>1420812.7915534533</v>
      </c>
      <c r="I57" s="1294">
        <f t="shared" si="37"/>
        <v>1482887.4048742228</v>
      </c>
      <c r="J57" s="1294">
        <f t="shared" si="37"/>
        <v>1575397.5370583059</v>
      </c>
      <c r="K57" s="1294">
        <f>+K6+K10+K14+K18+K22+K26+K30+K34+K38+K42+K46</f>
        <v>1852532.2257093233</v>
      </c>
      <c r="L57" s="1294">
        <f t="shared" ref="L57:M57" si="39">+L6+L10+L14+L18+L22+L26+L30+L34+L38+L42+L46</f>
        <v>1457169.2597564911</v>
      </c>
      <c r="M57" s="1294">
        <f t="shared" si="39"/>
        <v>1251462.9491442298</v>
      </c>
      <c r="N57" s="1294">
        <f t="shared" ref="N57:AD57" si="40">+N6+N10+N14+N18+N22+N26+N30+N34+N38+N42+N46</f>
        <v>1045326.1541869845</v>
      </c>
      <c r="O57" s="1294">
        <f t="shared" si="40"/>
        <v>985190.50277421996</v>
      </c>
      <c r="P57" s="1294">
        <f t="shared" si="40"/>
        <v>964113.01004059694</v>
      </c>
      <c r="Q57" s="1294">
        <f t="shared" si="40"/>
        <v>924493.26579877338</v>
      </c>
      <c r="R57" s="1294">
        <f t="shared" si="40"/>
        <v>829823.81730468862</v>
      </c>
      <c r="S57" s="1294">
        <f t="shared" si="40"/>
        <v>786877.11777984037</v>
      </c>
      <c r="T57" s="1294">
        <f t="shared" si="40"/>
        <v>753611.41172013793</v>
      </c>
      <c r="U57" s="1294">
        <f t="shared" si="40"/>
        <v>620602.21455536061</v>
      </c>
      <c r="V57" s="1294">
        <f t="shared" si="40"/>
        <v>604840.04031152383</v>
      </c>
      <c r="W57" s="1294">
        <f t="shared" si="40"/>
        <v>543490.34541849256</v>
      </c>
      <c r="X57" s="1294">
        <f t="shared" si="40"/>
        <v>524653.83185378357</v>
      </c>
      <c r="Y57" s="1294">
        <f t="shared" si="40"/>
        <v>460021.98355010245</v>
      </c>
      <c r="Z57" s="1294">
        <f t="shared" si="40"/>
        <v>454441.25113241863</v>
      </c>
      <c r="AA57" s="1294">
        <f t="shared" si="40"/>
        <v>361970.25090424926</v>
      </c>
      <c r="AB57" s="1294">
        <f t="shared" si="40"/>
        <v>287509.61943568668</v>
      </c>
      <c r="AC57" s="1294">
        <f t="shared" si="40"/>
        <v>64414.629325122216</v>
      </c>
      <c r="AD57" s="1294">
        <f t="shared" si="40"/>
        <v>10651.235022659333</v>
      </c>
      <c r="AE57" s="757"/>
      <c r="AF57" s="757"/>
      <c r="AG57" s="757"/>
      <c r="AH57" s="757"/>
      <c r="AI57" s="757"/>
      <c r="AJ57" s="757"/>
      <c r="AK57" s="757"/>
      <c r="AL57" s="757"/>
      <c r="AM57" s="757"/>
      <c r="AN57" s="757"/>
      <c r="AO57" s="757"/>
      <c r="AP57" s="757"/>
      <c r="AQ57" s="757"/>
      <c r="AR57" s="757"/>
      <c r="AS57" s="757"/>
      <c r="AT57" s="757"/>
      <c r="AU57" s="757"/>
      <c r="AV57" s="750"/>
      <c r="AW57" s="750"/>
      <c r="AX57" s="749"/>
      <c r="AY57" s="749"/>
      <c r="AZ57" s="749"/>
      <c r="BA57" s="749"/>
    </row>
    <row r="58" spans="1:53" ht="15" x14ac:dyDescent="0.25">
      <c r="A58" s="1299" t="s">
        <v>240</v>
      </c>
      <c r="B58" s="1300"/>
      <c r="C58" s="1294">
        <f t="shared" ref="C58:G58" si="41">+C7+C11+C15+C19+C23+C27+C31+C35+C39+C43+C47</f>
        <v>0</v>
      </c>
      <c r="D58" s="1294">
        <f t="shared" si="41"/>
        <v>0</v>
      </c>
      <c r="E58" s="1294">
        <f t="shared" si="41"/>
        <v>0</v>
      </c>
      <c r="F58" s="1294">
        <f t="shared" si="41"/>
        <v>0</v>
      </c>
      <c r="G58" s="1294">
        <f t="shared" si="41"/>
        <v>0</v>
      </c>
      <c r="H58" s="1294">
        <f>+H7+H11+H15+H19+H23+H27+H31+H35+H39+H43+H47</f>
        <v>31092.79935564</v>
      </c>
      <c r="I58" s="1294">
        <f>+I7+I11+I15+I19+I23+I27+I31+I35+I39+I43+I47-I59</f>
        <v>42592.535702277557</v>
      </c>
      <c r="J58" s="1294">
        <f>+J7+J11+J15+J19+J23+J27+J31+J35+J39+J43+J47-J59</f>
        <v>90144.392928153276</v>
      </c>
      <c r="K58" s="1294">
        <f>+K7+K11+K15+K19+K23+K27+K31+K35+K39+K43+K47-K59</f>
        <v>319639.2929281533</v>
      </c>
      <c r="L58" s="1294">
        <f>+L7+L11+L15+L19+L23+L27+L31+L35+L39+L43+L47-L59</f>
        <v>321201.06883219827</v>
      </c>
      <c r="M58" s="1294">
        <f>+M7+M11+M15+M19+M23+M27+M31+M35+M39+M43+M47-M59</f>
        <v>326868.10795071174</v>
      </c>
      <c r="N58" s="1294">
        <f t="shared" ref="N58:AD58" si="42">+N7+N11+N15+N19+N23+N27+N31+N35+N39+N43+N47</f>
        <v>734602.39292815328</v>
      </c>
      <c r="O58" s="1294">
        <f t="shared" si="42"/>
        <v>730320.51723723474</v>
      </c>
      <c r="P58" s="1294">
        <f t="shared" si="42"/>
        <v>701207.71788159478</v>
      </c>
      <c r="Q58" s="1294">
        <f t="shared" si="42"/>
        <v>699263.96777287207</v>
      </c>
      <c r="R58" s="1294">
        <f t="shared" si="42"/>
        <v>698189.40854201815</v>
      </c>
      <c r="S58" s="1294">
        <f t="shared" si="42"/>
        <v>667963.14491203381</v>
      </c>
      <c r="T58" s="1294">
        <f t="shared" si="42"/>
        <v>613145.2016667123</v>
      </c>
      <c r="U58" s="1294">
        <f t="shared" si="42"/>
        <v>211455.79562062499</v>
      </c>
      <c r="V58" s="1294">
        <f t="shared" si="42"/>
        <v>107364.3267282186</v>
      </c>
      <c r="W58" s="1294">
        <f t="shared" si="42"/>
        <v>107318.59605435019</v>
      </c>
      <c r="X58" s="1294">
        <f t="shared" si="42"/>
        <v>97491.18591044363</v>
      </c>
      <c r="Y58" s="1294">
        <f t="shared" si="42"/>
        <v>15514.227758009161</v>
      </c>
      <c r="Z58" s="1294">
        <f t="shared" si="42"/>
        <v>81441.23621798314</v>
      </c>
      <c r="AA58" s="1294">
        <f t="shared" si="42"/>
        <v>15514.22775800916</v>
      </c>
      <c r="AB58" s="1294">
        <f t="shared" si="42"/>
        <v>15514.22775800916</v>
      </c>
      <c r="AC58" s="1294">
        <f t="shared" si="42"/>
        <v>15514.22775800916</v>
      </c>
      <c r="AD58" s="1294">
        <f t="shared" si="42"/>
        <v>0</v>
      </c>
      <c r="AE58" s="757"/>
      <c r="AF58" s="757"/>
      <c r="AG58" s="757"/>
      <c r="AH58" s="757"/>
      <c r="AI58" s="757"/>
      <c r="AJ58" s="757"/>
      <c r="AK58" s="757"/>
      <c r="AL58" s="757"/>
      <c r="AM58" s="757"/>
      <c r="AN58" s="757"/>
      <c r="AO58" s="757"/>
      <c r="AP58" s="757"/>
      <c r="AQ58" s="757"/>
      <c r="AR58" s="757"/>
      <c r="AS58" s="757"/>
      <c r="AT58" s="757"/>
      <c r="AU58" s="757"/>
      <c r="AV58" s="750"/>
      <c r="AW58" s="750"/>
      <c r="AX58" s="749"/>
      <c r="AY58" s="749"/>
      <c r="AZ58" s="749"/>
      <c r="BA58" s="749"/>
    </row>
    <row r="59" spans="1:53" ht="15" x14ac:dyDescent="0.25">
      <c r="A59" s="1206" t="s">
        <v>592</v>
      </c>
      <c r="B59" s="773"/>
      <c r="C59" s="1292"/>
      <c r="D59" s="1292"/>
      <c r="E59" s="1292"/>
      <c r="F59" s="1292"/>
      <c r="G59" s="1292"/>
      <c r="H59" s="1292"/>
      <c r="I59" s="1292">
        <v>385376</v>
      </c>
      <c r="J59" s="1292">
        <v>414963</v>
      </c>
      <c r="K59" s="1292">
        <v>414963.1</v>
      </c>
      <c r="L59" s="1292">
        <v>413401.324095955</v>
      </c>
      <c r="M59" s="1292">
        <v>407734.28497744154</v>
      </c>
      <c r="N59" s="1292"/>
      <c r="O59" s="1292"/>
      <c r="P59" s="1292"/>
      <c r="Q59" s="1292"/>
      <c r="R59" s="1292"/>
      <c r="S59" s="1292"/>
      <c r="T59" s="1292"/>
      <c r="U59" s="1292"/>
      <c r="V59" s="1292"/>
      <c r="W59" s="1292"/>
      <c r="X59" s="1292"/>
      <c r="Y59" s="1292"/>
      <c r="Z59" s="1292"/>
      <c r="AA59" s="1292"/>
      <c r="AB59" s="1292"/>
      <c r="AC59" s="1292"/>
      <c r="AD59" s="1292"/>
      <c r="AE59" s="1293"/>
      <c r="AF59" s="1293"/>
      <c r="AG59" s="1293"/>
      <c r="AH59" s="1293"/>
      <c r="AI59" s="1293"/>
      <c r="AJ59" s="1293"/>
      <c r="AK59" s="1293"/>
      <c r="AL59" s="1293"/>
      <c r="AM59" s="1293"/>
      <c r="AN59" s="1293"/>
      <c r="AO59" s="1293"/>
      <c r="AP59" s="1293"/>
      <c r="AQ59" s="1293"/>
      <c r="AR59" s="1293"/>
      <c r="AS59" s="1293"/>
      <c r="AT59" s="1293"/>
      <c r="AU59" s="1293"/>
      <c r="AV59" s="750"/>
      <c r="AW59" s="750"/>
      <c r="AX59" s="749"/>
      <c r="AY59" s="749"/>
      <c r="AZ59" s="749"/>
      <c r="BA59" s="749"/>
    </row>
    <row r="60" spans="1:53" ht="15" x14ac:dyDescent="0.25">
      <c r="A60" s="749"/>
      <c r="B60" s="749"/>
      <c r="C60" s="750"/>
      <c r="D60" s="750"/>
      <c r="E60" s="750"/>
      <c r="F60" s="750"/>
      <c r="G60" s="750"/>
      <c r="H60" s="750"/>
      <c r="I60" s="968">
        <f>I59/I61</f>
        <v>0.9004774132930472</v>
      </c>
      <c r="J60" s="968">
        <f t="shared" ref="J60:K60" si="43">J59/J61</f>
        <v>0.82153420403218003</v>
      </c>
      <c r="K60" s="968">
        <f t="shared" si="43"/>
        <v>0.5648812255374519</v>
      </c>
      <c r="L60" s="968">
        <f>AVERAGE(I60:K60)</f>
        <v>0.76229761428755971</v>
      </c>
      <c r="M60" s="750"/>
      <c r="N60" s="750"/>
      <c r="O60" s="750"/>
      <c r="P60" s="750"/>
      <c r="Q60" s="750"/>
      <c r="R60" s="750"/>
      <c r="S60" s="750"/>
      <c r="T60" s="750"/>
      <c r="U60" s="750"/>
      <c r="V60" s="750"/>
      <c r="W60" s="750"/>
      <c r="X60" s="750"/>
      <c r="Y60" s="750"/>
      <c r="Z60" s="750"/>
      <c r="AA60" s="750"/>
      <c r="AB60" s="750"/>
      <c r="AC60" s="750"/>
      <c r="AD60" s="750"/>
      <c r="AE60" s="750"/>
      <c r="AF60" s="750"/>
      <c r="AG60" s="750"/>
      <c r="AH60" s="750"/>
      <c r="AI60" s="750"/>
      <c r="AJ60" s="750"/>
      <c r="AK60" s="750"/>
      <c r="AL60" s="750"/>
      <c r="AM60" s="750"/>
      <c r="AN60" s="750"/>
      <c r="AO60" s="750"/>
      <c r="AP60" s="750"/>
      <c r="AQ60" s="750"/>
      <c r="AR60" s="750"/>
      <c r="AS60" s="750"/>
      <c r="AT60" s="750"/>
      <c r="AU60" s="750"/>
      <c r="AV60" s="750"/>
      <c r="AW60" s="750"/>
      <c r="AX60" s="749"/>
      <c r="AY60" s="749"/>
      <c r="AZ60" s="749"/>
      <c r="BA60" s="749"/>
    </row>
    <row r="61" spans="1:53" ht="15" x14ac:dyDescent="0.25">
      <c r="A61" s="755" t="s">
        <v>391</v>
      </c>
      <c r="B61" s="749"/>
      <c r="C61" s="753"/>
      <c r="D61" s="749"/>
      <c r="E61" s="753"/>
      <c r="F61" s="749"/>
      <c r="G61" s="749"/>
      <c r="I61" s="961">
        <f>SUM(I58:I59)</f>
        <v>427968.53570227756</v>
      </c>
      <c r="J61" s="961">
        <f t="shared" ref="J61:K61" si="44">SUM(J58:J59)</f>
        <v>505107.39292815328</v>
      </c>
      <c r="K61" s="961">
        <f t="shared" si="44"/>
        <v>734602.39292815328</v>
      </c>
      <c r="L61" s="965">
        <f>1-L60</f>
        <v>0.23770238571244029</v>
      </c>
      <c r="M61" s="964"/>
      <c r="N61" s="749"/>
      <c r="O61" s="749"/>
      <c r="P61" s="749"/>
      <c r="Q61" s="749"/>
      <c r="R61" s="749"/>
      <c r="S61" s="749"/>
      <c r="T61" s="749"/>
      <c r="U61" s="749"/>
      <c r="V61" s="749"/>
      <c r="W61" s="749"/>
      <c r="X61" s="749"/>
      <c r="Y61" s="749"/>
      <c r="Z61" s="749"/>
      <c r="AA61" s="749"/>
      <c r="AB61" s="749"/>
      <c r="AC61" s="749"/>
      <c r="AD61" s="749"/>
      <c r="AE61" s="749"/>
      <c r="AF61" s="749"/>
      <c r="AG61" s="749"/>
      <c r="AH61" s="749"/>
      <c r="AI61" s="749"/>
      <c r="AJ61" s="749"/>
      <c r="AK61" s="749"/>
      <c r="AL61" s="749"/>
      <c r="AM61" s="749"/>
      <c r="AN61" s="749"/>
      <c r="AO61" s="749"/>
      <c r="AP61" s="749"/>
      <c r="AQ61" s="749"/>
      <c r="AR61" s="749"/>
      <c r="AS61" s="749"/>
      <c r="AT61" s="749"/>
      <c r="AU61" s="749"/>
      <c r="AV61" s="749"/>
      <c r="AW61" s="749"/>
      <c r="AX61" s="749"/>
      <c r="AY61" s="749"/>
      <c r="AZ61" s="749"/>
      <c r="BA61" s="749"/>
    </row>
    <row r="62" spans="1:53" ht="15" x14ac:dyDescent="0.25">
      <c r="A62" s="749" t="s">
        <v>251</v>
      </c>
      <c r="B62" s="749"/>
      <c r="C62" s="753"/>
      <c r="D62" s="749"/>
      <c r="E62" s="753"/>
      <c r="F62" s="952"/>
      <c r="G62" s="749"/>
      <c r="I62" s="689"/>
      <c r="J62" s="689"/>
      <c r="M62" s="964"/>
      <c r="N62" s="749"/>
      <c r="O62" s="749"/>
      <c r="P62" s="749"/>
      <c r="Q62" s="749"/>
      <c r="R62" s="749"/>
      <c r="S62" s="749"/>
      <c r="T62" s="749"/>
      <c r="U62" s="749"/>
      <c r="V62" s="749"/>
      <c r="W62" s="749"/>
      <c r="X62" s="749"/>
      <c r="Y62" s="749"/>
      <c r="Z62" s="749"/>
      <c r="AA62" s="749"/>
      <c r="AB62" s="749"/>
      <c r="AC62" s="749"/>
      <c r="AD62" s="749"/>
      <c r="AE62" s="749"/>
      <c r="AF62" s="749"/>
      <c r="AG62" s="749"/>
      <c r="AH62" s="749"/>
      <c r="AI62" s="749"/>
      <c r="AJ62" s="749"/>
      <c r="AK62" s="749"/>
      <c r="AL62" s="749"/>
      <c r="AM62" s="749"/>
      <c r="AN62" s="749"/>
      <c r="AO62" s="749"/>
      <c r="AP62" s="749"/>
      <c r="AQ62" s="749"/>
      <c r="AR62" s="749"/>
      <c r="AS62" s="749"/>
      <c r="AT62" s="749"/>
      <c r="AU62" s="749"/>
      <c r="AV62" s="749"/>
      <c r="AW62" s="749"/>
      <c r="AX62" s="749"/>
      <c r="AY62" s="749"/>
      <c r="AZ62" s="749"/>
      <c r="BA62" s="749"/>
    </row>
    <row r="63" spans="1:53" ht="15" x14ac:dyDescent="0.25">
      <c r="A63" s="749" t="s">
        <v>252</v>
      </c>
      <c r="B63" s="749"/>
      <c r="C63" s="749"/>
      <c r="D63" s="749"/>
      <c r="E63" s="749"/>
      <c r="F63" s="749"/>
      <c r="G63" s="749"/>
      <c r="H63" s="966" t="s">
        <v>600</v>
      </c>
      <c r="I63" s="966">
        <v>2012</v>
      </c>
      <c r="J63" s="966">
        <v>2013</v>
      </c>
      <c r="K63" s="966">
        <v>2014</v>
      </c>
      <c r="L63" s="966" t="s">
        <v>601</v>
      </c>
      <c r="M63" s="969" t="s">
        <v>712</v>
      </c>
      <c r="N63" s="764" t="s">
        <v>711</v>
      </c>
      <c r="O63" s="749"/>
      <c r="P63" s="749"/>
      <c r="Q63" s="749"/>
      <c r="R63" s="749"/>
      <c r="S63" s="749"/>
      <c r="T63" s="749"/>
      <c r="U63" s="749"/>
      <c r="V63" s="749"/>
      <c r="W63" s="749"/>
      <c r="X63" s="749"/>
      <c r="Y63" s="749"/>
      <c r="Z63" s="749"/>
      <c r="AA63" s="749"/>
      <c r="AB63" s="749"/>
      <c r="AC63" s="752"/>
      <c r="AD63" s="752"/>
      <c r="AE63" s="752"/>
      <c r="AF63" s="752"/>
      <c r="AG63" s="752"/>
      <c r="AH63" s="752"/>
      <c r="AI63" s="752"/>
    </row>
    <row r="64" spans="1:53" ht="15" x14ac:dyDescent="0.25">
      <c r="A64" s="770" t="s">
        <v>376</v>
      </c>
      <c r="B64" s="749"/>
      <c r="C64" s="749"/>
      <c r="D64" s="749"/>
      <c r="E64" s="749"/>
      <c r="F64" s="749"/>
      <c r="G64" s="749"/>
      <c r="H64" s="958" t="s">
        <v>239</v>
      </c>
      <c r="I64" s="959">
        <f>I29</f>
        <v>102205.4129950137</v>
      </c>
      <c r="J64" s="959">
        <f>J33</f>
        <v>28036.084046126001</v>
      </c>
      <c r="K64" s="960">
        <f>K37</f>
        <v>162232</v>
      </c>
      <c r="L64" s="959">
        <f>AVERAGE(I64:K64)</f>
        <v>97491.165680379898</v>
      </c>
      <c r="M64" s="967">
        <f>L64/L67</f>
        <v>0.23642585155011916</v>
      </c>
      <c r="N64" s="1054">
        <f>'9.1 CDM Allocation'!K18</f>
        <v>5.1973356015669714E-2</v>
      </c>
      <c r="O64" s="752"/>
      <c r="P64" s="752"/>
      <c r="Q64" s="752"/>
      <c r="R64" s="752"/>
      <c r="S64" s="752"/>
      <c r="T64" s="752"/>
      <c r="U64" s="752"/>
      <c r="V64" s="752"/>
      <c r="W64" s="752"/>
      <c r="X64" s="752"/>
      <c r="Y64" s="752"/>
      <c r="Z64" s="752"/>
      <c r="AA64" s="752"/>
      <c r="AB64" s="752"/>
      <c r="AC64" s="752"/>
      <c r="AD64" s="752"/>
      <c r="AE64" s="752"/>
      <c r="AF64" s="752"/>
      <c r="AG64" s="752"/>
      <c r="AH64" s="752"/>
      <c r="AI64" s="752"/>
    </row>
    <row r="65" spans="1:35" ht="15" x14ac:dyDescent="0.25">
      <c r="A65" s="1268" t="s">
        <v>710</v>
      </c>
      <c r="B65" s="749"/>
      <c r="C65" s="749"/>
      <c r="D65" s="749"/>
      <c r="E65" s="749"/>
      <c r="F65" s="749"/>
      <c r="G65" s="749"/>
      <c r="H65" s="958" t="s">
        <v>6</v>
      </c>
      <c r="I65" s="959">
        <f>I30</f>
        <v>97825.471165497045</v>
      </c>
      <c r="J65" s="959">
        <f>J34</f>
        <v>119391.38278404402</v>
      </c>
      <c r="K65" s="960">
        <f>K38</f>
        <v>407311</v>
      </c>
      <c r="L65" s="959">
        <f t="shared" ref="L65" si="45">AVERAGE(I65:K65)</f>
        <v>208175.95131651367</v>
      </c>
      <c r="M65" s="967">
        <f>L65/L67</f>
        <v>0.5048475543273564</v>
      </c>
      <c r="N65" s="1054">
        <v>0.70620000000000005</v>
      </c>
      <c r="O65" s="752"/>
      <c r="P65" s="752"/>
      <c r="Q65" s="752"/>
      <c r="R65" s="752"/>
      <c r="S65" s="752"/>
      <c r="T65" s="752"/>
      <c r="U65" s="752"/>
      <c r="V65" s="752"/>
      <c r="W65" s="752"/>
      <c r="X65" s="752"/>
      <c r="Y65" s="752"/>
      <c r="Z65" s="752"/>
      <c r="AA65" s="752"/>
      <c r="AB65" s="752"/>
      <c r="AC65" s="752"/>
      <c r="AD65" s="752"/>
      <c r="AE65" s="752"/>
      <c r="AF65" s="752"/>
      <c r="AG65" s="752"/>
      <c r="AH65" s="752"/>
      <c r="AI65" s="752"/>
    </row>
    <row r="66" spans="1:35" ht="15" x14ac:dyDescent="0.25">
      <c r="A66" s="770" t="s">
        <v>377</v>
      </c>
      <c r="B66" s="749"/>
      <c r="C66" s="749"/>
      <c r="D66" s="749"/>
      <c r="E66" s="749"/>
      <c r="F66" s="749"/>
      <c r="G66" s="749"/>
      <c r="H66" s="958" t="s">
        <v>240</v>
      </c>
      <c r="I66" s="959">
        <f>I31-I67</f>
        <v>40617.215008383966</v>
      </c>
      <c r="J66" s="959">
        <f>J35-J67</f>
        <v>49031.688925876006</v>
      </c>
      <c r="K66" s="960">
        <f>K39</f>
        <v>230412</v>
      </c>
      <c r="L66" s="959">
        <f>AVERAGE(I66:K66)</f>
        <v>106686.96797808666</v>
      </c>
      <c r="M66" s="967">
        <f>L66/L67*L61</f>
        <v>6.1499928670178283E-2</v>
      </c>
      <c r="N66" s="1054">
        <f>'9.1 CDM Allocation'!K20</f>
        <v>5.4355849258364328E-2</v>
      </c>
      <c r="O66" s="752"/>
      <c r="P66" s="752"/>
      <c r="Q66" s="752"/>
      <c r="R66" s="752"/>
      <c r="S66" s="752"/>
      <c r="T66" s="752"/>
      <c r="U66" s="752"/>
      <c r="V66" s="752"/>
      <c r="W66" s="752"/>
      <c r="X66" s="752"/>
      <c r="Y66" s="752"/>
      <c r="Z66" s="752"/>
      <c r="AA66" s="752"/>
      <c r="AB66" s="752"/>
      <c r="AC66" s="752"/>
      <c r="AD66" s="752"/>
      <c r="AE66" s="752"/>
      <c r="AF66" s="752"/>
      <c r="AG66" s="752"/>
      <c r="AH66" s="752"/>
      <c r="AI66" s="752"/>
    </row>
    <row r="67" spans="1:35" ht="15" x14ac:dyDescent="0.25">
      <c r="A67" s="755" t="s">
        <v>61</v>
      </c>
      <c r="B67" s="749"/>
      <c r="C67" s="749"/>
      <c r="D67" s="749"/>
      <c r="E67" s="749"/>
      <c r="F67" s="749"/>
      <c r="G67" s="749"/>
      <c r="H67" s="958" t="s">
        <v>602</v>
      </c>
      <c r="I67" s="1279">
        <f>385375.9</f>
        <v>385375.9</v>
      </c>
      <c r="J67" s="1279">
        <v>29587.200000000001</v>
      </c>
      <c r="K67" s="1280">
        <v>0</v>
      </c>
      <c r="L67" s="962">
        <f>SUM(L64:L66)</f>
        <v>412354.08497498021</v>
      </c>
      <c r="M67" s="967">
        <f>L66/L67*L60</f>
        <v>0.19722666545234613</v>
      </c>
      <c r="N67" s="1054">
        <f>'9.1 CDM Allocation'!K22</f>
        <v>1.0842642012571693E-2</v>
      </c>
      <c r="O67" s="749"/>
      <c r="P67" s="749"/>
      <c r="Q67" s="749"/>
      <c r="R67" s="749"/>
      <c r="S67" s="749"/>
      <c r="T67" s="749"/>
      <c r="U67" s="749"/>
      <c r="V67" s="749"/>
      <c r="W67" s="749"/>
      <c r="X67" s="749"/>
      <c r="Y67" s="749"/>
      <c r="Z67" s="749"/>
      <c r="AA67" s="749"/>
      <c r="AB67" s="749"/>
      <c r="AC67" s="749"/>
      <c r="AD67" s="749"/>
      <c r="AE67" s="749"/>
      <c r="AF67" s="749"/>
      <c r="AG67" s="749"/>
      <c r="AH67" s="749"/>
      <c r="AI67" s="749"/>
    </row>
    <row r="68" spans="1:35" ht="15" x14ac:dyDescent="0.25">
      <c r="A68" s="770" t="s">
        <v>378</v>
      </c>
      <c r="B68" s="749"/>
      <c r="C68" s="749"/>
      <c r="D68" s="749"/>
      <c r="E68" s="749"/>
      <c r="F68" s="749"/>
      <c r="G68" s="749"/>
      <c r="H68" s="1052" t="s">
        <v>616</v>
      </c>
      <c r="I68" s="749"/>
      <c r="J68" s="753"/>
      <c r="K68" s="749"/>
      <c r="L68" s="749"/>
      <c r="M68" s="1053">
        <f>SUM(M64:M67)</f>
        <v>1</v>
      </c>
      <c r="N68" s="1053">
        <f>SUM(N64:N67)</f>
        <v>0.82337184728660584</v>
      </c>
      <c r="O68" s="749"/>
      <c r="P68" s="749"/>
      <c r="Q68" s="749"/>
      <c r="R68" s="749"/>
      <c r="S68" s="749"/>
      <c r="T68" s="749"/>
      <c r="U68" s="749"/>
      <c r="V68" s="749"/>
      <c r="W68" s="749"/>
      <c r="X68" s="749"/>
      <c r="Y68" s="749"/>
      <c r="Z68" s="749"/>
      <c r="AA68" s="749"/>
      <c r="AB68" s="749"/>
      <c r="AC68" s="749"/>
      <c r="AD68" s="749"/>
      <c r="AE68" s="749"/>
      <c r="AF68" s="749"/>
      <c r="AG68" s="749"/>
      <c r="AH68" s="749"/>
      <c r="AI68" s="749"/>
    </row>
    <row r="69" spans="1:35" ht="15" x14ac:dyDescent="0.25">
      <c r="A69" s="770" t="s">
        <v>383</v>
      </c>
      <c r="B69" s="749"/>
      <c r="C69" s="749"/>
      <c r="D69" s="749"/>
      <c r="E69" s="749"/>
      <c r="F69" s="749"/>
      <c r="G69" s="749"/>
      <c r="H69" s="749"/>
      <c r="I69" s="749"/>
      <c r="J69" s="749"/>
      <c r="K69" s="749"/>
      <c r="L69" s="749"/>
      <c r="M69" s="749"/>
      <c r="N69" s="749"/>
      <c r="O69" s="749"/>
      <c r="P69" s="749"/>
      <c r="Q69" s="749"/>
      <c r="R69" s="749"/>
      <c r="S69" s="749"/>
      <c r="T69" s="749"/>
      <c r="U69" s="749"/>
      <c r="V69" s="749"/>
      <c r="W69" s="749"/>
      <c r="X69" s="749"/>
      <c r="Y69" s="749"/>
      <c r="Z69" s="749"/>
      <c r="AA69" s="749"/>
      <c r="AB69" s="749"/>
      <c r="AC69" s="749"/>
      <c r="AD69" s="749"/>
      <c r="AE69" s="749"/>
      <c r="AF69" s="749"/>
      <c r="AG69" s="749"/>
      <c r="AH69" s="749"/>
      <c r="AI69" s="749"/>
    </row>
    <row r="70" spans="1:35" ht="15" x14ac:dyDescent="0.25">
      <c r="A70" s="749"/>
      <c r="B70" s="749"/>
      <c r="C70" s="749"/>
      <c r="D70" s="749"/>
      <c r="E70" s="749"/>
      <c r="F70" s="749"/>
      <c r="G70" s="749"/>
      <c r="H70" s="749"/>
      <c r="I70" s="964"/>
      <c r="J70" s="964"/>
      <c r="K70" s="753"/>
      <c r="L70" s="749"/>
      <c r="M70" s="749"/>
      <c r="N70" s="749"/>
      <c r="O70" s="749"/>
      <c r="P70" s="749"/>
      <c r="Q70" s="749"/>
      <c r="R70" s="749"/>
      <c r="S70" s="749"/>
      <c r="T70" s="749"/>
      <c r="U70" s="749"/>
      <c r="V70" s="749"/>
      <c r="W70" s="749"/>
      <c r="X70" s="749"/>
      <c r="Y70" s="749"/>
      <c r="Z70" s="749"/>
      <c r="AA70" s="749"/>
      <c r="AB70" s="749"/>
      <c r="AC70" s="749"/>
      <c r="AD70" s="749"/>
      <c r="AE70" s="749"/>
      <c r="AF70" s="749"/>
      <c r="AG70" s="749"/>
      <c r="AH70" s="749"/>
      <c r="AI70" s="749"/>
    </row>
    <row r="71" spans="1:35" ht="15" x14ac:dyDescent="0.25">
      <c r="I71" s="964"/>
      <c r="J71" s="690"/>
      <c r="K71" s="753"/>
    </row>
    <row r="72" spans="1:35" ht="15" x14ac:dyDescent="0.25">
      <c r="A72" s="1272" t="s">
        <v>713</v>
      </c>
      <c r="B72" s="1273"/>
      <c r="C72" s="1273"/>
      <c r="D72" s="1273"/>
      <c r="E72" s="1273"/>
      <c r="F72" s="1273"/>
      <c r="I72" s="964"/>
      <c r="J72" s="690"/>
      <c r="K72" s="753"/>
      <c r="M72" s="687"/>
    </row>
    <row r="73" spans="1:35" ht="15" x14ac:dyDescent="0.25">
      <c r="I73" s="964"/>
      <c r="J73" s="687"/>
      <c r="K73" s="753"/>
      <c r="L73" s="689"/>
      <c r="M73" s="687"/>
    </row>
    <row r="74" spans="1:35" x14ac:dyDescent="0.2">
      <c r="I74" s="687"/>
      <c r="J74" s="687"/>
      <c r="L74" s="689"/>
      <c r="M74" s="687"/>
    </row>
    <row r="76" spans="1:35" x14ac:dyDescent="0.2">
      <c r="I76" s="689"/>
      <c r="M76" s="689"/>
    </row>
    <row r="77" spans="1:35" x14ac:dyDescent="0.2">
      <c r="I77" s="689"/>
      <c r="M77" s="689"/>
    </row>
  </sheetData>
  <pageMargins left="0.7" right="0.7" top="0.75" bottom="0.75" header="0.3" footer="0.3"/>
  <pageSetup scale="4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J27"/>
  <sheetViews>
    <sheetView showGridLines="0" workbookViewId="0"/>
  </sheetViews>
  <sheetFormatPr defaultRowHeight="12.75" x14ac:dyDescent="0.2"/>
  <cols>
    <col min="2" max="2" width="68.6640625" customWidth="1"/>
    <col min="3" max="3" width="25.1640625" hidden="1" customWidth="1"/>
    <col min="4" max="4" width="29.5" style="130" hidden="1" customWidth="1"/>
    <col min="5" max="5" width="4.83203125" style="130" customWidth="1"/>
    <col min="6" max="6" width="12" style="130" customWidth="1"/>
    <col min="7" max="7" width="18" customWidth="1"/>
    <col min="9" max="9" width="14.83203125" bestFit="1" customWidth="1"/>
    <col min="10" max="10" width="2.1640625" bestFit="1" customWidth="1"/>
  </cols>
  <sheetData>
    <row r="1" spans="2:10" ht="18.75" thickBot="1" x14ac:dyDescent="0.25">
      <c r="C1" s="1322"/>
      <c r="D1" s="1322"/>
      <c r="E1" s="1322"/>
      <c r="F1" s="1322"/>
      <c r="G1" s="131"/>
      <c r="H1" s="131"/>
      <c r="I1" s="131"/>
      <c r="J1" s="131"/>
    </row>
    <row r="2" spans="2:10" ht="24" thickBot="1" x14ac:dyDescent="0.25">
      <c r="B2" s="1323" t="s">
        <v>145</v>
      </c>
      <c r="C2" s="1323"/>
      <c r="D2" s="156"/>
      <c r="E2"/>
      <c r="F2" s="331"/>
      <c r="G2" s="332" t="s">
        <v>173</v>
      </c>
      <c r="H2" s="131"/>
      <c r="I2" s="131"/>
      <c r="J2" s="131"/>
    </row>
    <row r="3" spans="2:10" ht="18" x14ac:dyDescent="0.2">
      <c r="C3" s="131"/>
      <c r="D3" s="131"/>
      <c r="E3" s="131"/>
      <c r="F3" s="131"/>
      <c r="G3" s="131"/>
      <c r="H3" s="131"/>
      <c r="I3" s="131"/>
      <c r="J3" s="131"/>
    </row>
    <row r="4" spans="2:10" ht="72" customHeight="1" thickBot="1" x14ac:dyDescent="0.25">
      <c r="B4" s="304" t="s">
        <v>93</v>
      </c>
      <c r="C4" s="305" t="s">
        <v>121</v>
      </c>
      <c r="D4" s="305" t="s">
        <v>413</v>
      </c>
      <c r="E4"/>
      <c r="F4"/>
    </row>
    <row r="5" spans="2:10" x14ac:dyDescent="0.2">
      <c r="B5" s="306" t="s">
        <v>6</v>
      </c>
      <c r="C5" s="307" t="s">
        <v>120</v>
      </c>
      <c r="D5" s="308" t="s">
        <v>122</v>
      </c>
      <c r="F5" s="1324" t="s">
        <v>170</v>
      </c>
      <c r="G5" s="1324"/>
    </row>
    <row r="6" spans="2:10" x14ac:dyDescent="0.2">
      <c r="B6" s="309" t="s">
        <v>94</v>
      </c>
      <c r="C6" s="159" t="s">
        <v>120</v>
      </c>
      <c r="D6" s="310" t="s">
        <v>122</v>
      </c>
      <c r="E6" s="315"/>
      <c r="F6" s="1324"/>
      <c r="G6" s="1324"/>
    </row>
    <row r="7" spans="2:10" x14ac:dyDescent="0.2">
      <c r="B7" s="309" t="s">
        <v>99</v>
      </c>
      <c r="C7" s="159" t="s">
        <v>120</v>
      </c>
      <c r="D7" s="310" t="s">
        <v>122</v>
      </c>
      <c r="E7" s="315"/>
      <c r="F7" s="1324"/>
      <c r="G7" s="1324"/>
    </row>
    <row r="8" spans="2:10" ht="13.5" thickBot="1" x14ac:dyDescent="0.25">
      <c r="B8" s="317" t="s">
        <v>83</v>
      </c>
      <c r="C8" s="318" t="s">
        <v>120</v>
      </c>
      <c r="D8" s="320" t="s">
        <v>122</v>
      </c>
      <c r="E8" s="315"/>
      <c r="F8" s="1324"/>
      <c r="G8" s="1324"/>
    </row>
    <row r="9" spans="2:10" ht="33" customHeight="1" thickTop="1" x14ac:dyDescent="0.2">
      <c r="B9" s="957" t="s">
        <v>665</v>
      </c>
      <c r="C9" s="319" t="s">
        <v>120</v>
      </c>
      <c r="D9" s="321" t="s">
        <v>120</v>
      </c>
      <c r="E9"/>
      <c r="F9" s="1325" t="s">
        <v>171</v>
      </c>
      <c r="G9" s="1325"/>
    </row>
    <row r="10" spans="2:10" ht="19.5" customHeight="1" x14ac:dyDescent="0.2">
      <c r="B10" s="316" t="s">
        <v>666</v>
      </c>
      <c r="C10" s="159" t="s">
        <v>122</v>
      </c>
      <c r="D10" s="310" t="s">
        <v>122</v>
      </c>
      <c r="E10"/>
      <c r="F10" s="1325"/>
      <c r="G10" s="1325"/>
    </row>
    <row r="11" spans="2:10" ht="13.5" thickBot="1" x14ac:dyDescent="0.25">
      <c r="B11" s="314" t="s">
        <v>98</v>
      </c>
      <c r="C11" s="311" t="s">
        <v>122</v>
      </c>
      <c r="D11" s="312" t="s">
        <v>120</v>
      </c>
      <c r="E11"/>
      <c r="F11" s="1325"/>
      <c r="G11" s="1325"/>
    </row>
    <row r="12" spans="2:10" hidden="1" x14ac:dyDescent="0.2">
      <c r="B12" s="678" t="s">
        <v>238</v>
      </c>
      <c r="C12" s="679" t="s">
        <v>122</v>
      </c>
      <c r="D12" s="680" t="s">
        <v>122</v>
      </c>
      <c r="E12"/>
      <c r="F12" s="681"/>
      <c r="G12" s="681"/>
    </row>
    <row r="13" spans="2:10" hidden="1" x14ac:dyDescent="0.2">
      <c r="B13" s="313" t="s">
        <v>100</v>
      </c>
      <c r="C13" s="159" t="s">
        <v>122</v>
      </c>
      <c r="D13" s="310" t="s">
        <v>122</v>
      </c>
      <c r="E13"/>
      <c r="F13"/>
    </row>
    <row r="14" spans="2:10" ht="13.5" hidden="1" thickBot="1" x14ac:dyDescent="0.25">
      <c r="B14" s="314" t="s">
        <v>100</v>
      </c>
      <c r="C14" s="311" t="s">
        <v>122</v>
      </c>
      <c r="D14" s="312" t="s">
        <v>122</v>
      </c>
      <c r="E14"/>
      <c r="F14"/>
    </row>
    <row r="15" spans="2:10" x14ac:dyDescent="0.2">
      <c r="D15"/>
      <c r="E15"/>
      <c r="F15"/>
    </row>
    <row r="16" spans="2:10" x14ac:dyDescent="0.2">
      <c r="D16"/>
      <c r="E16"/>
      <c r="F16"/>
    </row>
    <row r="17" spans="3:6" x14ac:dyDescent="0.2">
      <c r="D17"/>
      <c r="E17"/>
      <c r="F17"/>
    </row>
    <row r="18" spans="3:6" x14ac:dyDescent="0.2">
      <c r="D18"/>
      <c r="E18"/>
      <c r="F18"/>
    </row>
    <row r="19" spans="3:6" x14ac:dyDescent="0.2">
      <c r="D19"/>
      <c r="E19"/>
      <c r="F19"/>
    </row>
    <row r="20" spans="3:6" x14ac:dyDescent="0.2">
      <c r="D20"/>
      <c r="E20"/>
      <c r="F20"/>
    </row>
    <row r="21" spans="3:6" x14ac:dyDescent="0.2">
      <c r="D21"/>
      <c r="E21"/>
      <c r="F21"/>
    </row>
    <row r="22" spans="3:6" x14ac:dyDescent="0.2">
      <c r="D22"/>
      <c r="E22"/>
      <c r="F22"/>
    </row>
    <row r="23" spans="3:6" x14ac:dyDescent="0.2">
      <c r="D23"/>
      <c r="E23"/>
      <c r="F23"/>
    </row>
    <row r="24" spans="3:6" x14ac:dyDescent="0.2">
      <c r="D24"/>
      <c r="E24"/>
      <c r="F24"/>
    </row>
    <row r="25" spans="3:6" x14ac:dyDescent="0.2">
      <c r="D25"/>
      <c r="E25"/>
      <c r="F25"/>
    </row>
    <row r="26" spans="3:6" x14ac:dyDescent="0.2">
      <c r="D26"/>
      <c r="E26"/>
      <c r="F26"/>
    </row>
    <row r="27" spans="3:6" x14ac:dyDescent="0.2">
      <c r="C27" s="130"/>
      <c r="F27"/>
    </row>
  </sheetData>
  <mergeCells count="4">
    <mergeCell ref="C1:F1"/>
    <mergeCell ref="B2:C2"/>
    <mergeCell ref="F5:G8"/>
    <mergeCell ref="F9:G11"/>
  </mergeCells>
  <dataValidations count="1">
    <dataValidation type="list" allowBlank="1" showInputMessage="1" showErrorMessage="1" sqref="C5:D14">
      <formula1>"Weather-Sensitive,Non-Weather Sensitive,n/a"</formula1>
    </dataValidation>
  </dataValidations>
  <pageMargins left="0.7" right="0.7" top="0.75" bottom="0.75" header="0.3" footer="0.3"/>
  <pageSetup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35"/>
  <sheetViews>
    <sheetView zoomScaleNormal="100" workbookViewId="0"/>
  </sheetViews>
  <sheetFormatPr defaultRowHeight="14.25" x14ac:dyDescent="0.2"/>
  <cols>
    <col min="1" max="1" width="4.83203125" style="847" customWidth="1"/>
    <col min="2" max="2" width="71.33203125" style="847" customWidth="1"/>
    <col min="3" max="3" width="9.6640625" style="847" bestFit="1" customWidth="1"/>
    <col min="4" max="4" width="9.33203125" style="847"/>
    <col min="5" max="5" width="16.83203125" style="847" customWidth="1"/>
    <col min="6" max="14" width="16.6640625" style="847" customWidth="1"/>
    <col min="15" max="15" width="19.6640625" style="887" customWidth="1"/>
    <col min="16" max="16" width="2.1640625" style="847" customWidth="1"/>
    <col min="17" max="17" width="12.5" style="850" bestFit="1" customWidth="1"/>
    <col min="18" max="18" width="40.83203125" style="849" bestFit="1" customWidth="1"/>
    <col min="19" max="19" width="44.33203125" style="849" bestFit="1" customWidth="1"/>
    <col min="20" max="20" width="25.1640625" style="848" customWidth="1"/>
    <col min="21" max="16384" width="9.33203125" style="847"/>
  </cols>
  <sheetData>
    <row r="1" spans="1:20" ht="3.75" customHeight="1" thickBot="1" x14ac:dyDescent="0.25"/>
    <row r="2" spans="1:20" ht="26.25" customHeight="1" thickBot="1" x14ac:dyDescent="0.3">
      <c r="C2" s="875" t="s">
        <v>572</v>
      </c>
      <c r="D2" s="876"/>
    </row>
    <row r="3" spans="1:20" ht="49.5" customHeight="1" x14ac:dyDescent="0.35">
      <c r="B3" s="861" t="str">
        <f>'1. LDC Info'!F4</f>
        <v>Wasaga Distribution Inc.</v>
      </c>
      <c r="R3" s="900" t="s">
        <v>420</v>
      </c>
      <c r="S3" s="900" t="s">
        <v>421</v>
      </c>
      <c r="T3" s="901" t="s">
        <v>552</v>
      </c>
    </row>
    <row r="4" spans="1:20" ht="15" customHeight="1" x14ac:dyDescent="0.35">
      <c r="B4" s="861"/>
      <c r="E4" s="897">
        <f>E7</f>
        <v>2005</v>
      </c>
      <c r="F4" s="897">
        <f t="shared" ref="F4:N4" si="0">F7</f>
        <v>2006</v>
      </c>
      <c r="G4" s="897">
        <f t="shared" si="0"/>
        <v>2007</v>
      </c>
      <c r="H4" s="897">
        <f t="shared" si="0"/>
        <v>2008</v>
      </c>
      <c r="I4" s="897">
        <f t="shared" si="0"/>
        <v>2009</v>
      </c>
      <c r="J4" s="897">
        <f t="shared" si="0"/>
        <v>2010</v>
      </c>
      <c r="K4" s="897">
        <f t="shared" si="0"/>
        <v>2011</v>
      </c>
      <c r="L4" s="897">
        <f t="shared" si="0"/>
        <v>2012</v>
      </c>
      <c r="M4" s="897">
        <f t="shared" si="0"/>
        <v>2013</v>
      </c>
      <c r="N4" s="897">
        <f t="shared" si="0"/>
        <v>2014</v>
      </c>
      <c r="O4" s="892" t="s">
        <v>591</v>
      </c>
      <c r="R4" s="859"/>
      <c r="S4" s="859"/>
      <c r="T4" s="860"/>
    </row>
    <row r="5" spans="1:20" ht="15" customHeight="1" x14ac:dyDescent="0.35">
      <c r="B5" s="864" t="s">
        <v>574</v>
      </c>
      <c r="E5" s="884">
        <f>R18</f>
        <v>116383501</v>
      </c>
      <c r="F5" s="884">
        <f>R31</f>
        <v>114820362</v>
      </c>
      <c r="G5" s="884">
        <f>R44</f>
        <v>124112646</v>
      </c>
      <c r="H5" s="884">
        <f>R57</f>
        <v>128195743</v>
      </c>
      <c r="I5" s="884">
        <f>R70</f>
        <v>127978298</v>
      </c>
      <c r="J5" s="884">
        <f>R83</f>
        <v>129504071</v>
      </c>
      <c r="K5" s="884">
        <f>R96</f>
        <v>131684904.50999999</v>
      </c>
      <c r="L5" s="884">
        <f>R109</f>
        <v>129470498.95000002</v>
      </c>
      <c r="M5" s="884">
        <f>R122</f>
        <v>132861329.50999999</v>
      </c>
      <c r="N5" s="884">
        <f>R135</f>
        <v>133912300.44999999</v>
      </c>
      <c r="R5" s="859"/>
      <c r="S5" s="859"/>
      <c r="T5" s="860"/>
    </row>
    <row r="6" spans="1:20" x14ac:dyDescent="0.2">
      <c r="Q6" s="851" t="s">
        <v>423</v>
      </c>
      <c r="R6" s="852">
        <f>'6. WS Regression Analysis'!C10</f>
        <v>12104125</v>
      </c>
      <c r="S6" s="617">
        <v>11706116.800000001</v>
      </c>
      <c r="T6" s="853">
        <v>1.0340000195453372</v>
      </c>
    </row>
    <row r="7" spans="1:20" x14ac:dyDescent="0.2">
      <c r="A7" s="864"/>
      <c r="C7" s="864"/>
      <c r="E7" s="898">
        <f>'10. Final Load Forecast'!D5</f>
        <v>2005</v>
      </c>
      <c r="F7" s="898">
        <f>'10. Final Load Forecast'!E5</f>
        <v>2006</v>
      </c>
      <c r="G7" s="898">
        <f>'10. Final Load Forecast'!F5</f>
        <v>2007</v>
      </c>
      <c r="H7" s="898">
        <f>'10. Final Load Forecast'!G5</f>
        <v>2008</v>
      </c>
      <c r="I7" s="898">
        <f>'10. Final Load Forecast'!H5</f>
        <v>2009</v>
      </c>
      <c r="J7" s="898">
        <f>'10. Final Load Forecast'!I5</f>
        <v>2010</v>
      </c>
      <c r="K7" s="898">
        <f>'10. Final Load Forecast'!J5</f>
        <v>2011</v>
      </c>
      <c r="L7" s="898">
        <f>'10. Final Load Forecast'!K5</f>
        <v>2012</v>
      </c>
      <c r="M7" s="898">
        <f>'10. Final Load Forecast'!L5</f>
        <v>2013</v>
      </c>
      <c r="N7" s="898">
        <f>'10. Final Load Forecast'!M5</f>
        <v>2014</v>
      </c>
      <c r="O7" s="888"/>
      <c r="Q7" s="851" t="s">
        <v>424</v>
      </c>
      <c r="R7" s="852">
        <f>'6. WS Regression Analysis'!C11</f>
        <v>10041249</v>
      </c>
      <c r="S7" s="865">
        <v>9711072.5</v>
      </c>
      <c r="T7" s="853">
        <v>1.0340000036041332</v>
      </c>
    </row>
    <row r="8" spans="1:20" ht="15" x14ac:dyDescent="0.25">
      <c r="A8" s="864" t="s">
        <v>553</v>
      </c>
      <c r="B8" s="864" t="s">
        <v>571</v>
      </c>
      <c r="C8" s="864"/>
      <c r="E8" s="884">
        <f>S18</f>
        <v>112556578.60000001</v>
      </c>
      <c r="F8" s="884">
        <f>S31</f>
        <v>111044839.09999999</v>
      </c>
      <c r="G8" s="884">
        <f>S44</f>
        <v>120031574.2</v>
      </c>
      <c r="H8" s="884">
        <f>S57</f>
        <v>123980408.40000002</v>
      </c>
      <c r="I8" s="884">
        <f>S70</f>
        <v>123800272.79999998</v>
      </c>
      <c r="J8" s="884">
        <f>S83</f>
        <v>125298777.80000001</v>
      </c>
      <c r="K8" s="884">
        <f>S96</f>
        <v>127408124.69999999</v>
      </c>
      <c r="L8" s="884">
        <f>S109</f>
        <v>125368014.87999997</v>
      </c>
      <c r="M8" s="884">
        <f>S122</f>
        <v>128710876.20999999</v>
      </c>
      <c r="N8" s="884">
        <f>S135</f>
        <v>129721073.02999999</v>
      </c>
      <c r="O8" s="889"/>
      <c r="Q8" s="851" t="s">
        <v>425</v>
      </c>
      <c r="R8" s="852">
        <f>'6. WS Regression Analysis'!C12</f>
        <v>10294288</v>
      </c>
      <c r="S8" s="865">
        <v>9955791.5</v>
      </c>
      <c r="T8" s="853">
        <v>1.0339999587174962</v>
      </c>
    </row>
    <row r="9" spans="1:20" ht="15" thickBot="1" x14ac:dyDescent="0.25">
      <c r="A9" s="864" t="s">
        <v>554</v>
      </c>
      <c r="B9" s="864" t="s">
        <v>573</v>
      </c>
      <c r="C9" s="864"/>
      <c r="E9" s="893"/>
      <c r="F9" s="893"/>
      <c r="G9" s="893"/>
      <c r="H9" s="893"/>
      <c r="I9" s="893"/>
      <c r="J9" s="893">
        <v>8714</v>
      </c>
      <c r="K9" s="893">
        <v>53907</v>
      </c>
      <c r="L9" s="893">
        <v>168252</v>
      </c>
      <c r="M9" s="893">
        <v>196180</v>
      </c>
      <c r="N9" s="893">
        <v>202170</v>
      </c>
      <c r="O9" s="889"/>
      <c r="Q9" s="851" t="s">
        <v>426</v>
      </c>
      <c r="R9" s="852">
        <f>'6. WS Regression Analysis'!C13</f>
        <v>7950802</v>
      </c>
      <c r="S9" s="865">
        <v>7689363.7000000002</v>
      </c>
      <c r="T9" s="853">
        <v>1.0339999914427249</v>
      </c>
    </row>
    <row r="10" spans="1:20" ht="15" thickBot="1" x14ac:dyDescent="0.25">
      <c r="A10" s="864" t="s">
        <v>555</v>
      </c>
      <c r="B10" s="864" t="s">
        <v>556</v>
      </c>
      <c r="C10" s="864"/>
      <c r="E10" s="894">
        <f>E9+E8</f>
        <v>112556578.60000001</v>
      </c>
      <c r="F10" s="895">
        <f t="shared" ref="F10:N10" si="1">F9+F8</f>
        <v>111044839.09999999</v>
      </c>
      <c r="G10" s="895">
        <f t="shared" si="1"/>
        <v>120031574.2</v>
      </c>
      <c r="H10" s="895">
        <f t="shared" si="1"/>
        <v>123980408.40000002</v>
      </c>
      <c r="I10" s="895">
        <f t="shared" si="1"/>
        <v>123800272.79999998</v>
      </c>
      <c r="J10" s="895">
        <f t="shared" si="1"/>
        <v>125307491.80000001</v>
      </c>
      <c r="K10" s="895">
        <f t="shared" si="1"/>
        <v>127462031.69999999</v>
      </c>
      <c r="L10" s="895">
        <f t="shared" si="1"/>
        <v>125536266.87999997</v>
      </c>
      <c r="M10" s="895">
        <f t="shared" si="1"/>
        <v>128907056.20999999</v>
      </c>
      <c r="N10" s="896">
        <f t="shared" si="1"/>
        <v>129923243.02999999</v>
      </c>
      <c r="O10" s="1058">
        <f>AVERAGE(K10:N10)</f>
        <v>127957149.45499998</v>
      </c>
      <c r="Q10" s="851" t="s">
        <v>427</v>
      </c>
      <c r="R10" s="852">
        <f>'6. WS Regression Analysis'!C14</f>
        <v>8058228</v>
      </c>
      <c r="S10" s="865">
        <v>7793257.7000000002</v>
      </c>
      <c r="T10" s="853">
        <v>1.0339999407436506</v>
      </c>
    </row>
    <row r="11" spans="1:20" x14ac:dyDescent="0.2">
      <c r="A11" s="864"/>
      <c r="B11" s="864"/>
      <c r="C11" s="864"/>
      <c r="E11" s="878"/>
      <c r="F11" s="878"/>
      <c r="G11" s="878"/>
      <c r="H11" s="878"/>
      <c r="I11" s="878"/>
      <c r="J11" s="878"/>
      <c r="K11" s="878"/>
      <c r="L11" s="878"/>
      <c r="M11" s="878"/>
      <c r="N11" s="878"/>
      <c r="O11" s="889"/>
      <c r="Q11" s="851" t="s">
        <v>428</v>
      </c>
      <c r="R11" s="852">
        <f>'6. WS Regression Analysis'!C15</f>
        <v>9423396</v>
      </c>
      <c r="S11" s="865">
        <v>9113535.9000000004</v>
      </c>
      <c r="T11" s="853">
        <v>1.0339999867669363</v>
      </c>
    </row>
    <row r="12" spans="1:20" ht="15" x14ac:dyDescent="0.25">
      <c r="A12" s="864" t="s">
        <v>557</v>
      </c>
      <c r="B12" s="864" t="s">
        <v>576</v>
      </c>
      <c r="C12" s="864"/>
      <c r="E12" s="884">
        <f>'10. Final Load Forecast'!D47</f>
        <v>104361983.96000001</v>
      </c>
      <c r="F12" s="884">
        <f>'10. Final Load Forecast'!E47</f>
        <v>106422351.35000001</v>
      </c>
      <c r="G12" s="884">
        <f>'10. Final Load Forecast'!F47</f>
        <v>109546147.41600001</v>
      </c>
      <c r="H12" s="884">
        <f>'10. Final Load Forecast'!G47</f>
        <v>117173371.772</v>
      </c>
      <c r="I12" s="884">
        <f>'10. Final Load Forecast'!H47</f>
        <v>121083045.91800001</v>
      </c>
      <c r="J12" s="884">
        <f>'10. Final Load Forecast'!I47</f>
        <v>125814571.27</v>
      </c>
      <c r="K12" s="884">
        <f>'10. Final Load Forecast'!J47</f>
        <v>124253328</v>
      </c>
      <c r="L12" s="884">
        <f>'10. Final Load Forecast'!K47</f>
        <v>121706363.46424992</v>
      </c>
      <c r="M12" s="884">
        <f>'10. Final Load Forecast'!L47</f>
        <v>126042209.27012025</v>
      </c>
      <c r="N12" s="884">
        <f>'10. Final Load Forecast'!M47</f>
        <v>127011198.77517015</v>
      </c>
      <c r="Q12" s="851" t="s">
        <v>429</v>
      </c>
      <c r="R12" s="852">
        <f>'6. WS Regression Analysis'!C16</f>
        <v>11465909</v>
      </c>
      <c r="S12" s="865">
        <v>11088887.199999999</v>
      </c>
      <c r="T12" s="853">
        <v>1.0339999671021995</v>
      </c>
    </row>
    <row r="13" spans="1:20" ht="15" thickBot="1" x14ac:dyDescent="0.25">
      <c r="A13" s="864" t="s">
        <v>558</v>
      </c>
      <c r="B13" s="864" t="s">
        <v>577</v>
      </c>
      <c r="C13" s="864"/>
      <c r="E13" s="893"/>
      <c r="F13" s="893"/>
      <c r="G13" s="893"/>
      <c r="H13" s="893"/>
      <c r="I13" s="893"/>
      <c r="J13" s="893"/>
      <c r="K13" s="893"/>
      <c r="L13" s="893">
        <v>2643768.4500000002</v>
      </c>
      <c r="M13" s="893">
        <v>3594883.73</v>
      </c>
      <c r="N13" s="893">
        <v>3453199.02</v>
      </c>
      <c r="Q13" s="851" t="s">
        <v>430</v>
      </c>
      <c r="R13" s="852">
        <f>'6. WS Regression Analysis'!C17</f>
        <v>10420620</v>
      </c>
      <c r="S13" s="865">
        <v>10077968.699999999</v>
      </c>
      <c r="T13" s="853">
        <v>1.0340000361382349</v>
      </c>
    </row>
    <row r="14" spans="1:20" ht="15.75" thickBot="1" x14ac:dyDescent="0.3">
      <c r="A14" s="864" t="s">
        <v>21</v>
      </c>
      <c r="B14" s="905" t="s">
        <v>578</v>
      </c>
      <c r="E14" s="902">
        <f>E12-E13</f>
        <v>104361983.96000001</v>
      </c>
      <c r="F14" s="903">
        <f t="shared" ref="F14:N14" si="2">F12-F13</f>
        <v>106422351.35000001</v>
      </c>
      <c r="G14" s="903">
        <f t="shared" si="2"/>
        <v>109546147.41600001</v>
      </c>
      <c r="H14" s="903">
        <f t="shared" si="2"/>
        <v>117173371.772</v>
      </c>
      <c r="I14" s="903">
        <f t="shared" si="2"/>
        <v>121083045.91800001</v>
      </c>
      <c r="J14" s="903">
        <f t="shared" si="2"/>
        <v>125814571.27</v>
      </c>
      <c r="K14" s="903">
        <f t="shared" si="2"/>
        <v>124253328</v>
      </c>
      <c r="L14" s="903">
        <f t="shared" si="2"/>
        <v>119062595.01424992</v>
      </c>
      <c r="M14" s="903">
        <f t="shared" si="2"/>
        <v>122447325.54012024</v>
      </c>
      <c r="N14" s="904">
        <f t="shared" si="2"/>
        <v>123557999.75517015</v>
      </c>
      <c r="O14" s="1057">
        <f>AVERAGE(K14:N14)</f>
        <v>122330312.07738508</v>
      </c>
      <c r="Q14" s="881" t="s">
        <v>431</v>
      </c>
      <c r="R14" s="852">
        <f>'6. WS Regression Analysis'!C18</f>
        <v>8236530</v>
      </c>
      <c r="S14" s="865">
        <v>10077968.699999999</v>
      </c>
      <c r="T14" s="853">
        <v>1.0340000361382349</v>
      </c>
    </row>
    <row r="15" spans="1:20" x14ac:dyDescent="0.2">
      <c r="Q15" s="882" t="s">
        <v>432</v>
      </c>
      <c r="R15" s="852">
        <f>'6. WS Regression Analysis'!C19</f>
        <v>8141870</v>
      </c>
      <c r="S15" s="865">
        <v>10077968.699999999</v>
      </c>
      <c r="T15" s="853">
        <v>1.0340000361382349</v>
      </c>
    </row>
    <row r="16" spans="1:20" ht="15" x14ac:dyDescent="0.25">
      <c r="A16" s="864" t="s">
        <v>559</v>
      </c>
      <c r="B16" s="862" t="s">
        <v>560</v>
      </c>
      <c r="C16" s="864"/>
      <c r="E16" s="885">
        <f>E10/E14</f>
        <v>1.0785208782840008</v>
      </c>
      <c r="F16" s="885">
        <f t="shared" ref="F16:M16" si="3">F10/F14</f>
        <v>1.0434353093251776</v>
      </c>
      <c r="G16" s="885">
        <f t="shared" si="3"/>
        <v>1.0957169834935567</v>
      </c>
      <c r="H16" s="885">
        <f t="shared" si="3"/>
        <v>1.0580937163884419</v>
      </c>
      <c r="I16" s="885">
        <f t="shared" si="3"/>
        <v>1.0224410185703465</v>
      </c>
      <c r="J16" s="885">
        <f t="shared" si="3"/>
        <v>0.9959696284390479</v>
      </c>
      <c r="K16" s="950">
        <f t="shared" si="3"/>
        <v>1.0258238853771384</v>
      </c>
      <c r="L16" s="950">
        <f t="shared" si="3"/>
        <v>1.054372003776461</v>
      </c>
      <c r="M16" s="950">
        <f t="shared" si="3"/>
        <v>1.0527551797590156</v>
      </c>
      <c r="N16" s="950">
        <f>N10/N14</f>
        <v>1.0515162376166864</v>
      </c>
      <c r="O16" s="899">
        <f>O10/O14</f>
        <v>1.0459970818520876</v>
      </c>
      <c r="Q16" s="851" t="s">
        <v>433</v>
      </c>
      <c r="R16" s="852">
        <f>'6. WS Regression Analysis'!C20</f>
        <v>8754703</v>
      </c>
      <c r="S16" s="865">
        <v>8466830.9000000004</v>
      </c>
      <c r="T16" s="853">
        <v>1.0339999822129433</v>
      </c>
    </row>
    <row r="17" spans="1:20" ht="15" x14ac:dyDescent="0.25">
      <c r="A17" s="864"/>
      <c r="B17" s="864"/>
      <c r="C17" s="866"/>
      <c r="E17" s="880"/>
      <c r="F17" s="879"/>
      <c r="G17" s="879"/>
      <c r="H17" s="879"/>
      <c r="I17" s="879"/>
      <c r="J17" s="879"/>
      <c r="K17" s="879"/>
      <c r="L17" s="879"/>
      <c r="M17" s="879"/>
      <c r="N17" s="879"/>
      <c r="O17" s="890"/>
      <c r="Q17" s="851" t="s">
        <v>434</v>
      </c>
      <c r="R17" s="852">
        <f>'6. WS Regression Analysis'!C21</f>
        <v>11491781</v>
      </c>
      <c r="S17" s="865">
        <v>11113908.300000001</v>
      </c>
      <c r="T17" s="853">
        <v>1.0339999836061271</v>
      </c>
    </row>
    <row r="18" spans="1:20" x14ac:dyDescent="0.2">
      <c r="A18" s="864" t="s">
        <v>561</v>
      </c>
      <c r="B18" s="864" t="s">
        <v>562</v>
      </c>
      <c r="C18" s="864"/>
      <c r="E18" s="885">
        <f t="shared" ref="E18:M18" si="4">E5/E8</f>
        <v>1.0339999886954629</v>
      </c>
      <c r="F18" s="885">
        <f t="shared" si="4"/>
        <v>1.0339999853266482</v>
      </c>
      <c r="G18" s="885">
        <f t="shared" si="4"/>
        <v>1.0339999856471098</v>
      </c>
      <c r="H18" s="885">
        <f t="shared" si="4"/>
        <v>1.0340000057622005</v>
      </c>
      <c r="I18" s="885">
        <f t="shared" si="4"/>
        <v>1.0337481098022268</v>
      </c>
      <c r="J18" s="885">
        <f t="shared" si="4"/>
        <v>1.033562124657851</v>
      </c>
      <c r="K18" s="950">
        <f t="shared" si="4"/>
        <v>1.0335675595262883</v>
      </c>
      <c r="L18" s="950">
        <f t="shared" si="4"/>
        <v>1.0327235305905329</v>
      </c>
      <c r="M18" s="950">
        <f t="shared" si="4"/>
        <v>1.0322463293096402</v>
      </c>
      <c r="N18" s="950">
        <f>N5/N8</f>
        <v>1.0323095340032433</v>
      </c>
      <c r="O18" s="899">
        <f>AVERAGE(K18:N18)</f>
        <v>1.0327117383574262</v>
      </c>
      <c r="Q18" s="854" t="s">
        <v>506</v>
      </c>
      <c r="R18" s="855">
        <f>SUM(R6:R17)</f>
        <v>116383501</v>
      </c>
      <c r="S18" s="855">
        <v>112556578.60000001</v>
      </c>
      <c r="T18" s="856">
        <v>1.0339999886954629</v>
      </c>
    </row>
    <row r="19" spans="1:20" x14ac:dyDescent="0.2">
      <c r="A19" s="864"/>
      <c r="B19" s="864"/>
      <c r="C19" s="864"/>
      <c r="E19" s="880"/>
      <c r="F19" s="879"/>
      <c r="G19" s="879"/>
      <c r="H19" s="879"/>
      <c r="I19" s="879"/>
      <c r="J19" s="879"/>
      <c r="K19" s="879"/>
      <c r="L19" s="879"/>
      <c r="M19" s="879"/>
      <c r="N19" s="879"/>
      <c r="O19" s="890"/>
      <c r="Q19" s="851" t="s">
        <v>435</v>
      </c>
      <c r="R19" s="852">
        <f>'6. WS Regression Analysis'!C22</f>
        <v>10835452</v>
      </c>
      <c r="S19" s="865">
        <v>10479160.9</v>
      </c>
      <c r="T19" s="853">
        <v>1.033999964634573</v>
      </c>
    </row>
    <row r="20" spans="1:20" ht="15" x14ac:dyDescent="0.25">
      <c r="A20" s="864"/>
      <c r="B20" s="867" t="s">
        <v>563</v>
      </c>
      <c r="C20" s="883" t="s">
        <v>575</v>
      </c>
      <c r="E20" s="886">
        <f>E16*E18</f>
        <v>1.1151905759534775</v>
      </c>
      <c r="F20" s="886">
        <f t="shared" ref="F20:M20" si="5">F16*F18</f>
        <v>1.0789120945315402</v>
      </c>
      <c r="G20" s="886">
        <f t="shared" si="5"/>
        <v>1.132971345205632</v>
      </c>
      <c r="H20" s="886">
        <f>H16*H18</f>
        <v>1.094068908842597</v>
      </c>
      <c r="I20" s="886">
        <f t="shared" si="5"/>
        <v>1.0569464703313591</v>
      </c>
      <c r="J20" s="886">
        <f t="shared" si="5"/>
        <v>1.0293964852641528</v>
      </c>
      <c r="K20" s="951">
        <f t="shared" si="5"/>
        <v>1.0602582897130239</v>
      </c>
      <c r="L20" s="951">
        <f t="shared" si="5"/>
        <v>1.0888747782958415</v>
      </c>
      <c r="M20" s="951">
        <f t="shared" si="5"/>
        <v>1.0867026699679543</v>
      </c>
      <c r="N20" s="951">
        <f>N16*N18</f>
        <v>1.0854902372509252</v>
      </c>
      <c r="O20" s="899">
        <f>O16*O18</f>
        <v>1.0802134647162644</v>
      </c>
      <c r="Q20" s="851" t="s">
        <v>436</v>
      </c>
      <c r="R20" s="852">
        <f>'6. WS Regression Analysis'!C23</f>
        <v>10170032</v>
      </c>
      <c r="S20" s="865">
        <v>9835621.0999999996</v>
      </c>
      <c r="T20" s="853">
        <v>1.033999977896668</v>
      </c>
    </row>
    <row r="21" spans="1:20" x14ac:dyDescent="0.2">
      <c r="A21" s="864"/>
      <c r="B21" s="864"/>
      <c r="C21" s="864"/>
      <c r="E21" s="879"/>
      <c r="F21" s="879"/>
      <c r="G21" s="879"/>
      <c r="H21" s="879"/>
      <c r="I21" s="879"/>
      <c r="J21" s="879"/>
      <c r="K21" s="879"/>
      <c r="L21" s="879"/>
      <c r="M21" s="879"/>
      <c r="N21" s="879"/>
      <c r="O21" s="890"/>
      <c r="Q21" s="851" t="s">
        <v>437</v>
      </c>
      <c r="R21" s="852">
        <f>'6. WS Regression Analysis'!C24</f>
        <v>10248021</v>
      </c>
      <c r="S21" s="865">
        <v>9911045.5999999996</v>
      </c>
      <c r="T21" s="853">
        <v>1.0339999848250119</v>
      </c>
    </row>
    <row r="22" spans="1:20" ht="15" x14ac:dyDescent="0.25">
      <c r="A22" s="864"/>
      <c r="B22" s="862" t="s">
        <v>562</v>
      </c>
      <c r="C22" s="868">
        <f>O18</f>
        <v>1.0327117383574262</v>
      </c>
      <c r="E22" s="879"/>
      <c r="F22" s="879"/>
      <c r="G22" s="879"/>
      <c r="H22" s="879"/>
      <c r="I22" s="879"/>
      <c r="J22" s="879"/>
      <c r="K22" s="879"/>
      <c r="L22" s="879"/>
      <c r="M22" s="879"/>
      <c r="N22" s="879"/>
      <c r="O22" s="890"/>
      <c r="Q22" s="851" t="s">
        <v>438</v>
      </c>
      <c r="R22" s="852">
        <f>'6. WS Regression Analysis'!C25</f>
        <v>7986665</v>
      </c>
      <c r="S22" s="865">
        <v>7724047.0999999996</v>
      </c>
      <c r="T22" s="853">
        <v>1.0340000386584904</v>
      </c>
    </row>
    <row r="23" spans="1:20" x14ac:dyDescent="0.2">
      <c r="A23" s="864"/>
      <c r="B23" s="864"/>
      <c r="C23" s="869"/>
      <c r="E23" s="989"/>
      <c r="F23" s="989"/>
      <c r="G23" s="989"/>
      <c r="H23" s="989"/>
      <c r="I23" s="879"/>
      <c r="J23" s="879"/>
      <c r="K23" s="879"/>
      <c r="L23" s="879"/>
      <c r="M23" s="179"/>
      <c r="N23" s="879"/>
      <c r="O23" s="890"/>
      <c r="Q23" s="851" t="s">
        <v>439</v>
      </c>
      <c r="R23" s="852">
        <f>'6. WS Regression Analysis'!C26</f>
        <v>8225607</v>
      </c>
      <c r="S23" s="865">
        <v>7955132.2999999998</v>
      </c>
      <c r="T23" s="853">
        <v>1.0340000253672714</v>
      </c>
    </row>
    <row r="24" spans="1:20" ht="15" x14ac:dyDescent="0.25">
      <c r="A24" s="864"/>
      <c r="B24" s="870" t="s">
        <v>564</v>
      </c>
      <c r="C24" s="869"/>
      <c r="E24" s="989"/>
      <c r="F24" s="989"/>
      <c r="G24" s="989"/>
      <c r="H24" s="989"/>
      <c r="I24" s="879"/>
      <c r="J24" s="879"/>
      <c r="L24" s="879"/>
      <c r="M24" s="879"/>
      <c r="N24" s="879"/>
      <c r="O24" s="890"/>
      <c r="Q24" s="851" t="s">
        <v>440</v>
      </c>
      <c r="R24" s="852">
        <f>'6. WS Regression Analysis'!C27</f>
        <v>8533586</v>
      </c>
      <c r="S24" s="865">
        <v>8252984.7999999998</v>
      </c>
      <c r="T24" s="853">
        <v>1.0339999656851422</v>
      </c>
    </row>
    <row r="25" spans="1:20" ht="15" x14ac:dyDescent="0.25">
      <c r="A25" s="864"/>
      <c r="B25" s="870" t="s">
        <v>565</v>
      </c>
      <c r="C25" s="869"/>
      <c r="E25" s="989"/>
      <c r="F25" s="989"/>
      <c r="G25" s="989"/>
      <c r="H25" s="989"/>
      <c r="I25" s="879"/>
      <c r="J25" s="879"/>
      <c r="L25" s="879"/>
      <c r="M25" s="879"/>
      <c r="N25" s="879"/>
      <c r="O25" s="890"/>
      <c r="Q25" s="851" t="s">
        <v>441</v>
      </c>
      <c r="R25" s="852">
        <f>'6. WS Regression Analysis'!C28</f>
        <v>11494679</v>
      </c>
      <c r="S25" s="865">
        <v>11116711</v>
      </c>
      <c r="T25" s="853">
        <v>1.0339999843478884</v>
      </c>
    </row>
    <row r="26" spans="1:20" x14ac:dyDescent="0.2">
      <c r="A26" s="864"/>
      <c r="B26" s="871" t="s">
        <v>566</v>
      </c>
      <c r="C26" s="868">
        <f>C22*O16</f>
        <v>1.0802134647162644</v>
      </c>
      <c r="E26" s="879"/>
      <c r="F26" s="879"/>
      <c r="G26" s="879"/>
      <c r="H26" s="879"/>
      <c r="I26" s="879"/>
      <c r="J26" s="879"/>
      <c r="L26" s="879"/>
      <c r="M26" s="879"/>
      <c r="N26" s="879"/>
      <c r="O26" s="890"/>
      <c r="Q26" s="851" t="s">
        <v>442</v>
      </c>
      <c r="R26" s="852">
        <f>'6. WS Regression Analysis'!C29</f>
        <v>10408518</v>
      </c>
      <c r="S26" s="865">
        <v>10066265.1</v>
      </c>
      <c r="T26" s="853">
        <v>1.03399998873465</v>
      </c>
    </row>
    <row r="27" spans="1:20" x14ac:dyDescent="0.2">
      <c r="A27" s="864"/>
      <c r="B27" s="871" t="s">
        <v>567</v>
      </c>
      <c r="C27" s="872" t="s">
        <v>122</v>
      </c>
      <c r="E27" s="879"/>
      <c r="F27" s="879"/>
      <c r="G27" s="879"/>
      <c r="H27" s="879"/>
      <c r="I27" s="879"/>
      <c r="J27" s="879"/>
      <c r="K27" s="879"/>
      <c r="L27" s="879"/>
      <c r="M27" s="879"/>
      <c r="N27" s="879"/>
      <c r="O27" s="890"/>
      <c r="Q27" s="851" t="s">
        <v>443</v>
      </c>
      <c r="R27" s="852">
        <f>'6. WS Regression Analysis'!C30</f>
        <v>8062480</v>
      </c>
      <c r="S27" s="865">
        <v>7797369.2999999998</v>
      </c>
      <c r="T27" s="853">
        <v>1.0340000184421174</v>
      </c>
    </row>
    <row r="28" spans="1:20" x14ac:dyDescent="0.2">
      <c r="A28" s="864"/>
      <c r="B28" s="873"/>
      <c r="C28" s="869"/>
      <c r="E28" s="879"/>
      <c r="F28" s="879"/>
      <c r="G28" s="879"/>
      <c r="H28" s="879"/>
      <c r="I28" s="879"/>
      <c r="J28" s="879"/>
      <c r="K28" s="879"/>
      <c r="L28" s="879"/>
      <c r="M28" s="879"/>
      <c r="N28" s="879"/>
      <c r="O28" s="890"/>
      <c r="Q28" s="851" t="s">
        <v>444</v>
      </c>
      <c r="R28" s="852">
        <f>'6. WS Regression Analysis'!C31</f>
        <v>8803941</v>
      </c>
      <c r="S28" s="865">
        <v>8514450.1999999993</v>
      </c>
      <c r="T28" s="853">
        <v>1.0339999404776601</v>
      </c>
    </row>
    <row r="29" spans="1:20" ht="15" x14ac:dyDescent="0.25">
      <c r="A29" s="864"/>
      <c r="B29" s="870" t="s">
        <v>568</v>
      </c>
      <c r="C29" s="869"/>
      <c r="E29" s="879"/>
      <c r="F29" s="879"/>
      <c r="G29" s="879"/>
      <c r="H29" s="879"/>
      <c r="I29" s="879"/>
      <c r="J29" s="879"/>
      <c r="K29" s="879"/>
      <c r="L29" s="879"/>
      <c r="M29" s="879"/>
      <c r="N29" s="879"/>
      <c r="O29" s="890"/>
      <c r="Q29" s="851" t="s">
        <v>445</v>
      </c>
      <c r="R29" s="852">
        <f>'6. WS Regression Analysis'!C32</f>
        <v>9102265</v>
      </c>
      <c r="S29" s="865">
        <v>8802964.5</v>
      </c>
      <c r="T29" s="857">
        <v>1.033999966715758</v>
      </c>
    </row>
    <row r="30" spans="1:20" x14ac:dyDescent="0.2">
      <c r="A30" s="864"/>
      <c r="B30" s="871" t="s">
        <v>569</v>
      </c>
      <c r="C30" s="868">
        <f>C26*0.99</f>
        <v>1.0694113300691017</v>
      </c>
      <c r="E30" s="879"/>
      <c r="F30" s="879"/>
      <c r="G30" s="879"/>
      <c r="H30" s="879"/>
      <c r="I30" s="879"/>
      <c r="J30" s="879"/>
      <c r="K30" s="879"/>
      <c r="L30" s="879"/>
      <c r="M30" s="879"/>
      <c r="N30" s="879"/>
      <c r="O30" s="890"/>
      <c r="Q30" s="851" t="s">
        <v>446</v>
      </c>
      <c r="R30" s="852">
        <f>'6. WS Regression Analysis'!C33</f>
        <v>10949116</v>
      </c>
      <c r="S30" s="865">
        <v>10589087.199999999</v>
      </c>
      <c r="T30" s="853">
        <v>1.0339999844368077</v>
      </c>
    </row>
    <row r="31" spans="1:20" x14ac:dyDescent="0.2">
      <c r="A31" s="864"/>
      <c r="B31" s="871" t="s">
        <v>570</v>
      </c>
      <c r="C31" s="874" t="s">
        <v>122</v>
      </c>
      <c r="E31" s="879"/>
      <c r="F31" s="879"/>
      <c r="G31" s="879"/>
      <c r="H31" s="879"/>
      <c r="I31" s="879"/>
      <c r="J31" s="879"/>
      <c r="K31" s="879"/>
      <c r="L31" s="879"/>
      <c r="M31" s="879"/>
      <c r="N31" s="879"/>
      <c r="O31" s="890"/>
      <c r="Q31" s="854" t="s">
        <v>507</v>
      </c>
      <c r="R31" s="855">
        <f>SUM(R19:R30)</f>
        <v>114820362</v>
      </c>
      <c r="S31" s="855">
        <v>111044839.09999999</v>
      </c>
      <c r="T31" s="856">
        <v>1.0339999853266482</v>
      </c>
    </row>
    <row r="32" spans="1:20" x14ac:dyDescent="0.2">
      <c r="E32" s="878"/>
      <c r="F32" s="878"/>
      <c r="G32" s="878"/>
      <c r="H32" s="878"/>
      <c r="I32" s="878"/>
      <c r="J32" s="878"/>
      <c r="K32" s="878"/>
      <c r="L32" s="878"/>
      <c r="M32" s="878"/>
      <c r="N32" s="878"/>
      <c r="O32" s="889"/>
      <c r="Q32" s="851" t="s">
        <v>422</v>
      </c>
      <c r="R32" s="852">
        <f>'6. WS Regression Analysis'!C34</f>
        <v>11595904</v>
      </c>
      <c r="S32" s="865">
        <v>11214607.199999999</v>
      </c>
      <c r="T32" s="853">
        <v>1.0340000138390937</v>
      </c>
    </row>
    <row r="33" spans="5:20" x14ac:dyDescent="0.2">
      <c r="E33" s="878"/>
      <c r="F33" s="878"/>
      <c r="G33" s="878"/>
      <c r="H33" s="878"/>
      <c r="I33" s="878"/>
      <c r="J33" s="878"/>
      <c r="K33" s="878"/>
      <c r="L33" s="878"/>
      <c r="M33" s="878"/>
      <c r="N33" s="878"/>
      <c r="O33" s="889"/>
      <c r="Q33" s="851" t="s">
        <v>447</v>
      </c>
      <c r="R33" s="852">
        <f>'6. WS Regression Analysis'!C35</f>
        <v>11366145</v>
      </c>
      <c r="S33" s="865">
        <v>10992403.4</v>
      </c>
      <c r="T33" s="853">
        <v>1.0339999894836465</v>
      </c>
    </row>
    <row r="34" spans="5:20" x14ac:dyDescent="0.2">
      <c r="E34" s="863"/>
      <c r="F34" s="863"/>
      <c r="G34" s="863"/>
      <c r="H34" s="863"/>
      <c r="I34" s="863"/>
      <c r="J34" s="863"/>
      <c r="K34" s="863"/>
      <c r="L34" s="863"/>
      <c r="M34" s="863"/>
      <c r="N34" s="863"/>
      <c r="O34" s="891"/>
      <c r="Q34" s="851" t="s">
        <v>448</v>
      </c>
      <c r="R34" s="852">
        <f>'6. WS Regression Analysis'!C36</f>
        <v>10718300</v>
      </c>
      <c r="S34" s="865">
        <v>10365861</v>
      </c>
      <c r="T34" s="853">
        <v>1.0339999735670775</v>
      </c>
    </row>
    <row r="35" spans="5:20" x14ac:dyDescent="0.2">
      <c r="E35" s="863"/>
      <c r="F35" s="863"/>
      <c r="G35" s="863"/>
      <c r="H35" s="863"/>
      <c r="I35" s="863"/>
      <c r="J35" s="863"/>
      <c r="K35" s="863"/>
      <c r="L35" s="863"/>
      <c r="M35" s="863"/>
      <c r="N35" s="863"/>
      <c r="O35" s="891"/>
      <c r="Q35" s="851" t="s">
        <v>449</v>
      </c>
      <c r="R35" s="852">
        <f>'6. WS Regression Analysis'!C37</f>
        <v>9069276</v>
      </c>
      <c r="S35" s="865">
        <v>8771060.1999999993</v>
      </c>
      <c r="T35" s="853">
        <v>1.0339999718620105</v>
      </c>
    </row>
    <row r="36" spans="5:20" x14ac:dyDescent="0.2">
      <c r="E36" s="863"/>
      <c r="F36" s="863"/>
      <c r="G36" s="863"/>
      <c r="H36" s="863"/>
      <c r="I36" s="863"/>
      <c r="J36" s="863"/>
      <c r="K36" s="863"/>
      <c r="L36" s="863"/>
      <c r="M36" s="863"/>
      <c r="N36" s="863"/>
      <c r="O36" s="891"/>
      <c r="Q36" s="851" t="s">
        <v>450</v>
      </c>
      <c r="R36" s="852">
        <f>'6. WS Regression Analysis'!C38</f>
        <v>8773721</v>
      </c>
      <c r="S36" s="865">
        <v>8485223.8000000007</v>
      </c>
      <c r="T36" s="853">
        <v>1.0339999517749903</v>
      </c>
    </row>
    <row r="37" spans="5:20" x14ac:dyDescent="0.2">
      <c r="E37" s="863"/>
      <c r="F37" s="863"/>
      <c r="G37" s="863"/>
      <c r="H37" s="863"/>
      <c r="I37" s="863"/>
      <c r="J37" s="863"/>
      <c r="K37" s="863"/>
      <c r="L37" s="863"/>
      <c r="M37" s="863"/>
      <c r="N37" s="863"/>
      <c r="O37" s="891"/>
      <c r="Q37" s="851" t="s">
        <v>451</v>
      </c>
      <c r="R37" s="852">
        <f>'6. WS Regression Analysis'!C39</f>
        <v>9407320</v>
      </c>
      <c r="S37" s="865">
        <v>9097988.6999999993</v>
      </c>
      <c r="T37" s="853">
        <v>1.0339999652890315</v>
      </c>
    </row>
    <row r="38" spans="5:20" x14ac:dyDescent="0.2">
      <c r="E38" s="863"/>
      <c r="F38" s="863"/>
      <c r="G38" s="863"/>
      <c r="H38" s="863"/>
      <c r="I38" s="863"/>
      <c r="J38" s="863"/>
      <c r="K38" s="863"/>
      <c r="L38" s="863"/>
      <c r="M38" s="863"/>
      <c r="N38" s="863"/>
      <c r="O38" s="891"/>
      <c r="Q38" s="851" t="s">
        <v>452</v>
      </c>
      <c r="R38" s="852">
        <f>'6. WS Regression Analysis'!C40</f>
        <v>10922926</v>
      </c>
      <c r="S38" s="865">
        <v>10563758.6</v>
      </c>
      <c r="T38" s="853">
        <v>1.0339999628541303</v>
      </c>
    </row>
    <row r="39" spans="5:20" x14ac:dyDescent="0.2">
      <c r="E39" s="863"/>
      <c r="F39" s="863"/>
      <c r="G39" s="863"/>
      <c r="H39" s="863"/>
      <c r="I39" s="863"/>
      <c r="J39" s="863"/>
      <c r="K39" s="863"/>
      <c r="L39" s="863"/>
      <c r="M39" s="863"/>
      <c r="N39" s="863"/>
      <c r="O39" s="891"/>
      <c r="Q39" s="851" t="s">
        <v>453</v>
      </c>
      <c r="R39" s="852">
        <f>'6. WS Regression Analysis'!C41</f>
        <v>11518806</v>
      </c>
      <c r="S39" s="865">
        <v>11140044.699999999</v>
      </c>
      <c r="T39" s="853">
        <v>1.0339999802693791</v>
      </c>
    </row>
    <row r="40" spans="5:20" x14ac:dyDescent="0.2">
      <c r="E40" s="863"/>
      <c r="F40" s="863"/>
      <c r="G40" s="863"/>
      <c r="H40" s="863"/>
      <c r="I40" s="863"/>
      <c r="J40" s="863"/>
      <c r="K40" s="863"/>
      <c r="L40" s="863"/>
      <c r="M40" s="863"/>
      <c r="N40" s="863"/>
      <c r="O40" s="891"/>
      <c r="Q40" s="851" t="s">
        <v>454</v>
      </c>
      <c r="R40" s="852">
        <f>'6. WS Regression Analysis'!C42</f>
        <v>8972619</v>
      </c>
      <c r="S40" s="865">
        <v>8677580.9000000004</v>
      </c>
      <c r="T40" s="853">
        <v>1.0340000402646778</v>
      </c>
    </row>
    <row r="41" spans="5:20" x14ac:dyDescent="0.2">
      <c r="E41" s="863"/>
      <c r="F41" s="863"/>
      <c r="G41" s="863"/>
      <c r="H41" s="863"/>
      <c r="I41" s="863"/>
      <c r="J41" s="863"/>
      <c r="K41" s="863"/>
      <c r="L41" s="863"/>
      <c r="M41" s="863"/>
      <c r="N41" s="863"/>
      <c r="O41" s="891"/>
      <c r="Q41" s="851" t="s">
        <v>455</v>
      </c>
      <c r="R41" s="852">
        <f>'6. WS Regression Analysis'!C43</f>
        <v>8837911</v>
      </c>
      <c r="S41" s="865">
        <v>8547303</v>
      </c>
      <c r="T41" s="853">
        <v>1.0339999646672173</v>
      </c>
    </row>
    <row r="42" spans="5:20" x14ac:dyDescent="0.2">
      <c r="E42" s="863"/>
      <c r="F42" s="863"/>
      <c r="G42" s="863"/>
      <c r="H42" s="863"/>
      <c r="I42" s="863"/>
      <c r="J42" s="863"/>
      <c r="K42" s="863"/>
      <c r="L42" s="863"/>
      <c r="M42" s="863"/>
      <c r="N42" s="863"/>
      <c r="O42" s="891"/>
      <c r="Q42" s="851" t="s">
        <v>456</v>
      </c>
      <c r="R42" s="852">
        <f>'6. WS Regression Analysis'!C44</f>
        <v>10240247</v>
      </c>
      <c r="S42" s="865">
        <v>9903526.6999999993</v>
      </c>
      <c r="T42" s="853">
        <v>1.0340000396020541</v>
      </c>
    </row>
    <row r="43" spans="5:20" x14ac:dyDescent="0.2">
      <c r="E43" s="863"/>
      <c r="F43" s="863"/>
      <c r="G43" s="863"/>
      <c r="H43" s="863"/>
      <c r="I43" s="863"/>
      <c r="J43" s="863"/>
      <c r="K43" s="863"/>
      <c r="L43" s="863"/>
      <c r="M43" s="863"/>
      <c r="N43" s="863"/>
      <c r="O43" s="891"/>
      <c r="Q43" s="851" t="s">
        <v>457</v>
      </c>
      <c r="R43" s="852">
        <f>'6. WS Regression Analysis'!C45</f>
        <v>12689471</v>
      </c>
      <c r="S43" s="865">
        <v>12272216</v>
      </c>
      <c r="T43" s="853">
        <v>1.0339999719692026</v>
      </c>
    </row>
    <row r="44" spans="5:20" x14ac:dyDescent="0.2">
      <c r="E44" s="863"/>
      <c r="F44" s="863"/>
      <c r="G44" s="863"/>
      <c r="H44" s="863"/>
      <c r="I44" s="863"/>
      <c r="J44" s="863"/>
      <c r="K44" s="863"/>
      <c r="L44" s="863"/>
      <c r="M44" s="863"/>
      <c r="N44" s="863"/>
      <c r="O44" s="891"/>
      <c r="Q44" s="854" t="s">
        <v>508</v>
      </c>
      <c r="R44" s="855">
        <f>SUM(R32:R43)</f>
        <v>124112646</v>
      </c>
      <c r="S44" s="855">
        <v>120031574.2</v>
      </c>
      <c r="T44" s="856">
        <v>1.0339999856471098</v>
      </c>
    </row>
    <row r="45" spans="5:20" x14ac:dyDescent="0.2">
      <c r="E45" s="863"/>
      <c r="F45" s="863"/>
      <c r="G45" s="863"/>
      <c r="H45" s="863"/>
      <c r="I45" s="863"/>
      <c r="J45" s="863"/>
      <c r="K45" s="863"/>
      <c r="L45" s="863"/>
      <c r="M45" s="863"/>
      <c r="N45" s="863"/>
      <c r="O45" s="891"/>
      <c r="Q45" s="851" t="s">
        <v>458</v>
      </c>
      <c r="R45" s="852">
        <f>'6. WS Regression Analysis'!C46</f>
        <v>12264015</v>
      </c>
      <c r="S45" s="865">
        <v>11860749.300000001</v>
      </c>
      <c r="T45" s="853">
        <v>1.0340000188689595</v>
      </c>
    </row>
    <row r="46" spans="5:20" x14ac:dyDescent="0.2">
      <c r="E46" s="863"/>
      <c r="F46" s="863"/>
      <c r="G46" s="863"/>
      <c r="H46" s="863"/>
      <c r="I46" s="863"/>
      <c r="J46" s="863"/>
      <c r="K46" s="863"/>
      <c r="L46" s="863"/>
      <c r="M46" s="863"/>
      <c r="N46" s="863"/>
      <c r="O46" s="891"/>
      <c r="Q46" s="851" t="s">
        <v>459</v>
      </c>
      <c r="R46" s="852">
        <f>'6. WS Regression Analysis'!C47</f>
        <v>11804844</v>
      </c>
      <c r="S46" s="865">
        <v>11416676.6</v>
      </c>
      <c r="T46" s="853">
        <v>1.0340000346510647</v>
      </c>
    </row>
    <row r="47" spans="5:20" x14ac:dyDescent="0.2">
      <c r="E47" s="863"/>
      <c r="F47" s="863"/>
      <c r="G47" s="863"/>
      <c r="H47" s="863"/>
      <c r="I47" s="863"/>
      <c r="J47" s="863"/>
      <c r="K47" s="863"/>
      <c r="L47" s="863"/>
      <c r="M47" s="863"/>
      <c r="N47" s="863"/>
      <c r="O47" s="891"/>
      <c r="Q47" s="851" t="s">
        <v>460</v>
      </c>
      <c r="R47" s="852">
        <f>'6. WS Regression Analysis'!C48</f>
        <v>11812299</v>
      </c>
      <c r="S47" s="865">
        <v>11423887</v>
      </c>
      <c r="T47" s="853">
        <v>1.033999986169331</v>
      </c>
    </row>
    <row r="48" spans="5:20" x14ac:dyDescent="0.2">
      <c r="E48" s="863"/>
      <c r="F48" s="863"/>
      <c r="G48" s="863"/>
      <c r="H48" s="863"/>
      <c r="I48" s="863"/>
      <c r="J48" s="863"/>
      <c r="K48" s="863"/>
      <c r="L48" s="863"/>
      <c r="M48" s="863"/>
      <c r="N48" s="863"/>
      <c r="O48" s="891"/>
      <c r="Q48" s="851" t="s">
        <v>461</v>
      </c>
      <c r="R48" s="852">
        <f>'6. WS Regression Analysis'!C49</f>
        <v>8938098</v>
      </c>
      <c r="S48" s="865">
        <v>8644195.3000000007</v>
      </c>
      <c r="T48" s="853">
        <v>1.0340000069179371</v>
      </c>
    </row>
    <row r="49" spans="5:20" x14ac:dyDescent="0.2">
      <c r="E49" s="863"/>
      <c r="F49" s="863"/>
      <c r="G49" s="863"/>
      <c r="H49" s="863"/>
      <c r="I49" s="863"/>
      <c r="J49" s="863"/>
      <c r="K49" s="863"/>
      <c r="L49" s="863"/>
      <c r="M49" s="863"/>
      <c r="N49" s="863"/>
      <c r="O49" s="891"/>
      <c r="Q49" s="851" t="s">
        <v>462</v>
      </c>
      <c r="R49" s="852">
        <f>'6. WS Regression Analysis'!C50</f>
        <v>9217345</v>
      </c>
      <c r="S49" s="865">
        <v>8914260.4000000004</v>
      </c>
      <c r="T49" s="853">
        <v>1.0339999715512012</v>
      </c>
    </row>
    <row r="50" spans="5:20" x14ac:dyDescent="0.2">
      <c r="Q50" s="851" t="s">
        <v>463</v>
      </c>
      <c r="R50" s="852">
        <f>'6. WS Regression Analysis'!C51</f>
        <v>9719413</v>
      </c>
      <c r="S50" s="865">
        <v>9399818.8000000007</v>
      </c>
      <c r="T50" s="853">
        <v>1.0340000383837185</v>
      </c>
    </row>
    <row r="51" spans="5:20" x14ac:dyDescent="0.2">
      <c r="Q51" s="851" t="s">
        <v>464</v>
      </c>
      <c r="R51" s="852">
        <f>'6. WS Regression Analysis'!C52</f>
        <v>11318218</v>
      </c>
      <c r="S51" s="865">
        <v>10946051.9</v>
      </c>
      <c r="T51" s="853">
        <v>1.034000030641185</v>
      </c>
    </row>
    <row r="52" spans="5:20" x14ac:dyDescent="0.2">
      <c r="Q52" s="851" t="s">
        <v>465</v>
      </c>
      <c r="R52" s="852">
        <f>'6. WS Regression Analysis'!C53</f>
        <v>11136208</v>
      </c>
      <c r="S52" s="865">
        <v>10770026.699999999</v>
      </c>
      <c r="T52" s="853">
        <v>1.0340000364158801</v>
      </c>
    </row>
    <row r="53" spans="5:20" x14ac:dyDescent="0.2">
      <c r="Q53" s="851" t="s">
        <v>466</v>
      </c>
      <c r="R53" s="852">
        <f>'6. WS Regression Analysis'!C54</f>
        <v>8954031</v>
      </c>
      <c r="S53" s="865">
        <v>8659604.9000000004</v>
      </c>
      <c r="T53" s="853">
        <v>1.0339999461176341</v>
      </c>
    </row>
    <row r="54" spans="5:20" x14ac:dyDescent="0.2">
      <c r="Q54" s="851" t="s">
        <v>467</v>
      </c>
      <c r="R54" s="852">
        <f>'6. WS Regression Analysis'!C55</f>
        <v>9569483</v>
      </c>
      <c r="S54" s="865">
        <v>9254819.4000000004</v>
      </c>
      <c r="T54" s="853">
        <v>1.0339999719497497</v>
      </c>
    </row>
    <row r="55" spans="5:20" x14ac:dyDescent="0.2">
      <c r="Q55" s="851" t="s">
        <v>468</v>
      </c>
      <c r="R55" s="852">
        <f>'6. WS Regression Analysis'!C56</f>
        <v>10428769</v>
      </c>
      <c r="S55" s="865">
        <v>10085850.1</v>
      </c>
      <c r="T55" s="853">
        <v>1.0339999996628941</v>
      </c>
    </row>
    <row r="56" spans="5:20" x14ac:dyDescent="0.2">
      <c r="Q56" s="851" t="s">
        <v>469</v>
      </c>
      <c r="R56" s="852">
        <f>'6. WS Regression Analysis'!C57</f>
        <v>13033020</v>
      </c>
      <c r="S56" s="865">
        <v>12604468</v>
      </c>
      <c r="T56" s="857">
        <v>1.0340000069816513</v>
      </c>
    </row>
    <row r="57" spans="5:20" x14ac:dyDescent="0.2">
      <c r="Q57" s="854" t="s">
        <v>509</v>
      </c>
      <c r="R57" s="855">
        <f>SUM(R45:R56)</f>
        <v>128195743</v>
      </c>
      <c r="S57" s="855">
        <v>123980408.40000002</v>
      </c>
      <c r="T57" s="856">
        <v>1.0340000057622005</v>
      </c>
    </row>
    <row r="58" spans="5:20" x14ac:dyDescent="0.2">
      <c r="Q58" s="851" t="s">
        <v>470</v>
      </c>
      <c r="R58" s="852">
        <f>'6. WS Regression Analysis'!C58</f>
        <v>13812327</v>
      </c>
      <c r="S58" s="865">
        <v>13358149.6</v>
      </c>
      <c r="T58" s="853">
        <v>1.0340000234763054</v>
      </c>
    </row>
    <row r="59" spans="5:20" x14ac:dyDescent="0.2">
      <c r="Q59" s="851" t="s">
        <v>471</v>
      </c>
      <c r="R59" s="852">
        <f>'6. WS Regression Analysis'!C59</f>
        <v>11477623</v>
      </c>
      <c r="S59" s="865">
        <v>11100215.4</v>
      </c>
      <c r="T59" s="853">
        <v>1.0340000249004178</v>
      </c>
    </row>
    <row r="60" spans="5:20" x14ac:dyDescent="0.2">
      <c r="Q60" s="851" t="s">
        <v>472</v>
      </c>
      <c r="R60" s="852">
        <f>'6. WS Regression Analysis'!C60</f>
        <v>11420342</v>
      </c>
      <c r="S60" s="865">
        <v>11044818.6</v>
      </c>
      <c r="T60" s="853">
        <v>1.0339999608504209</v>
      </c>
    </row>
    <row r="61" spans="5:20" x14ac:dyDescent="0.2">
      <c r="Q61" s="851" t="s">
        <v>473</v>
      </c>
      <c r="R61" s="852">
        <f>'6. WS Regression Analysis'!C61</f>
        <v>9511235</v>
      </c>
      <c r="S61" s="865">
        <v>9198486.6999999993</v>
      </c>
      <c r="T61" s="853">
        <v>1.0339999730607863</v>
      </c>
    </row>
    <row r="62" spans="5:20" x14ac:dyDescent="0.2">
      <c r="Q62" s="851" t="s">
        <v>474</v>
      </c>
      <c r="R62" s="852">
        <f>'6. WS Regression Analysis'!C62</f>
        <v>9272872</v>
      </c>
      <c r="S62" s="865">
        <v>8971584.5999999996</v>
      </c>
      <c r="T62" s="853">
        <v>1.0335824063900596</v>
      </c>
    </row>
    <row r="63" spans="5:20" x14ac:dyDescent="0.2">
      <c r="Q63" s="851" t="s">
        <v>475</v>
      </c>
      <c r="R63" s="852">
        <f>'6. WS Regression Analysis'!C63</f>
        <v>9226969</v>
      </c>
      <c r="S63" s="865">
        <v>8926950.5</v>
      </c>
      <c r="T63" s="853">
        <v>1.0336081733622249</v>
      </c>
    </row>
    <row r="64" spans="5:20" x14ac:dyDescent="0.2">
      <c r="Q64" s="851" t="s">
        <v>476</v>
      </c>
      <c r="R64" s="852">
        <f>'6. WS Regression Analysis'!C64</f>
        <v>10435322</v>
      </c>
      <c r="S64" s="865">
        <v>10094423.800000001</v>
      </c>
      <c r="T64" s="853">
        <v>1.0337709419333077</v>
      </c>
    </row>
    <row r="65" spans="17:20" x14ac:dyDescent="0.2">
      <c r="Q65" s="851" t="s">
        <v>477</v>
      </c>
      <c r="R65" s="852">
        <f>'6. WS Regression Analysis'!C65</f>
        <v>11413704</v>
      </c>
      <c r="S65" s="865">
        <v>11041850.300000001</v>
      </c>
      <c r="T65" s="853">
        <v>1.0336767561501896</v>
      </c>
    </row>
    <row r="66" spans="17:20" x14ac:dyDescent="0.2">
      <c r="Q66" s="851" t="s">
        <v>478</v>
      </c>
      <c r="R66" s="852">
        <f>'6. WS Regression Analysis'!C66</f>
        <v>9257157</v>
      </c>
      <c r="S66" s="865">
        <v>8955662.5999999996</v>
      </c>
      <c r="T66" s="853">
        <v>1.0336652253960528</v>
      </c>
    </row>
    <row r="67" spans="17:20" x14ac:dyDescent="0.2">
      <c r="Q67" s="851" t="s">
        <v>479</v>
      </c>
      <c r="R67" s="852">
        <f>'6. WS Regression Analysis'!C67</f>
        <v>9872214</v>
      </c>
      <c r="S67" s="865">
        <v>9551782.5999999996</v>
      </c>
      <c r="T67" s="853">
        <v>1.0335467643495153</v>
      </c>
    </row>
    <row r="68" spans="17:20" x14ac:dyDescent="0.2">
      <c r="Q68" s="851" t="s">
        <v>480</v>
      </c>
      <c r="R68" s="852">
        <f>'6. WS Regression Analysis'!C68</f>
        <v>9731721</v>
      </c>
      <c r="S68" s="865">
        <v>9416055.5999999996</v>
      </c>
      <c r="T68" s="853">
        <v>1.0335241648318221</v>
      </c>
    </row>
    <row r="69" spans="17:20" x14ac:dyDescent="0.2">
      <c r="Q69" s="851" t="s">
        <v>481</v>
      </c>
      <c r="R69" s="852">
        <f>'6. WS Regression Analysis'!C69</f>
        <v>12546812</v>
      </c>
      <c r="S69" s="865">
        <v>12140292.5</v>
      </c>
      <c r="T69" s="853">
        <v>1.0334851487309717</v>
      </c>
    </row>
    <row r="70" spans="17:20" x14ac:dyDescent="0.2">
      <c r="Q70" s="854" t="s">
        <v>510</v>
      </c>
      <c r="R70" s="855">
        <f>SUM(R58:R69)</f>
        <v>127978298</v>
      </c>
      <c r="S70" s="855">
        <v>123800272.79999998</v>
      </c>
      <c r="T70" s="856">
        <v>1.0337481098022268</v>
      </c>
    </row>
    <row r="71" spans="17:20" x14ac:dyDescent="0.2">
      <c r="Q71" s="851" t="s">
        <v>482</v>
      </c>
      <c r="R71" s="852">
        <f>'6. WS Regression Analysis'!C70</f>
        <v>12974016</v>
      </c>
      <c r="S71" s="865">
        <v>12553835.800000001</v>
      </c>
      <c r="T71" s="853">
        <v>1.0334702641243723</v>
      </c>
    </row>
    <row r="72" spans="17:20" x14ac:dyDescent="0.2">
      <c r="Q72" s="851" t="s">
        <v>483</v>
      </c>
      <c r="R72" s="852">
        <f>'6. WS Regression Analysis'!C71</f>
        <v>11255506</v>
      </c>
      <c r="S72" s="865">
        <v>10890959.9</v>
      </c>
      <c r="T72" s="853">
        <v>1.0334723571978259</v>
      </c>
    </row>
    <row r="73" spans="17:20" x14ac:dyDescent="0.2">
      <c r="Q73" s="851" t="s">
        <v>484</v>
      </c>
      <c r="R73" s="852">
        <f>'6. WS Regression Analysis'!C72</f>
        <v>10543146</v>
      </c>
      <c r="S73" s="865">
        <v>10201344.5</v>
      </c>
      <c r="T73" s="853">
        <v>1.0335055344910664</v>
      </c>
    </row>
    <row r="74" spans="17:20" x14ac:dyDescent="0.2">
      <c r="Q74" s="851" t="s">
        <v>485</v>
      </c>
      <c r="R74" s="852">
        <f>'6. WS Regression Analysis'!C73</f>
        <v>8706001</v>
      </c>
      <c r="S74" s="865">
        <v>8423410.5</v>
      </c>
      <c r="T74" s="853">
        <v>1.033548228475865</v>
      </c>
    </row>
    <row r="75" spans="17:20" x14ac:dyDescent="0.2">
      <c r="Q75" s="851" t="s">
        <v>486</v>
      </c>
      <c r="R75" s="852">
        <f>'6. WS Regression Analysis'!C74</f>
        <v>9621863</v>
      </c>
      <c r="S75" s="865">
        <v>9309149.5</v>
      </c>
      <c r="T75" s="853">
        <v>1.0335920590812298</v>
      </c>
    </row>
    <row r="76" spans="17:20" x14ac:dyDescent="0.2">
      <c r="Q76" s="851" t="s">
        <v>487</v>
      </c>
      <c r="R76" s="852">
        <f>'6. WS Regression Analysis'!C75</f>
        <v>9378111</v>
      </c>
      <c r="S76" s="865">
        <v>9073082.6999999993</v>
      </c>
      <c r="T76" s="853">
        <v>1.0336190366698632</v>
      </c>
    </row>
    <row r="77" spans="17:20" x14ac:dyDescent="0.2">
      <c r="Q77" s="851" t="s">
        <v>488</v>
      </c>
      <c r="R77" s="852">
        <f>'6. WS Regression Analysis'!C76</f>
        <v>12682926</v>
      </c>
      <c r="S77" s="865">
        <v>12269850.199999999</v>
      </c>
      <c r="T77" s="853">
        <v>1.0336659203875203</v>
      </c>
    </row>
    <row r="78" spans="17:20" x14ac:dyDescent="0.2">
      <c r="Q78" s="851" t="s">
        <v>489</v>
      </c>
      <c r="R78" s="852">
        <f>'6. WS Regression Analysis'!C77</f>
        <v>12322091</v>
      </c>
      <c r="S78" s="865">
        <v>11920783.300000001</v>
      </c>
      <c r="T78" s="853">
        <v>1.0336645411547745</v>
      </c>
    </row>
    <row r="79" spans="17:20" x14ac:dyDescent="0.2">
      <c r="Q79" s="851" t="s">
        <v>490</v>
      </c>
      <c r="R79" s="852">
        <f>'6. WS Regression Analysis'!C78</f>
        <v>9496039</v>
      </c>
      <c r="S79" s="865">
        <v>9187074.5999999996</v>
      </c>
      <c r="T79" s="853">
        <v>1.0336303353844543</v>
      </c>
    </row>
    <row r="80" spans="17:20" x14ac:dyDescent="0.2">
      <c r="Q80" s="851" t="s">
        <v>491</v>
      </c>
      <c r="R80" s="852">
        <f>'6. WS Regression Analysis'!C79</f>
        <v>9470083</v>
      </c>
      <c r="S80" s="865">
        <v>9162395.4000000004</v>
      </c>
      <c r="T80" s="853">
        <v>1.0335815675450986</v>
      </c>
    </row>
    <row r="81" spans="17:20" x14ac:dyDescent="0.2">
      <c r="Q81" s="851" t="s">
        <v>492</v>
      </c>
      <c r="R81" s="852">
        <f>'6. WS Regression Analysis'!C80</f>
        <v>10196091</v>
      </c>
      <c r="S81" s="865">
        <v>9865335.9000000004</v>
      </c>
      <c r="T81" s="853">
        <v>1.0335269983052477</v>
      </c>
    </row>
    <row r="82" spans="17:20" x14ac:dyDescent="0.2">
      <c r="Q82" s="851" t="s">
        <v>493</v>
      </c>
      <c r="R82" s="852">
        <f>'6. WS Regression Analysis'!C81</f>
        <v>12858198</v>
      </c>
      <c r="S82" s="865">
        <v>12441555.5</v>
      </c>
      <c r="T82" s="853">
        <v>1.033487975036562</v>
      </c>
    </row>
    <row r="83" spans="17:20" x14ac:dyDescent="0.2">
      <c r="Q83" s="854" t="s">
        <v>511</v>
      </c>
      <c r="R83" s="855">
        <f>SUM(R71:R82)</f>
        <v>129504071</v>
      </c>
      <c r="S83" s="855">
        <v>125298777.80000001</v>
      </c>
      <c r="T83" s="856">
        <v>1.033562124657851</v>
      </c>
    </row>
    <row r="84" spans="17:20" x14ac:dyDescent="0.2">
      <c r="Q84" s="851" t="s">
        <v>494</v>
      </c>
      <c r="R84" s="852">
        <f>'6. WS Regression Analysis'!C82</f>
        <v>13147420.279999999</v>
      </c>
      <c r="S84" s="865">
        <v>12721699.1</v>
      </c>
      <c r="T84" s="853">
        <v>1.0334641761806802</v>
      </c>
    </row>
    <row r="85" spans="17:20" x14ac:dyDescent="0.2">
      <c r="Q85" s="851" t="s">
        <v>495</v>
      </c>
      <c r="R85" s="852">
        <f>'6. WS Regression Analysis'!C83</f>
        <v>11441073.68</v>
      </c>
      <c r="S85" s="865">
        <v>11070639.300000001</v>
      </c>
      <c r="T85" s="853">
        <v>1.0334609745617851</v>
      </c>
    </row>
    <row r="86" spans="17:20" x14ac:dyDescent="0.2">
      <c r="Q86" s="851" t="s">
        <v>496</v>
      </c>
      <c r="R86" s="852">
        <f>'6. WS Regression Analysis'!C84</f>
        <v>11489559.33</v>
      </c>
      <c r="S86" s="865">
        <v>11117392.1</v>
      </c>
      <c r="T86" s="853">
        <v>1.0334761270136366</v>
      </c>
    </row>
    <row r="87" spans="17:20" x14ac:dyDescent="0.2">
      <c r="Q87" s="851" t="s">
        <v>497</v>
      </c>
      <c r="R87" s="852">
        <f>'6. WS Regression Analysis'!C85</f>
        <v>9665080.1799999997</v>
      </c>
      <c r="S87" s="865">
        <v>9351527.5</v>
      </c>
      <c r="T87" s="853">
        <v>1.0335295682977994</v>
      </c>
    </row>
    <row r="88" spans="17:20" x14ac:dyDescent="0.2">
      <c r="Q88" s="851" t="s">
        <v>498</v>
      </c>
      <c r="R88" s="852">
        <f>'6. WS Regression Analysis'!C86</f>
        <v>9490857.0500000007</v>
      </c>
      <c r="S88" s="865">
        <v>9182248.3000000007</v>
      </c>
      <c r="T88" s="853">
        <v>1.03360927954867</v>
      </c>
    </row>
    <row r="89" spans="17:20" x14ac:dyDescent="0.2">
      <c r="Q89" s="851" t="s">
        <v>499</v>
      </c>
      <c r="R89" s="852">
        <f>'6. WS Regression Analysis'!C87</f>
        <v>9581971.1600000001</v>
      </c>
      <c r="S89" s="865">
        <v>9270259.1999999993</v>
      </c>
      <c r="T89" s="853">
        <v>1.0336249454599933</v>
      </c>
    </row>
    <row r="90" spans="17:20" x14ac:dyDescent="0.2">
      <c r="Q90" s="851" t="s">
        <v>500</v>
      </c>
      <c r="R90" s="852">
        <f>'6. WS Regression Analysis'!C88</f>
        <v>13572193.43</v>
      </c>
      <c r="S90" s="865">
        <v>13129804.300000001</v>
      </c>
      <c r="T90" s="853">
        <v>1.0336935052413538</v>
      </c>
    </row>
    <row r="91" spans="17:20" x14ac:dyDescent="0.2">
      <c r="Q91" s="851" t="s">
        <v>501</v>
      </c>
      <c r="R91" s="852">
        <f>'6. WS Regression Analysis'!C89</f>
        <v>11921213.560000001</v>
      </c>
      <c r="S91" s="865">
        <v>11532802.800000001</v>
      </c>
      <c r="T91" s="853">
        <v>1.033678782750018</v>
      </c>
    </row>
    <row r="92" spans="17:20" x14ac:dyDescent="0.2">
      <c r="Q92" s="851" t="s">
        <v>502</v>
      </c>
      <c r="R92" s="852">
        <f>'6. WS Regression Analysis'!C90</f>
        <v>9672770.8599999994</v>
      </c>
      <c r="S92" s="865">
        <v>9358010.1999999993</v>
      </c>
      <c r="T92" s="853">
        <v>1.0336354260438827</v>
      </c>
    </row>
    <row r="93" spans="17:20" x14ac:dyDescent="0.2">
      <c r="Q93" s="851" t="s">
        <v>503</v>
      </c>
      <c r="R93" s="852">
        <f>'6. WS Regression Analysis'!C91</f>
        <v>9746408.2400000002</v>
      </c>
      <c r="S93" s="865">
        <v>9429688.0999999996</v>
      </c>
      <c r="T93" s="853">
        <v>1.0335875520633604</v>
      </c>
    </row>
    <row r="94" spans="17:20" x14ac:dyDescent="0.2">
      <c r="Q94" s="851" t="s">
        <v>504</v>
      </c>
      <c r="R94" s="852">
        <f>'6. WS Regression Analysis'!C92</f>
        <v>9838067.7599999998</v>
      </c>
      <c r="S94" s="865">
        <v>9518672</v>
      </c>
      <c r="T94" s="853">
        <v>1.0335546555233754</v>
      </c>
    </row>
    <row r="95" spans="17:20" x14ac:dyDescent="0.2">
      <c r="Q95" s="851" t="s">
        <v>505</v>
      </c>
      <c r="R95" s="852">
        <f>'6. WS Regression Analysis'!C93</f>
        <v>12118288.98</v>
      </c>
      <c r="S95" s="865">
        <v>11725381.800000001</v>
      </c>
      <c r="T95" s="853">
        <v>1.0335091160954775</v>
      </c>
    </row>
    <row r="96" spans="17:20" x14ac:dyDescent="0.2">
      <c r="Q96" s="854" t="s">
        <v>512</v>
      </c>
      <c r="R96" s="855">
        <f>SUM(R84:R95)</f>
        <v>131684904.50999999</v>
      </c>
      <c r="S96" s="855">
        <v>127408124.69999999</v>
      </c>
      <c r="T96" s="856">
        <v>1.0335675595262883</v>
      </c>
    </row>
    <row r="97" spans="17:20" x14ac:dyDescent="0.2">
      <c r="Q97" s="851" t="s">
        <v>513</v>
      </c>
      <c r="R97" s="852">
        <f>'6. WS Regression Analysis'!C94</f>
        <v>12612651.550000001</v>
      </c>
      <c r="S97" s="865">
        <v>12203939.17</v>
      </c>
      <c r="T97" s="858">
        <f>R97/S97</f>
        <v>1.033490201344555</v>
      </c>
    </row>
    <row r="98" spans="17:20" x14ac:dyDescent="0.2">
      <c r="Q98" s="851" t="s">
        <v>514</v>
      </c>
      <c r="R98" s="852">
        <f>'6. WS Regression Analysis'!C95</f>
        <v>11066207</v>
      </c>
      <c r="S98" s="865">
        <v>10707631.66</v>
      </c>
      <c r="T98" s="858">
        <f t="shared" ref="T98:T108" si="6">R98/S98</f>
        <v>1.0334878291844416</v>
      </c>
    </row>
    <row r="99" spans="17:20" x14ac:dyDescent="0.2">
      <c r="Q99" s="851" t="s">
        <v>515</v>
      </c>
      <c r="R99" s="852">
        <f>'6. WS Regression Analysis'!C96</f>
        <v>10220160.800000001</v>
      </c>
      <c r="S99" s="865">
        <v>9888621.2799999993</v>
      </c>
      <c r="T99" s="858">
        <f t="shared" si="6"/>
        <v>1.0335273756181309</v>
      </c>
    </row>
    <row r="100" spans="17:20" x14ac:dyDescent="0.2">
      <c r="Q100" s="851" t="s">
        <v>516</v>
      </c>
      <c r="R100" s="852">
        <f>'6. WS Regression Analysis'!C97</f>
        <v>9355929.0999999996</v>
      </c>
      <c r="S100" s="865">
        <v>9056826.4499999993</v>
      </c>
      <c r="T100" s="858">
        <f t="shared" si="6"/>
        <v>1.0330251056097028</v>
      </c>
    </row>
    <row r="101" spans="17:20" x14ac:dyDescent="0.2">
      <c r="Q101" s="851" t="s">
        <v>517</v>
      </c>
      <c r="R101" s="852">
        <f>'6. WS Regression Analysis'!C98</f>
        <v>9317976.0999999996</v>
      </c>
      <c r="S101" s="865">
        <v>9026973.5800000001</v>
      </c>
      <c r="T101" s="858">
        <f t="shared" si="6"/>
        <v>1.0322369969759011</v>
      </c>
    </row>
    <row r="102" spans="17:20" x14ac:dyDescent="0.2">
      <c r="Q102" s="851" t="s">
        <v>518</v>
      </c>
      <c r="R102" s="852">
        <f>'6. WS Regression Analysis'!C99</f>
        <v>10449653.800000001</v>
      </c>
      <c r="S102" s="865">
        <v>10122432.27</v>
      </c>
      <c r="T102" s="858">
        <f t="shared" si="6"/>
        <v>1.0323263738666637</v>
      </c>
    </row>
    <row r="103" spans="17:20" x14ac:dyDescent="0.2">
      <c r="Q103" s="851" t="s">
        <v>519</v>
      </c>
      <c r="R103" s="852">
        <f>'6. WS Regression Analysis'!C100</f>
        <v>13026266.4</v>
      </c>
      <c r="S103" s="865">
        <v>12615826.550000001</v>
      </c>
      <c r="T103" s="858">
        <f t="shared" si="6"/>
        <v>1.0325337264564722</v>
      </c>
    </row>
    <row r="104" spans="17:20" x14ac:dyDescent="0.2">
      <c r="Q104" s="851" t="s">
        <v>520</v>
      </c>
      <c r="R104" s="852">
        <f>'6. WS Regression Analysis'!C101</f>
        <v>11876916.4</v>
      </c>
      <c r="S104" s="865">
        <v>11503740.93</v>
      </c>
      <c r="T104" s="858">
        <f t="shared" si="6"/>
        <v>1.0324394883604182</v>
      </c>
    </row>
    <row r="105" spans="17:20" x14ac:dyDescent="0.2">
      <c r="Q105" s="851" t="s">
        <v>521</v>
      </c>
      <c r="R105" s="852">
        <f>'6. WS Regression Analysis'!C102</f>
        <v>9554622.5999999996</v>
      </c>
      <c r="S105" s="865">
        <v>9255443.3000000007</v>
      </c>
      <c r="T105" s="858">
        <f t="shared" si="6"/>
        <v>1.0323246861660316</v>
      </c>
    </row>
    <row r="106" spans="17:20" x14ac:dyDescent="0.2">
      <c r="Q106" s="851" t="s">
        <v>522</v>
      </c>
      <c r="R106" s="852">
        <f>'6. WS Regression Analysis'!C103</f>
        <v>9583542.6999999993</v>
      </c>
      <c r="S106" s="865">
        <v>9283707.4299999997</v>
      </c>
      <c r="T106" s="858">
        <f t="shared" si="6"/>
        <v>1.0322969322612527</v>
      </c>
    </row>
    <row r="107" spans="17:20" x14ac:dyDescent="0.2">
      <c r="Q107" s="851" t="s">
        <v>523</v>
      </c>
      <c r="R107" s="852">
        <f>'6. WS Regression Analysis'!C104</f>
        <v>10377144.1</v>
      </c>
      <c r="S107" s="865">
        <v>10051570.85</v>
      </c>
      <c r="T107" s="858">
        <f t="shared" si="6"/>
        <v>1.0323902855442739</v>
      </c>
    </row>
    <row r="108" spans="17:20" x14ac:dyDescent="0.2">
      <c r="Q108" s="851" t="s">
        <v>524</v>
      </c>
      <c r="R108" s="852">
        <f>'6. WS Regression Analysis'!C105</f>
        <v>12029428.4</v>
      </c>
      <c r="S108" s="865">
        <v>11651301.41</v>
      </c>
      <c r="T108" s="858">
        <f t="shared" si="6"/>
        <v>1.0324536269978788</v>
      </c>
    </row>
    <row r="109" spans="17:20" x14ac:dyDescent="0.2">
      <c r="Q109" s="854" t="s">
        <v>549</v>
      </c>
      <c r="R109" s="855">
        <f>SUM(R97:R108)</f>
        <v>129470498.95000002</v>
      </c>
      <c r="S109" s="855">
        <f>SUM(S97:S108)</f>
        <v>125368014.87999997</v>
      </c>
      <c r="T109" s="856">
        <f>R109/S109</f>
        <v>1.0327235305905329</v>
      </c>
    </row>
    <row r="110" spans="17:20" x14ac:dyDescent="0.2">
      <c r="Q110" s="851" t="s">
        <v>525</v>
      </c>
      <c r="R110" s="852">
        <f>'6. WS Regression Analysis'!C106</f>
        <v>12427125.300000001</v>
      </c>
      <c r="S110" s="865">
        <v>12037372.630000001</v>
      </c>
      <c r="T110" s="858">
        <f t="shared" ref="T110:T134" si="7">R110/S110</f>
        <v>1.0323785498696487</v>
      </c>
    </row>
    <row r="111" spans="17:20" x14ac:dyDescent="0.2">
      <c r="Q111" s="851" t="s">
        <v>526</v>
      </c>
      <c r="R111" s="852">
        <f>'6. WS Regression Analysis'!C107</f>
        <v>11414727.16</v>
      </c>
      <c r="S111" s="865">
        <v>11056689.02</v>
      </c>
      <c r="T111" s="858">
        <f t="shared" si="7"/>
        <v>1.0323820394471039</v>
      </c>
    </row>
    <row r="112" spans="17:20" x14ac:dyDescent="0.2">
      <c r="Q112" s="851" t="s">
        <v>527</v>
      </c>
      <c r="R112" s="852">
        <f>'6. WS Regression Analysis'!C108</f>
        <v>11410609.51</v>
      </c>
      <c r="S112" s="865">
        <v>11053679.289999999</v>
      </c>
      <c r="T112" s="858">
        <f t="shared" si="7"/>
        <v>1.0322906256492268</v>
      </c>
    </row>
    <row r="113" spans="17:20" x14ac:dyDescent="0.2">
      <c r="Q113" s="851" t="s">
        <v>528</v>
      </c>
      <c r="R113" s="852">
        <f>'6. WS Regression Analysis'!C109</f>
        <v>9843368.6199999992</v>
      </c>
      <c r="S113" s="865">
        <v>9536827.4700000007</v>
      </c>
      <c r="T113" s="858">
        <f t="shared" si="7"/>
        <v>1.0321428851433336</v>
      </c>
    </row>
    <row r="114" spans="17:20" x14ac:dyDescent="0.2">
      <c r="Q114" s="851" t="s">
        <v>529</v>
      </c>
      <c r="R114" s="852">
        <f>'6. WS Regression Analysis'!C110</f>
        <v>9607315.9800000004</v>
      </c>
      <c r="S114" s="865">
        <v>9309016.1500000004</v>
      </c>
      <c r="T114" s="858">
        <f t="shared" si="7"/>
        <v>1.0320441843899906</v>
      </c>
    </row>
    <row r="115" spans="17:20" x14ac:dyDescent="0.2">
      <c r="Q115" s="851" t="s">
        <v>530</v>
      </c>
      <c r="R115" s="852">
        <f>'6. WS Regression Analysis'!C111</f>
        <v>10146122.73</v>
      </c>
      <c r="S115" s="865">
        <v>9830533.1899999995</v>
      </c>
      <c r="T115" s="858">
        <f t="shared" si="7"/>
        <v>1.0321029931846455</v>
      </c>
    </row>
    <row r="116" spans="17:20" x14ac:dyDescent="0.2">
      <c r="Q116" s="851" t="s">
        <v>531</v>
      </c>
      <c r="R116" s="852">
        <f>'6. WS Regression Analysis'!C112</f>
        <v>12627370.01</v>
      </c>
      <c r="S116" s="865">
        <v>12231693.16</v>
      </c>
      <c r="T116" s="858">
        <f t="shared" si="7"/>
        <v>1.0323484937714051</v>
      </c>
    </row>
    <row r="117" spans="17:20" x14ac:dyDescent="0.2">
      <c r="Q117" s="851" t="s">
        <v>532</v>
      </c>
      <c r="R117" s="852">
        <f>'6. WS Regression Analysis'!C113</f>
        <v>11481797.800000001</v>
      </c>
      <c r="S117" s="865">
        <v>11123354.539999999</v>
      </c>
      <c r="T117" s="858">
        <f t="shared" si="7"/>
        <v>1.0322243850729584</v>
      </c>
    </row>
    <row r="118" spans="17:20" x14ac:dyDescent="0.2">
      <c r="Q118" s="851" t="s">
        <v>533</v>
      </c>
      <c r="R118" s="852">
        <f>'6. WS Regression Analysis'!C114</f>
        <v>9549656.1400000006</v>
      </c>
      <c r="S118" s="865">
        <v>9253334.6699999999</v>
      </c>
      <c r="T118" s="858">
        <f t="shared" si="7"/>
        <v>1.0320232089908838</v>
      </c>
    </row>
    <row r="119" spans="17:20" x14ac:dyDescent="0.2">
      <c r="Q119" s="851" t="s">
        <v>534</v>
      </c>
      <c r="R119" s="852">
        <f>'6. WS Regression Analysis'!C115</f>
        <v>9762325.4000000004</v>
      </c>
      <c r="S119" s="865">
        <v>9458916.8699999992</v>
      </c>
      <c r="T119" s="858">
        <f t="shared" si="7"/>
        <v>1.03207645591667</v>
      </c>
    </row>
    <row r="120" spans="17:20" x14ac:dyDescent="0.2">
      <c r="Q120" s="851" t="s">
        <v>535</v>
      </c>
      <c r="R120" s="852">
        <f>'6. WS Regression Analysis'!C116</f>
        <v>11051534.07</v>
      </c>
      <c r="S120" s="865">
        <v>10705477.99</v>
      </c>
      <c r="T120" s="858">
        <f t="shared" si="7"/>
        <v>1.0323251404863241</v>
      </c>
    </row>
    <row r="121" spans="17:20" x14ac:dyDescent="0.2">
      <c r="Q121" s="851" t="s">
        <v>536</v>
      </c>
      <c r="R121" s="852">
        <f>'6. WS Regression Analysis'!C117</f>
        <v>13539376.789999999</v>
      </c>
      <c r="S121" s="865">
        <v>13113981.23</v>
      </c>
      <c r="T121" s="858">
        <f t="shared" si="7"/>
        <v>1.0324383230797105</v>
      </c>
    </row>
    <row r="122" spans="17:20" x14ac:dyDescent="0.2">
      <c r="Q122" s="854" t="s">
        <v>550</v>
      </c>
      <c r="R122" s="855">
        <f>SUM(R110:R121)</f>
        <v>132861329.50999999</v>
      </c>
      <c r="S122" s="855">
        <f>SUM(S110:S121)</f>
        <v>128710876.20999999</v>
      </c>
      <c r="T122" s="856">
        <f>R122/S122</f>
        <v>1.0322463293096402</v>
      </c>
    </row>
    <row r="123" spans="17:20" x14ac:dyDescent="0.2">
      <c r="Q123" s="851" t="s">
        <v>537</v>
      </c>
      <c r="R123" s="852">
        <f>'6. WS Regression Analysis'!C118</f>
        <v>14009823.02</v>
      </c>
      <c r="S123" s="865">
        <v>13569001.189999999</v>
      </c>
      <c r="T123" s="858">
        <f t="shared" si="7"/>
        <v>1.0324874192158575</v>
      </c>
    </row>
    <row r="124" spans="17:20" x14ac:dyDescent="0.2">
      <c r="Q124" s="851" t="s">
        <v>538</v>
      </c>
      <c r="R124" s="852">
        <f>'6. WS Regression Analysis'!C119</f>
        <v>12185867.460000001</v>
      </c>
      <c r="S124" s="865">
        <v>11802571.07</v>
      </c>
      <c r="T124" s="858">
        <f t="shared" si="7"/>
        <v>1.0324756688798318</v>
      </c>
    </row>
    <row r="125" spans="17:20" x14ac:dyDescent="0.2">
      <c r="Q125" s="851" t="s">
        <v>539</v>
      </c>
      <c r="R125" s="852">
        <f>'6. WS Regression Analysis'!C120</f>
        <v>12555380.390000001</v>
      </c>
      <c r="S125" s="865">
        <v>12161096.949999999</v>
      </c>
      <c r="T125" s="858">
        <f t="shared" si="7"/>
        <v>1.0324217002480192</v>
      </c>
    </row>
    <row r="126" spans="17:20" x14ac:dyDescent="0.2">
      <c r="Q126" s="851" t="s">
        <v>540</v>
      </c>
      <c r="R126" s="852">
        <f>'6. WS Regression Analysis'!C121</f>
        <v>10082468.890000001</v>
      </c>
      <c r="S126" s="865">
        <v>9767547.5299999993</v>
      </c>
      <c r="T126" s="858">
        <f t="shared" si="7"/>
        <v>1.0322415999546204</v>
      </c>
    </row>
    <row r="127" spans="17:20" x14ac:dyDescent="0.2">
      <c r="Q127" s="851" t="s">
        <v>541</v>
      </c>
      <c r="R127" s="852">
        <f>'6. WS Regression Analysis'!C122</f>
        <v>9562255.6600000001</v>
      </c>
      <c r="S127" s="865">
        <v>9264642.5999999996</v>
      </c>
      <c r="T127" s="858">
        <f t="shared" si="7"/>
        <v>1.0321235338317314</v>
      </c>
    </row>
    <row r="128" spans="17:20" x14ac:dyDescent="0.2">
      <c r="Q128" s="851" t="s">
        <v>542</v>
      </c>
      <c r="R128" s="852">
        <f>'6. WS Regression Analysis'!C123</f>
        <v>9968997.2799999993</v>
      </c>
      <c r="S128" s="865">
        <v>9658593.1300000008</v>
      </c>
      <c r="T128" s="858">
        <f t="shared" si="7"/>
        <v>1.0321376152636423</v>
      </c>
    </row>
    <row r="129" spans="17:20" x14ac:dyDescent="0.2">
      <c r="Q129" s="851" t="s">
        <v>543</v>
      </c>
      <c r="R129" s="852">
        <f>'6. WS Regression Analysis'!C124</f>
        <v>11153255.460000001</v>
      </c>
      <c r="S129" s="865">
        <v>10804830.810000001</v>
      </c>
      <c r="T129" s="858">
        <f t="shared" si="7"/>
        <v>1.0322471176205303</v>
      </c>
    </row>
    <row r="130" spans="17:20" x14ac:dyDescent="0.2">
      <c r="Q130" s="851" t="s">
        <v>544</v>
      </c>
      <c r="R130" s="852">
        <f>'6. WS Regression Analysis'!C125</f>
        <v>11362433.77</v>
      </c>
      <c r="S130" s="865">
        <v>11007759.82</v>
      </c>
      <c r="T130" s="858">
        <f t="shared" si="7"/>
        <v>1.0322203568936517</v>
      </c>
    </row>
    <row r="131" spans="17:20" x14ac:dyDescent="0.2">
      <c r="Q131" s="851" t="s">
        <v>545</v>
      </c>
      <c r="R131" s="852">
        <f>'6. WS Regression Analysis'!C126</f>
        <v>9514380.7899999991</v>
      </c>
      <c r="S131" s="865">
        <v>9218609.3200000003</v>
      </c>
      <c r="T131" s="858">
        <f t="shared" si="7"/>
        <v>1.0320841744923841</v>
      </c>
    </row>
    <row r="132" spans="17:20" x14ac:dyDescent="0.2">
      <c r="Q132" s="851" t="s">
        <v>546</v>
      </c>
      <c r="R132" s="852">
        <f>'6. WS Regression Analysis'!C127</f>
        <v>9761646.9700000007</v>
      </c>
      <c r="S132" s="865">
        <v>9457382.3100000005</v>
      </c>
      <c r="T132" s="858">
        <f t="shared" si="7"/>
        <v>1.0321721857091763</v>
      </c>
    </row>
    <row r="133" spans="17:20" x14ac:dyDescent="0.2">
      <c r="Q133" s="851" t="s">
        <v>547</v>
      </c>
      <c r="R133" s="852">
        <f>'6. WS Regression Analysis'!C128</f>
        <v>11117966.66</v>
      </c>
      <c r="S133" s="865">
        <v>10769187.689999999</v>
      </c>
      <c r="T133" s="858">
        <f t="shared" si="7"/>
        <v>1.0323867481967901</v>
      </c>
    </row>
    <row r="134" spans="17:20" x14ac:dyDescent="0.2">
      <c r="Q134" s="851" t="s">
        <v>548</v>
      </c>
      <c r="R134" s="852">
        <f>'6. WS Regression Analysis'!C129</f>
        <v>12637824.1</v>
      </c>
      <c r="S134" s="865">
        <v>12239850.609999999</v>
      </c>
      <c r="T134" s="858">
        <f t="shared" si="7"/>
        <v>1.0325145708620704</v>
      </c>
    </row>
    <row r="135" spans="17:20" x14ac:dyDescent="0.2">
      <c r="Q135" s="854" t="s">
        <v>551</v>
      </c>
      <c r="R135" s="855">
        <f>SUM(R123:R134)</f>
        <v>133912300.44999999</v>
      </c>
      <c r="S135" s="855">
        <f>SUM(S123:S134)</f>
        <v>129721073.02999999</v>
      </c>
      <c r="T135" s="856">
        <f>R135/S135</f>
        <v>1.0323095340032433</v>
      </c>
    </row>
  </sheetData>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V69"/>
  <sheetViews>
    <sheetView workbookViewId="0"/>
  </sheetViews>
  <sheetFormatPr defaultRowHeight="12.75" x14ac:dyDescent="0.2"/>
  <cols>
    <col min="2" max="2" width="84.6640625" customWidth="1"/>
    <col min="3" max="3" width="9.83203125" customWidth="1"/>
    <col min="4" max="4" width="11.5" customWidth="1"/>
    <col min="5" max="124" width="11" bestFit="1" customWidth="1"/>
  </cols>
  <sheetData>
    <row r="1" spans="1:126" ht="14.25" x14ac:dyDescent="0.2">
      <c r="A1" s="1178" t="s">
        <v>672</v>
      </c>
      <c r="B1" s="1168"/>
    </row>
    <row r="2" spans="1:126" x14ac:dyDescent="0.2">
      <c r="A2" s="1168" t="s">
        <v>673</v>
      </c>
      <c r="B2" s="1168"/>
    </row>
    <row r="3" spans="1:126" x14ac:dyDescent="0.2">
      <c r="A3" s="1168" t="s">
        <v>674</v>
      </c>
      <c r="B3" s="1168"/>
    </row>
    <row r="4" spans="1:126" x14ac:dyDescent="0.2">
      <c r="A4" s="1168" t="s">
        <v>675</v>
      </c>
      <c r="B4" s="1168" t="s">
        <v>676</v>
      </c>
      <c r="D4" s="1307">
        <v>38322</v>
      </c>
      <c r="E4" s="1307">
        <v>38353</v>
      </c>
      <c r="F4" s="1307">
        <v>38384</v>
      </c>
      <c r="G4" s="1307">
        <v>38412</v>
      </c>
      <c r="H4" s="1307">
        <v>38443</v>
      </c>
      <c r="I4" s="1307">
        <v>38473</v>
      </c>
      <c r="J4" s="1307">
        <v>38504</v>
      </c>
      <c r="K4" s="1307">
        <v>38534</v>
      </c>
      <c r="L4" s="1307">
        <v>38565</v>
      </c>
      <c r="M4" s="1307">
        <v>38596</v>
      </c>
      <c r="N4" s="1307">
        <v>38626</v>
      </c>
      <c r="O4" s="1307">
        <v>38657</v>
      </c>
      <c r="P4" s="1307">
        <v>38687</v>
      </c>
      <c r="Q4" s="1307">
        <v>38718</v>
      </c>
      <c r="R4" s="1307">
        <v>38749</v>
      </c>
      <c r="S4" s="1307">
        <v>38777</v>
      </c>
      <c r="T4" s="1307">
        <v>38808</v>
      </c>
      <c r="U4" s="1307">
        <v>38838</v>
      </c>
      <c r="V4" s="1307">
        <v>38869</v>
      </c>
      <c r="W4" s="1307">
        <v>38899</v>
      </c>
      <c r="X4" s="1307">
        <v>38930</v>
      </c>
      <c r="Y4" s="1307">
        <v>38961</v>
      </c>
      <c r="Z4" s="1307">
        <v>38991</v>
      </c>
      <c r="AA4" s="1307">
        <v>39022</v>
      </c>
      <c r="AB4" s="1307">
        <v>39052</v>
      </c>
      <c r="AC4" s="1307">
        <v>39083</v>
      </c>
      <c r="AD4" s="1307">
        <v>39114</v>
      </c>
      <c r="AE4" s="1307">
        <v>39142</v>
      </c>
      <c r="AF4" s="1307">
        <v>39173</v>
      </c>
      <c r="AG4" s="1307">
        <v>39203</v>
      </c>
      <c r="AH4" s="1307">
        <v>39234</v>
      </c>
      <c r="AI4" s="1307">
        <v>39264</v>
      </c>
      <c r="AJ4" s="1307">
        <v>39295</v>
      </c>
      <c r="AK4" s="1307">
        <v>39326</v>
      </c>
      <c r="AL4" s="1307">
        <v>39356</v>
      </c>
      <c r="AM4" s="1307">
        <v>39387</v>
      </c>
      <c r="AN4" s="1307">
        <v>39417</v>
      </c>
      <c r="AO4" s="1307">
        <v>39448</v>
      </c>
      <c r="AP4" s="1307">
        <v>39479</v>
      </c>
      <c r="AQ4" s="1307">
        <v>39508</v>
      </c>
      <c r="AR4" s="1307">
        <v>39539</v>
      </c>
      <c r="AS4" s="1307">
        <v>39569</v>
      </c>
      <c r="AT4" s="1307">
        <v>39600</v>
      </c>
      <c r="AU4" s="1307">
        <v>39630</v>
      </c>
      <c r="AV4" s="1307">
        <v>39661</v>
      </c>
      <c r="AW4" s="1307">
        <v>39692</v>
      </c>
      <c r="AX4" s="1307">
        <v>39722</v>
      </c>
      <c r="AY4" s="1307">
        <v>39753</v>
      </c>
      <c r="AZ4" s="1307">
        <v>39783</v>
      </c>
      <c r="BA4" s="1307">
        <v>39814</v>
      </c>
      <c r="BB4" s="1307">
        <v>39845</v>
      </c>
      <c r="BC4" s="1307">
        <v>39873</v>
      </c>
      <c r="BD4" s="1307">
        <v>39904</v>
      </c>
      <c r="BE4" s="1307">
        <v>39934</v>
      </c>
      <c r="BF4" s="1307">
        <v>39965</v>
      </c>
      <c r="BG4" s="1307">
        <v>39995</v>
      </c>
      <c r="BH4" s="1307">
        <v>40026</v>
      </c>
      <c r="BI4" s="1307">
        <v>40057</v>
      </c>
      <c r="BJ4" s="1307">
        <v>40087</v>
      </c>
      <c r="BK4" s="1307">
        <v>40118</v>
      </c>
      <c r="BL4" s="1307">
        <v>40148</v>
      </c>
      <c r="BM4" s="1307">
        <v>40179</v>
      </c>
      <c r="BN4" s="1307">
        <v>40210</v>
      </c>
      <c r="BO4" s="1307">
        <v>40238</v>
      </c>
      <c r="BP4" s="1307">
        <v>40269</v>
      </c>
      <c r="BQ4" s="1307">
        <v>40299</v>
      </c>
      <c r="BR4" s="1307">
        <v>40330</v>
      </c>
      <c r="BS4" s="1307">
        <v>40360</v>
      </c>
      <c r="BT4" s="1307">
        <v>40391</v>
      </c>
      <c r="BU4" s="1307">
        <v>40422</v>
      </c>
      <c r="BV4" s="1307">
        <v>40452</v>
      </c>
      <c r="BW4" s="1307">
        <v>40483</v>
      </c>
      <c r="BX4" s="1307">
        <v>40513</v>
      </c>
      <c r="BY4" s="1307">
        <v>40544</v>
      </c>
      <c r="BZ4" s="1307">
        <v>40575</v>
      </c>
      <c r="CA4" s="1307">
        <v>40603</v>
      </c>
      <c r="CB4" s="1307">
        <v>40634</v>
      </c>
      <c r="CC4" s="1307">
        <v>40664</v>
      </c>
      <c r="CD4" s="1307">
        <v>40695</v>
      </c>
      <c r="CE4" s="1307">
        <v>40725</v>
      </c>
      <c r="CF4" s="1307">
        <v>40756</v>
      </c>
      <c r="CG4" s="1307">
        <v>40787</v>
      </c>
      <c r="CH4" s="1307">
        <v>40817</v>
      </c>
      <c r="CI4" s="1307">
        <v>40848</v>
      </c>
      <c r="CJ4" s="1307">
        <v>40878</v>
      </c>
      <c r="CK4" s="1307">
        <v>40909</v>
      </c>
      <c r="CL4" s="1307">
        <v>40940</v>
      </c>
      <c r="CM4" s="1307">
        <v>40969</v>
      </c>
      <c r="CN4" s="1307">
        <v>41000</v>
      </c>
      <c r="CO4" s="1307">
        <v>41030</v>
      </c>
      <c r="CP4" s="1307">
        <v>41061</v>
      </c>
      <c r="CQ4" s="1307">
        <v>41091</v>
      </c>
      <c r="CR4" s="1307">
        <v>41122</v>
      </c>
      <c r="CS4" s="1307">
        <v>41153</v>
      </c>
      <c r="CT4" s="1307">
        <v>41183</v>
      </c>
      <c r="CU4" s="1307">
        <v>41214</v>
      </c>
      <c r="CV4" s="1307">
        <v>41244</v>
      </c>
      <c r="CW4" s="1307">
        <v>41275</v>
      </c>
      <c r="CX4" s="1307">
        <v>41306</v>
      </c>
      <c r="CY4" s="1307">
        <v>41334</v>
      </c>
      <c r="CZ4" s="1307">
        <v>41365</v>
      </c>
      <c r="DA4" s="1307">
        <v>41395</v>
      </c>
      <c r="DB4" s="1307">
        <v>41426</v>
      </c>
      <c r="DC4" s="1307">
        <v>41456</v>
      </c>
      <c r="DD4" s="1307">
        <v>41487</v>
      </c>
      <c r="DE4" s="1307">
        <v>41518</v>
      </c>
      <c r="DF4" s="1307">
        <v>41548</v>
      </c>
      <c r="DG4" s="1307">
        <v>41579</v>
      </c>
      <c r="DH4" s="1307">
        <v>41609</v>
      </c>
      <c r="DI4" s="1307">
        <v>41640</v>
      </c>
      <c r="DJ4" s="1307">
        <v>41671</v>
      </c>
      <c r="DK4" s="1307">
        <v>41699</v>
      </c>
      <c r="DL4" s="1307">
        <v>41730</v>
      </c>
      <c r="DM4" s="1307">
        <v>41760</v>
      </c>
      <c r="DN4" s="1307">
        <v>41791</v>
      </c>
      <c r="DO4" s="1307">
        <v>41821</v>
      </c>
      <c r="DP4" s="1307">
        <v>41852</v>
      </c>
      <c r="DQ4" s="1307">
        <v>41883</v>
      </c>
      <c r="DR4" s="1307">
        <v>41913</v>
      </c>
      <c r="DS4" s="1307">
        <v>41944</v>
      </c>
      <c r="DT4" s="1307">
        <v>41974</v>
      </c>
      <c r="DU4" s="1164"/>
      <c r="DV4" s="1164"/>
    </row>
    <row r="5" spans="1:126" x14ac:dyDescent="0.2">
      <c r="A5" s="1168" t="s">
        <v>727</v>
      </c>
      <c r="B5" s="1168" t="s">
        <v>678</v>
      </c>
      <c r="C5" s="130" t="s">
        <v>679</v>
      </c>
      <c r="D5" s="1309">
        <v>105.3</v>
      </c>
      <c r="E5" s="1309">
        <v>105.1</v>
      </c>
      <c r="F5" s="1309">
        <v>105.8</v>
      </c>
      <c r="G5" s="1309">
        <v>106.4</v>
      </c>
      <c r="H5" s="1309">
        <v>106.5</v>
      </c>
      <c r="I5" s="1309">
        <v>106.6</v>
      </c>
      <c r="J5" s="1309">
        <v>106.8</v>
      </c>
      <c r="K5" s="1309">
        <v>106.9</v>
      </c>
      <c r="L5" s="1309">
        <v>107.5</v>
      </c>
      <c r="M5" s="1309">
        <v>108.2</v>
      </c>
      <c r="N5" s="1309">
        <v>107.7</v>
      </c>
      <c r="O5" s="1309">
        <v>107.5</v>
      </c>
      <c r="P5" s="1309">
        <v>107.6</v>
      </c>
      <c r="Q5" s="1309">
        <v>108.2</v>
      </c>
      <c r="R5" s="1309">
        <v>107.9</v>
      </c>
      <c r="S5" s="1309">
        <v>108.8</v>
      </c>
      <c r="T5" s="1309">
        <v>109.1</v>
      </c>
      <c r="U5" s="1309">
        <v>109.5</v>
      </c>
      <c r="V5" s="1309">
        <v>109.3</v>
      </c>
      <c r="W5" s="1309">
        <v>109</v>
      </c>
      <c r="X5" s="1309">
        <v>109.1</v>
      </c>
      <c r="Y5" s="1309">
        <v>108.5</v>
      </c>
      <c r="Z5" s="1309">
        <v>108.4</v>
      </c>
      <c r="AA5" s="1309">
        <v>108.6</v>
      </c>
      <c r="AB5" s="1309">
        <v>108.8</v>
      </c>
      <c r="AC5" s="1309">
        <v>108.6</v>
      </c>
      <c r="AD5" s="1309">
        <v>109.7</v>
      </c>
      <c r="AE5" s="1309">
        <v>110.8</v>
      </c>
      <c r="AF5" s="1309">
        <v>111.1</v>
      </c>
      <c r="AG5" s="1309">
        <v>111.6</v>
      </c>
      <c r="AH5" s="1309">
        <v>111.1</v>
      </c>
      <c r="AI5" s="1309">
        <v>111.1</v>
      </c>
      <c r="AJ5" s="1309">
        <v>110.9</v>
      </c>
      <c r="AK5" s="1309">
        <v>111</v>
      </c>
      <c r="AL5" s="1309">
        <v>110.9</v>
      </c>
      <c r="AM5" s="1309">
        <v>111.2</v>
      </c>
      <c r="AN5" s="1309">
        <v>111.1</v>
      </c>
      <c r="AO5" s="1309">
        <v>110.9</v>
      </c>
      <c r="AP5" s="1309">
        <v>111.4</v>
      </c>
      <c r="AQ5" s="1309">
        <v>111.7</v>
      </c>
      <c r="AR5" s="1309">
        <v>112.5</v>
      </c>
      <c r="AS5" s="1309">
        <v>113.6</v>
      </c>
      <c r="AT5" s="1309">
        <v>114.2</v>
      </c>
      <c r="AU5" s="1309">
        <v>115.1</v>
      </c>
      <c r="AV5" s="1309">
        <v>114.8</v>
      </c>
      <c r="AW5" s="1309">
        <v>115.1</v>
      </c>
      <c r="AX5" s="1309">
        <v>113.7</v>
      </c>
      <c r="AY5" s="1309">
        <v>113.5</v>
      </c>
      <c r="AZ5" s="1309">
        <v>112.8</v>
      </c>
      <c r="BA5" s="1309">
        <v>112.4</v>
      </c>
      <c r="BB5" s="1309">
        <v>113.1</v>
      </c>
      <c r="BC5" s="1309">
        <v>113.7</v>
      </c>
      <c r="BD5" s="1309">
        <v>113.2</v>
      </c>
      <c r="BE5" s="1309">
        <v>114</v>
      </c>
      <c r="BF5" s="1309">
        <v>114.2</v>
      </c>
      <c r="BG5" s="1309">
        <v>113.7</v>
      </c>
      <c r="BH5" s="1309">
        <v>113.7</v>
      </c>
      <c r="BI5" s="1309">
        <v>113.8</v>
      </c>
      <c r="BJ5" s="1309">
        <v>113.9</v>
      </c>
      <c r="BK5" s="1309">
        <v>114.6</v>
      </c>
      <c r="BL5" s="1309">
        <v>114.1</v>
      </c>
      <c r="BM5" s="1309">
        <v>114.5</v>
      </c>
      <c r="BN5" s="1309">
        <v>115.1</v>
      </c>
      <c r="BO5" s="1309">
        <v>115.3</v>
      </c>
      <c r="BP5" s="1309">
        <v>115.7</v>
      </c>
      <c r="BQ5" s="1309">
        <v>116.2</v>
      </c>
      <c r="BR5" s="1309">
        <v>116</v>
      </c>
      <c r="BS5" s="1309">
        <v>117</v>
      </c>
      <c r="BT5" s="1309">
        <v>117</v>
      </c>
      <c r="BU5" s="1309">
        <v>117.1</v>
      </c>
      <c r="BV5" s="1309">
        <v>117.8</v>
      </c>
      <c r="BW5" s="1309">
        <v>118</v>
      </c>
      <c r="BX5" s="1309">
        <v>117.9</v>
      </c>
      <c r="BY5" s="1309">
        <v>117.8</v>
      </c>
      <c r="BZ5" s="1309">
        <v>118</v>
      </c>
      <c r="CA5" s="1309">
        <v>119.4</v>
      </c>
      <c r="CB5" s="1309">
        <v>119.9</v>
      </c>
      <c r="CC5" s="1309">
        <v>120.9</v>
      </c>
      <c r="CD5" s="1309">
        <v>120.2</v>
      </c>
      <c r="CE5" s="1309">
        <v>120.5</v>
      </c>
      <c r="CF5" s="1309">
        <v>120.6</v>
      </c>
      <c r="CG5" s="1309">
        <v>121.1</v>
      </c>
      <c r="CH5" s="1309">
        <v>121</v>
      </c>
      <c r="CI5" s="1309">
        <v>121</v>
      </c>
      <c r="CJ5" s="1309">
        <v>120.3</v>
      </c>
      <c r="CK5" s="1309">
        <v>120.6</v>
      </c>
      <c r="CL5" s="1309">
        <v>121.4</v>
      </c>
      <c r="CM5" s="1309">
        <v>122</v>
      </c>
      <c r="CN5" s="1309">
        <v>122.4</v>
      </c>
      <c r="CO5" s="1309">
        <v>122.4</v>
      </c>
      <c r="CP5" s="1309">
        <v>121.6</v>
      </c>
      <c r="CQ5" s="1309">
        <v>121.4</v>
      </c>
      <c r="CR5" s="1309">
        <v>121.8</v>
      </c>
      <c r="CS5" s="1309">
        <v>122</v>
      </c>
      <c r="CT5" s="1309">
        <v>122.2</v>
      </c>
      <c r="CU5" s="1309">
        <v>121.9</v>
      </c>
      <c r="CV5" s="1309">
        <v>121.3</v>
      </c>
      <c r="CW5" s="1309">
        <v>121.3</v>
      </c>
      <c r="CX5" s="1309">
        <v>122.8</v>
      </c>
      <c r="CY5" s="1309">
        <v>123.2</v>
      </c>
      <c r="CZ5" s="1309">
        <v>122.9</v>
      </c>
      <c r="DA5" s="1309">
        <v>123</v>
      </c>
      <c r="DB5" s="1309">
        <v>123.2</v>
      </c>
      <c r="DC5" s="1309">
        <v>123.4</v>
      </c>
      <c r="DD5" s="1309">
        <v>123.4</v>
      </c>
      <c r="DE5" s="1309">
        <v>123.5</v>
      </c>
      <c r="DF5" s="1309">
        <v>123.3</v>
      </c>
      <c r="DG5" s="1309">
        <v>123.3</v>
      </c>
      <c r="DH5" s="1309">
        <v>123.1</v>
      </c>
      <c r="DI5" s="1309">
        <v>123.3</v>
      </c>
      <c r="DJ5" s="1309">
        <v>124.6</v>
      </c>
      <c r="DK5" s="1309">
        <v>125.1</v>
      </c>
      <c r="DL5" s="1309">
        <v>125.9</v>
      </c>
      <c r="DM5" s="1309">
        <v>126.5</v>
      </c>
      <c r="DN5" s="1309">
        <v>126.9</v>
      </c>
      <c r="DO5" s="1309">
        <v>126.5</v>
      </c>
      <c r="DP5" s="1309">
        <v>126.5</v>
      </c>
      <c r="DQ5" s="1309">
        <v>126.7</v>
      </c>
      <c r="DR5" s="1309">
        <v>126.8</v>
      </c>
      <c r="DS5" s="1309">
        <v>126.3</v>
      </c>
      <c r="DT5" s="1309">
        <v>125.4</v>
      </c>
    </row>
    <row r="6" spans="1:126" hidden="1" x14ac:dyDescent="0.2">
      <c r="A6" s="1168"/>
      <c r="B6" s="1168"/>
      <c r="C6" s="130"/>
      <c r="D6" s="1310"/>
      <c r="E6" s="1310"/>
      <c r="F6" s="1310"/>
      <c r="G6" s="1310"/>
      <c r="H6" s="1310"/>
      <c r="I6" s="1310"/>
      <c r="J6" s="1310"/>
      <c r="K6" s="1310"/>
      <c r="L6" s="1310"/>
      <c r="M6" s="1310"/>
      <c r="N6" s="1310"/>
      <c r="O6" s="1310"/>
      <c r="P6" s="1310"/>
      <c r="Q6" s="1310"/>
      <c r="R6" s="1310"/>
      <c r="S6" s="1310"/>
      <c r="T6" s="1310"/>
      <c r="U6" s="1310"/>
      <c r="V6" s="1310"/>
      <c r="W6" s="1310"/>
      <c r="X6" s="1310"/>
      <c r="Y6" s="1310"/>
      <c r="Z6" s="1310"/>
      <c r="AA6" s="1310"/>
      <c r="AB6" s="1310"/>
      <c r="AC6" s="1310"/>
      <c r="AD6" s="1310"/>
      <c r="AE6" s="1310"/>
      <c r="AF6" s="1310"/>
      <c r="AG6" s="1310"/>
      <c r="AH6" s="1310"/>
      <c r="AI6" s="1310"/>
      <c r="AJ6" s="1310"/>
      <c r="AK6" s="1310"/>
      <c r="AL6" s="1310"/>
      <c r="AM6" s="1310"/>
      <c r="AN6" s="1310"/>
      <c r="AO6" s="1310"/>
      <c r="AP6" s="1310"/>
      <c r="AQ6" s="1310"/>
      <c r="AR6" s="1310"/>
      <c r="AS6" s="1310"/>
      <c r="AT6" s="1310"/>
      <c r="AU6" s="1310"/>
      <c r="AV6" s="1310"/>
      <c r="AW6" s="1310"/>
      <c r="AX6" s="1310"/>
      <c r="AY6" s="1310"/>
      <c r="AZ6" s="1310"/>
      <c r="BA6" s="1310"/>
      <c r="BB6" s="1310"/>
      <c r="BC6" s="1310"/>
      <c r="BD6" s="1310"/>
      <c r="BE6" s="1310"/>
      <c r="BF6" s="1310"/>
      <c r="BG6" s="1310"/>
      <c r="BH6" s="1310"/>
      <c r="BI6" s="1310"/>
      <c r="BJ6" s="1310"/>
      <c r="BK6" s="1310"/>
      <c r="BL6" s="1310"/>
      <c r="BM6" s="1310"/>
      <c r="BN6" s="1310"/>
      <c r="BO6" s="1310"/>
      <c r="BP6" s="1310"/>
      <c r="BQ6" s="1310"/>
      <c r="BR6" s="1310"/>
      <c r="BS6" s="1310"/>
      <c r="BT6" s="1310"/>
      <c r="BU6" s="1310"/>
      <c r="BV6" s="1310"/>
      <c r="BW6" s="1310"/>
      <c r="BX6" s="1310"/>
      <c r="BY6" s="1310"/>
      <c r="BZ6" s="1310"/>
      <c r="CA6" s="1310"/>
      <c r="CB6" s="1310"/>
      <c r="CC6" s="1310"/>
      <c r="CD6" s="1310"/>
      <c r="CE6" s="1310"/>
      <c r="CF6" s="1310"/>
      <c r="CG6" s="1310"/>
      <c r="CH6" s="1310"/>
      <c r="CI6" s="1310"/>
      <c r="CJ6" s="1310"/>
      <c r="CK6" s="1310"/>
      <c r="CL6" s="1310"/>
      <c r="CM6" s="1310"/>
      <c r="CN6" s="1310"/>
      <c r="CO6" s="1310"/>
      <c r="CP6" s="1310"/>
      <c r="CQ6" s="1310"/>
      <c r="CR6" s="1310"/>
      <c r="CS6" s="1310"/>
      <c r="CT6" s="1310"/>
      <c r="CU6" s="1310"/>
      <c r="CV6" s="1310"/>
      <c r="CW6" s="1310"/>
      <c r="CX6" s="1310"/>
      <c r="CY6" s="1310"/>
      <c r="CZ6" s="1310"/>
      <c r="DA6" s="1310"/>
      <c r="DB6" s="1310"/>
      <c r="DC6" s="1310"/>
      <c r="DD6" s="1310"/>
      <c r="DE6" s="1310"/>
      <c r="DF6" s="1310"/>
      <c r="DG6" s="1310"/>
      <c r="DH6" s="1310"/>
      <c r="DI6" s="1310"/>
      <c r="DJ6" s="1310"/>
      <c r="DK6" s="1310"/>
      <c r="DL6" s="1310"/>
      <c r="DM6" s="1310"/>
      <c r="DN6" s="1310"/>
      <c r="DO6" s="1310"/>
      <c r="DP6" s="1310"/>
      <c r="DQ6" s="1310"/>
      <c r="DR6" s="1310"/>
      <c r="DS6" s="1310"/>
      <c r="DT6" s="1310"/>
    </row>
    <row r="7" spans="1:126" x14ac:dyDescent="0.2">
      <c r="A7" s="1168" t="s">
        <v>727</v>
      </c>
      <c r="B7" s="1168" t="s">
        <v>680</v>
      </c>
      <c r="C7" s="130" t="s">
        <v>681</v>
      </c>
      <c r="D7" s="1309">
        <v>104.4</v>
      </c>
      <c r="E7" s="1309">
        <v>104.4</v>
      </c>
      <c r="F7" s="1309">
        <v>104.4</v>
      </c>
      <c r="G7" s="1309">
        <v>104.4</v>
      </c>
      <c r="H7" s="1309">
        <v>111.3</v>
      </c>
      <c r="I7" s="1309">
        <v>111.3</v>
      </c>
      <c r="J7" s="1309">
        <v>111.3</v>
      </c>
      <c r="K7" s="1309">
        <v>111.3</v>
      </c>
      <c r="L7" s="1309">
        <v>111.3</v>
      </c>
      <c r="M7" s="1309">
        <v>111.3</v>
      </c>
      <c r="N7" s="1309">
        <v>111.3</v>
      </c>
      <c r="O7" s="1309">
        <v>110.6</v>
      </c>
      <c r="P7" s="1309">
        <v>107.7</v>
      </c>
      <c r="Q7" s="1309">
        <v>110.6</v>
      </c>
      <c r="R7" s="1309">
        <v>110.6</v>
      </c>
      <c r="S7" s="1309">
        <v>110.6</v>
      </c>
      <c r="T7" s="1309">
        <v>110.6</v>
      </c>
      <c r="U7" s="1309">
        <v>122.8</v>
      </c>
      <c r="V7" s="1309">
        <v>122.8</v>
      </c>
      <c r="W7" s="1309">
        <v>121.7</v>
      </c>
      <c r="X7" s="1309">
        <v>121.7</v>
      </c>
      <c r="Y7" s="1309">
        <v>121.7</v>
      </c>
      <c r="Z7" s="1309">
        <v>121.7</v>
      </c>
      <c r="AA7" s="1309">
        <v>115.8</v>
      </c>
      <c r="AB7" s="1309">
        <v>115.8</v>
      </c>
      <c r="AC7" s="1309">
        <v>115.8</v>
      </c>
      <c r="AD7" s="1309">
        <v>115.8</v>
      </c>
      <c r="AE7" s="1309">
        <v>115.8</v>
      </c>
      <c r="AF7" s="1309">
        <v>115.8</v>
      </c>
      <c r="AG7" s="1309">
        <v>116.7</v>
      </c>
      <c r="AH7" s="1309">
        <v>116.7</v>
      </c>
      <c r="AI7" s="1309">
        <v>116.7</v>
      </c>
      <c r="AJ7" s="1309">
        <v>116.7</v>
      </c>
      <c r="AK7" s="1309">
        <v>116.7</v>
      </c>
      <c r="AL7" s="1309">
        <v>116.7</v>
      </c>
      <c r="AM7" s="1309">
        <v>111.6</v>
      </c>
      <c r="AN7" s="1309">
        <v>111.6</v>
      </c>
      <c r="AO7" s="1309">
        <v>110.5</v>
      </c>
      <c r="AP7" s="1309">
        <v>110.5</v>
      </c>
      <c r="AQ7" s="1309">
        <v>110.5</v>
      </c>
      <c r="AR7" s="1309">
        <v>110.5</v>
      </c>
      <c r="AS7" s="1309">
        <v>111</v>
      </c>
      <c r="AT7" s="1309">
        <v>111</v>
      </c>
      <c r="AU7" s="1309">
        <v>111</v>
      </c>
      <c r="AV7" s="1309">
        <v>111</v>
      </c>
      <c r="AW7" s="1309">
        <v>111</v>
      </c>
      <c r="AX7" s="1309">
        <v>111</v>
      </c>
      <c r="AY7" s="1309">
        <v>114.9</v>
      </c>
      <c r="AZ7" s="1309">
        <v>114.9</v>
      </c>
      <c r="BA7" s="1309">
        <v>114.9</v>
      </c>
      <c r="BB7" s="1309">
        <v>114.9</v>
      </c>
      <c r="BC7" s="1309">
        <v>114.9</v>
      </c>
      <c r="BD7" s="1309">
        <v>114.9</v>
      </c>
      <c r="BE7" s="1309">
        <v>120.1</v>
      </c>
      <c r="BF7" s="1309">
        <v>120.1</v>
      </c>
      <c r="BG7" s="1309">
        <v>120.1</v>
      </c>
      <c r="BH7" s="1309">
        <v>120.1</v>
      </c>
      <c r="BI7" s="1309">
        <v>120.1</v>
      </c>
      <c r="BJ7" s="1309">
        <v>120.1</v>
      </c>
      <c r="BK7" s="1309">
        <v>119.3</v>
      </c>
      <c r="BL7" s="1309">
        <v>119.3</v>
      </c>
      <c r="BM7" s="1309">
        <v>119.3</v>
      </c>
      <c r="BN7" s="1309">
        <v>119.3</v>
      </c>
      <c r="BO7" s="1309">
        <v>119.3</v>
      </c>
      <c r="BP7" s="1309">
        <v>119.3</v>
      </c>
      <c r="BQ7" s="1309">
        <v>130.9</v>
      </c>
      <c r="BR7" s="1309">
        <v>130.9</v>
      </c>
      <c r="BS7" s="1309">
        <v>140.9</v>
      </c>
      <c r="BT7" s="1309">
        <v>140.9</v>
      </c>
      <c r="BU7" s="1309">
        <v>140.9</v>
      </c>
      <c r="BV7" s="1309">
        <v>140.9</v>
      </c>
      <c r="BW7" s="1309">
        <v>136.80000000000001</v>
      </c>
      <c r="BX7" s="1309">
        <v>136.80000000000001</v>
      </c>
      <c r="BY7" s="1309">
        <v>131.69999999999999</v>
      </c>
      <c r="BZ7" s="1309">
        <v>120.6</v>
      </c>
      <c r="CA7" s="1309">
        <v>123.1</v>
      </c>
      <c r="CB7" s="1309">
        <v>123.1</v>
      </c>
      <c r="CC7" s="1309">
        <v>130.5</v>
      </c>
      <c r="CD7" s="1309">
        <v>130.5</v>
      </c>
      <c r="CE7" s="1309">
        <v>130.5</v>
      </c>
      <c r="CF7" s="1309">
        <v>131.19999999999999</v>
      </c>
      <c r="CG7" s="1309">
        <v>131.19999999999999</v>
      </c>
      <c r="CH7" s="1309">
        <v>131.19999999999999</v>
      </c>
      <c r="CI7" s="1309">
        <v>131.5</v>
      </c>
      <c r="CJ7" s="1309">
        <v>131.5</v>
      </c>
      <c r="CK7" s="1309">
        <v>131.5</v>
      </c>
      <c r="CL7" s="1309">
        <v>131.30000000000001</v>
      </c>
      <c r="CM7" s="1309">
        <v>131.30000000000001</v>
      </c>
      <c r="CN7" s="1309">
        <v>131.30000000000001</v>
      </c>
      <c r="CO7" s="1309">
        <v>140.30000000000001</v>
      </c>
      <c r="CP7" s="1309">
        <v>140.30000000000001</v>
      </c>
      <c r="CQ7" s="1309">
        <v>140.30000000000001</v>
      </c>
      <c r="CR7" s="1309">
        <v>140.69999999999999</v>
      </c>
      <c r="CS7" s="1309">
        <v>140.69999999999999</v>
      </c>
      <c r="CT7" s="1309">
        <v>140.69999999999999</v>
      </c>
      <c r="CU7" s="1309">
        <v>139.19999999999999</v>
      </c>
      <c r="CV7" s="1309">
        <v>139.4</v>
      </c>
      <c r="CW7" s="1309">
        <v>139.30000000000001</v>
      </c>
      <c r="CX7" s="1309">
        <v>139.9</v>
      </c>
      <c r="CY7" s="1309">
        <v>139.9</v>
      </c>
      <c r="CZ7" s="1309">
        <v>139.9</v>
      </c>
      <c r="DA7" s="1309">
        <v>144.80000000000001</v>
      </c>
      <c r="DB7" s="1309">
        <v>144.80000000000001</v>
      </c>
      <c r="DC7" s="1309">
        <v>144.80000000000001</v>
      </c>
      <c r="DD7" s="1309">
        <v>144.80000000000001</v>
      </c>
      <c r="DE7" s="1309">
        <v>144.80000000000001</v>
      </c>
      <c r="DF7" s="1309">
        <v>144.80000000000001</v>
      </c>
      <c r="DG7" s="1309">
        <v>150.5</v>
      </c>
      <c r="DH7" s="1309">
        <v>150.5</v>
      </c>
      <c r="DI7" s="1309">
        <v>151.4</v>
      </c>
      <c r="DJ7" s="1309">
        <v>151.30000000000001</v>
      </c>
      <c r="DK7" s="1309">
        <v>151.5</v>
      </c>
      <c r="DL7" s="1309">
        <v>151.69999999999999</v>
      </c>
      <c r="DM7" s="1309">
        <v>156.5</v>
      </c>
      <c r="DN7" s="1309">
        <v>156.5</v>
      </c>
      <c r="DO7" s="1309">
        <v>156.5</v>
      </c>
      <c r="DP7" s="1309">
        <v>156.5</v>
      </c>
      <c r="DQ7" s="1309">
        <v>156.5</v>
      </c>
      <c r="DR7" s="1309">
        <v>156.5</v>
      </c>
      <c r="DS7" s="1309">
        <v>159</v>
      </c>
      <c r="DT7" s="1309">
        <v>159</v>
      </c>
    </row>
    <row r="8" spans="1:126" hidden="1" x14ac:dyDescent="0.2">
      <c r="E8" s="1308"/>
      <c r="F8" s="1308"/>
      <c r="G8" s="1308"/>
      <c r="H8" s="1308"/>
      <c r="I8" s="1308"/>
      <c r="J8" s="1308"/>
      <c r="K8" s="1308"/>
      <c r="L8" s="1308"/>
      <c r="M8" s="1308"/>
      <c r="N8" s="1308"/>
      <c r="O8" s="1308"/>
      <c r="P8" s="1308"/>
      <c r="Q8" s="1308"/>
      <c r="R8" s="1308"/>
      <c r="S8" s="1308"/>
      <c r="T8" s="1308"/>
      <c r="U8" s="1308"/>
      <c r="V8" s="1308"/>
      <c r="W8" s="1308"/>
      <c r="X8" s="1308"/>
      <c r="Y8" s="1308"/>
      <c r="Z8" s="1308"/>
      <c r="AA8" s="1308"/>
      <c r="AB8" s="1308"/>
      <c r="AC8" s="1308"/>
      <c r="AD8" s="1308"/>
      <c r="AE8" s="1308"/>
      <c r="AF8" s="1308"/>
      <c r="AG8" s="1308"/>
      <c r="AH8" s="1308"/>
      <c r="AI8" s="1308"/>
      <c r="AJ8" s="1308"/>
      <c r="AK8" s="1308"/>
      <c r="AL8" s="1308"/>
      <c r="AM8" s="1308"/>
      <c r="AN8" s="1308"/>
      <c r="AO8" s="1308"/>
      <c r="AP8" s="1308"/>
      <c r="AQ8" s="1308"/>
      <c r="AR8" s="1308"/>
      <c r="AS8" s="1308"/>
      <c r="AT8" s="1308"/>
      <c r="AU8" s="1308"/>
      <c r="AV8" s="1308"/>
      <c r="AW8" s="1308"/>
      <c r="AX8" s="1308"/>
      <c r="AY8" s="1308"/>
      <c r="AZ8" s="1308"/>
      <c r="BA8" s="1308"/>
      <c r="BB8" s="1308"/>
      <c r="BC8" s="1308"/>
      <c r="BD8" s="1308"/>
      <c r="BE8" s="1308"/>
      <c r="BF8" s="1308"/>
      <c r="BG8" s="1308"/>
      <c r="BH8" s="1308"/>
      <c r="BI8" s="1308"/>
      <c r="BJ8" s="1308"/>
      <c r="BK8" s="1308"/>
      <c r="BL8" s="1308"/>
      <c r="BM8" s="1308"/>
      <c r="BN8" s="1308"/>
      <c r="BO8" s="1308"/>
      <c r="BP8" s="1308"/>
      <c r="BQ8" s="1308"/>
      <c r="BR8" s="1308"/>
      <c r="BS8" s="1308"/>
      <c r="BT8" s="1308"/>
      <c r="BU8" s="1308"/>
      <c r="BV8" s="1308"/>
      <c r="BW8" s="1308"/>
      <c r="BX8" s="1308"/>
      <c r="BY8" s="1308"/>
      <c r="BZ8" s="1308"/>
      <c r="CA8" s="1308"/>
      <c r="CB8" s="1308"/>
      <c r="CC8" s="1308"/>
      <c r="CD8" s="1308"/>
      <c r="CE8" s="1308"/>
      <c r="CF8" s="1308"/>
      <c r="CG8" s="1308"/>
      <c r="CH8" s="1308"/>
      <c r="CI8" s="1308"/>
      <c r="CJ8" s="1308"/>
      <c r="CK8" s="1308"/>
      <c r="CL8" s="1308"/>
      <c r="CM8" s="1308"/>
      <c r="CN8" s="1308"/>
      <c r="CO8" s="1308"/>
      <c r="CP8" s="1308"/>
      <c r="CQ8" s="1308"/>
      <c r="CR8" s="1308"/>
      <c r="CS8" s="1308"/>
      <c r="CT8" s="1308"/>
      <c r="CU8" s="1308"/>
      <c r="CV8" s="1308"/>
      <c r="CW8" s="1308"/>
      <c r="CX8" s="1308"/>
      <c r="CY8" s="1308"/>
      <c r="CZ8" s="1308"/>
      <c r="DA8" s="1308"/>
      <c r="DB8" s="1308"/>
      <c r="DC8" s="1308"/>
      <c r="DD8" s="1308"/>
      <c r="DE8" s="1308"/>
      <c r="DF8" s="1308"/>
      <c r="DG8" s="1308"/>
      <c r="DH8" s="1308"/>
      <c r="DI8" s="1308"/>
      <c r="DJ8" s="1308"/>
      <c r="DK8" s="1308"/>
      <c r="DL8" s="1308"/>
      <c r="DM8" s="1308"/>
      <c r="DN8" s="1308"/>
      <c r="DO8" s="1308"/>
      <c r="DP8" s="1308"/>
      <c r="DQ8" s="1308"/>
      <c r="DR8" s="1308"/>
      <c r="DS8" s="1308"/>
      <c r="DT8" s="1308"/>
    </row>
    <row r="9" spans="1:126" hidden="1" x14ac:dyDescent="0.2">
      <c r="E9" s="1061"/>
      <c r="F9" s="1061"/>
      <c r="G9" s="1061"/>
      <c r="H9" s="1061"/>
      <c r="I9" s="1061"/>
      <c r="J9" s="1061"/>
      <c r="K9" s="1061"/>
      <c r="L9" s="1061"/>
      <c r="M9" s="1061"/>
      <c r="N9" s="1061"/>
      <c r="O9" s="1061"/>
      <c r="P9" s="1061"/>
      <c r="Q9" s="1061"/>
      <c r="R9" s="1061"/>
      <c r="S9" s="1061"/>
      <c r="T9" s="1061"/>
      <c r="U9" s="1061"/>
      <c r="V9" s="1061"/>
      <c r="W9" s="1061"/>
      <c r="X9" s="1061"/>
      <c r="Y9" s="1061"/>
      <c r="Z9" s="1061"/>
      <c r="AA9" s="1061"/>
      <c r="AB9" s="1061"/>
      <c r="AC9" s="1061"/>
      <c r="AD9" s="1061"/>
      <c r="AE9" s="1061"/>
      <c r="AF9" s="1061"/>
      <c r="AG9" s="1061"/>
      <c r="AH9" s="1061"/>
      <c r="AI9" s="1061"/>
      <c r="AJ9" s="1061"/>
      <c r="AK9" s="1061"/>
      <c r="AL9" s="1061"/>
      <c r="AM9" s="1061"/>
      <c r="AN9" s="1061"/>
      <c r="AO9" s="1061"/>
      <c r="AP9" s="1061"/>
      <c r="AQ9" s="1061"/>
      <c r="AR9" s="1061"/>
      <c r="AS9" s="1061"/>
      <c r="AT9" s="1061"/>
      <c r="AU9" s="1061"/>
      <c r="AV9" s="1061"/>
      <c r="AW9" s="1061"/>
      <c r="AX9" s="1061"/>
      <c r="AY9" s="1061"/>
      <c r="AZ9" s="1061"/>
      <c r="BA9" s="1061"/>
      <c r="BB9" s="1061"/>
      <c r="BC9" s="1061"/>
      <c r="BD9" s="1061"/>
      <c r="BE9" s="1061"/>
      <c r="BF9" s="1061"/>
      <c r="BG9" s="1061"/>
      <c r="BH9" s="1061"/>
      <c r="BI9" s="1061"/>
      <c r="BJ9" s="1061"/>
      <c r="BK9" s="1061"/>
      <c r="BL9" s="1061"/>
      <c r="BM9" s="1061"/>
      <c r="BN9" s="1061"/>
      <c r="BO9" s="1061"/>
      <c r="BP9" s="1061"/>
      <c r="BQ9" s="1061"/>
      <c r="BR9" s="1061"/>
      <c r="BS9" s="1061"/>
      <c r="BT9" s="1061"/>
      <c r="BU9" s="1061"/>
      <c r="BV9" s="1061"/>
      <c r="BW9" s="1061"/>
      <c r="BX9" s="1061"/>
      <c r="BY9" s="1061"/>
      <c r="BZ9" s="1061"/>
      <c r="CA9" s="1061"/>
      <c r="CB9" s="1061"/>
      <c r="CC9" s="1061"/>
      <c r="CD9" s="1061"/>
      <c r="CE9" s="1061"/>
      <c r="CF9" s="1061"/>
      <c r="CG9" s="1061"/>
      <c r="CH9" s="1061"/>
      <c r="CI9" s="1061"/>
      <c r="CJ9" s="1061"/>
      <c r="CK9" s="1061"/>
      <c r="CL9" s="1061"/>
      <c r="CM9" s="1061"/>
      <c r="CN9" s="1061"/>
      <c r="CO9" s="1061"/>
      <c r="CP9" s="1061"/>
      <c r="CQ9" s="1061"/>
      <c r="CR9" s="1061"/>
      <c r="CS9" s="1061"/>
      <c r="CT9" s="1061"/>
      <c r="CU9" s="1061"/>
      <c r="CV9" s="1061"/>
      <c r="CW9" s="1061"/>
      <c r="CX9" s="1061"/>
      <c r="CY9" s="1061"/>
      <c r="CZ9" s="1061"/>
      <c r="DA9" s="1061"/>
      <c r="DB9" s="1061"/>
      <c r="DC9" s="1061"/>
      <c r="DD9" s="1061"/>
      <c r="DE9" s="1061"/>
      <c r="DF9" s="1061"/>
      <c r="DG9" s="1061"/>
      <c r="DH9" s="1061"/>
      <c r="DI9" s="1061"/>
      <c r="DJ9" s="1061"/>
      <c r="DK9" s="1061"/>
      <c r="DL9" s="1061"/>
      <c r="DM9" s="1061"/>
      <c r="DN9" s="1061"/>
      <c r="DO9" s="1061"/>
      <c r="DP9" s="1061"/>
      <c r="DQ9" s="1061"/>
      <c r="DR9" s="1061"/>
      <c r="DS9" s="1061"/>
      <c r="DT9" s="1061"/>
    </row>
    <row r="10" spans="1:126" hidden="1" x14ac:dyDescent="0.2"/>
    <row r="11" spans="1:126" hidden="1" x14ac:dyDescent="0.2"/>
    <row r="12" spans="1:126" hidden="1" x14ac:dyDescent="0.2">
      <c r="A12">
        <v>20</v>
      </c>
      <c r="B12" t="s">
        <v>682</v>
      </c>
    </row>
    <row r="13" spans="1:126" hidden="1" x14ac:dyDescent="0.2"/>
    <row r="14" spans="1:126" hidden="1" x14ac:dyDescent="0.2">
      <c r="D14" s="1061">
        <f>D5-D7</f>
        <v>0.89999999999999147</v>
      </c>
      <c r="E14" s="1061">
        <f>E5-E7</f>
        <v>0.69999999999998863</v>
      </c>
      <c r="F14" s="1061">
        <f>F5-F7</f>
        <v>1.3999999999999915</v>
      </c>
      <c r="G14" s="1061">
        <f t="shared" ref="G14:J14" si="0">G5-G7</f>
        <v>2</v>
      </c>
      <c r="H14" s="1061">
        <f t="shared" si="0"/>
        <v>-4.7999999999999972</v>
      </c>
      <c r="I14" s="1061">
        <f t="shared" si="0"/>
        <v>-4.7000000000000028</v>
      </c>
      <c r="J14" s="1061">
        <f t="shared" si="0"/>
        <v>-4.5</v>
      </c>
    </row>
    <row r="15" spans="1:126" hidden="1" x14ac:dyDescent="0.2">
      <c r="B15" t="s">
        <v>683</v>
      </c>
      <c r="D15" s="1061">
        <f t="shared" ref="D15:AI15" si="1">D5/D7</f>
        <v>1.0086206896551724</v>
      </c>
      <c r="E15" s="1061">
        <f t="shared" si="1"/>
        <v>1.0067049808429118</v>
      </c>
      <c r="F15" s="1061">
        <f t="shared" si="1"/>
        <v>1.0134099616858236</v>
      </c>
      <c r="G15" s="1061">
        <f t="shared" si="1"/>
        <v>1.0191570881226053</v>
      </c>
      <c r="H15" s="1061">
        <f t="shared" si="1"/>
        <v>0.95687331536388143</v>
      </c>
      <c r="I15" s="1061">
        <f t="shared" si="1"/>
        <v>0.95777178796046714</v>
      </c>
      <c r="J15" s="1061">
        <f t="shared" si="1"/>
        <v>0.95956873315363878</v>
      </c>
      <c r="K15" s="1061">
        <f t="shared" si="1"/>
        <v>0.96046720575022471</v>
      </c>
      <c r="L15" s="1061">
        <f t="shared" si="1"/>
        <v>0.96585804132973951</v>
      </c>
      <c r="M15" s="1061">
        <f t="shared" si="1"/>
        <v>0.97214734950584014</v>
      </c>
      <c r="N15" s="1061">
        <f t="shared" si="1"/>
        <v>0.96765498652291115</v>
      </c>
      <c r="O15" s="1061">
        <f t="shared" si="1"/>
        <v>0.97197106690777579</v>
      </c>
      <c r="P15" s="1061">
        <f t="shared" si="1"/>
        <v>0.99907149489322178</v>
      </c>
      <c r="Q15" s="1061">
        <f t="shared" si="1"/>
        <v>0.97830018083182646</v>
      </c>
      <c r="R15" s="1061">
        <f t="shared" si="1"/>
        <v>0.97558770343580481</v>
      </c>
      <c r="S15" s="1061">
        <f t="shared" si="1"/>
        <v>0.98372513562386987</v>
      </c>
      <c r="T15" s="1061">
        <f t="shared" si="1"/>
        <v>0.98643761301989152</v>
      </c>
      <c r="U15" s="1061">
        <f t="shared" si="1"/>
        <v>0.89169381107491863</v>
      </c>
      <c r="V15" s="1061">
        <f t="shared" si="1"/>
        <v>0.89006514657980451</v>
      </c>
      <c r="W15" s="1061">
        <f t="shared" si="1"/>
        <v>0.89564502875924401</v>
      </c>
      <c r="X15" s="1061">
        <f t="shared" si="1"/>
        <v>0.89646672144617912</v>
      </c>
      <c r="Y15" s="1061">
        <f t="shared" si="1"/>
        <v>0.8915365653245686</v>
      </c>
      <c r="Z15" s="1061">
        <f t="shared" si="1"/>
        <v>0.8907148726376336</v>
      </c>
      <c r="AA15" s="1061">
        <f t="shared" si="1"/>
        <v>0.93782383419689119</v>
      </c>
      <c r="AB15" s="1061">
        <f t="shared" si="1"/>
        <v>0.93955094991364418</v>
      </c>
      <c r="AC15" s="1061">
        <f t="shared" si="1"/>
        <v>0.93782383419689119</v>
      </c>
      <c r="AD15" s="1061">
        <f t="shared" si="1"/>
        <v>0.94732297063903281</v>
      </c>
      <c r="AE15" s="1061">
        <f t="shared" si="1"/>
        <v>0.95682210708117443</v>
      </c>
      <c r="AF15" s="1061">
        <f t="shared" si="1"/>
        <v>0.95941278065630398</v>
      </c>
      <c r="AG15" s="1061">
        <f t="shared" si="1"/>
        <v>0.95629820051413872</v>
      </c>
      <c r="AH15" s="1061">
        <f t="shared" si="1"/>
        <v>0.95201371036846605</v>
      </c>
      <c r="AI15" s="1061">
        <f t="shared" si="1"/>
        <v>0.95201371036846605</v>
      </c>
      <c r="AJ15" s="1061">
        <f t="shared" ref="AJ15:BO15" si="2">AJ5/AJ7</f>
        <v>0.95029991431019711</v>
      </c>
      <c r="AK15" s="1061">
        <f t="shared" si="2"/>
        <v>0.95115681233933158</v>
      </c>
      <c r="AL15" s="1061">
        <f t="shared" si="2"/>
        <v>0.95029991431019711</v>
      </c>
      <c r="AM15" s="1061">
        <f t="shared" si="2"/>
        <v>0.99641577060931907</v>
      </c>
      <c r="AN15" s="1061">
        <f t="shared" si="2"/>
        <v>0.99551971326164879</v>
      </c>
      <c r="AO15" s="1061">
        <f t="shared" si="2"/>
        <v>1.0036199095022624</v>
      </c>
      <c r="AP15" s="1061">
        <f t="shared" si="2"/>
        <v>1.0081447963800905</v>
      </c>
      <c r="AQ15" s="1061">
        <f t="shared" si="2"/>
        <v>1.0108597285067873</v>
      </c>
      <c r="AR15" s="1061">
        <f t="shared" si="2"/>
        <v>1.0180995475113122</v>
      </c>
      <c r="AS15" s="1061">
        <f t="shared" si="2"/>
        <v>1.0234234234234234</v>
      </c>
      <c r="AT15" s="1061">
        <f t="shared" si="2"/>
        <v>1.0288288288288288</v>
      </c>
      <c r="AU15" s="1061">
        <f t="shared" si="2"/>
        <v>1.0369369369369368</v>
      </c>
      <c r="AV15" s="1061">
        <f t="shared" si="2"/>
        <v>1.0342342342342341</v>
      </c>
      <c r="AW15" s="1061">
        <f t="shared" si="2"/>
        <v>1.0369369369369368</v>
      </c>
      <c r="AX15" s="1061">
        <f t="shared" si="2"/>
        <v>1.0243243243243243</v>
      </c>
      <c r="AY15" s="1061">
        <f t="shared" si="2"/>
        <v>0.98781549173194072</v>
      </c>
      <c r="AZ15" s="1061">
        <f t="shared" si="2"/>
        <v>0.98172323759791114</v>
      </c>
      <c r="BA15" s="1061">
        <f t="shared" si="2"/>
        <v>0.97824194952132293</v>
      </c>
      <c r="BB15" s="1061">
        <f t="shared" si="2"/>
        <v>0.9843342036553524</v>
      </c>
      <c r="BC15" s="1061">
        <f t="shared" si="2"/>
        <v>0.98955613577023493</v>
      </c>
      <c r="BD15" s="1061">
        <f t="shared" si="2"/>
        <v>0.98520452567449956</v>
      </c>
      <c r="BE15" s="1061">
        <f t="shared" si="2"/>
        <v>0.9492089925062448</v>
      </c>
      <c r="BF15" s="1061">
        <f t="shared" si="2"/>
        <v>0.95087427144046632</v>
      </c>
      <c r="BG15" s="1061">
        <f t="shared" si="2"/>
        <v>0.94671107410491262</v>
      </c>
      <c r="BH15" s="1061">
        <f t="shared" si="2"/>
        <v>0.94671107410491262</v>
      </c>
      <c r="BI15" s="1061">
        <f t="shared" si="2"/>
        <v>0.94754371357202338</v>
      </c>
      <c r="BJ15" s="1061">
        <f t="shared" si="2"/>
        <v>0.94837635303913415</v>
      </c>
      <c r="BK15" s="1061">
        <f t="shared" si="2"/>
        <v>0.9606035205364627</v>
      </c>
      <c r="BL15" s="1061">
        <f t="shared" si="2"/>
        <v>0.95641240569991615</v>
      </c>
      <c r="BM15" s="1061">
        <f t="shared" si="2"/>
        <v>0.95976529756915341</v>
      </c>
      <c r="BN15" s="1061">
        <f t="shared" si="2"/>
        <v>0.96479463537300925</v>
      </c>
      <c r="BO15" s="1061">
        <f t="shared" si="2"/>
        <v>0.96647108130762782</v>
      </c>
      <c r="BP15" s="1061">
        <f t="shared" ref="BP15:CU15" si="3">BP5/BP7</f>
        <v>0.96982397317686508</v>
      </c>
      <c r="BQ15" s="1061">
        <f t="shared" si="3"/>
        <v>0.88770053475935828</v>
      </c>
      <c r="BR15" s="1061">
        <f t="shared" si="3"/>
        <v>0.88617265087853314</v>
      </c>
      <c r="BS15" s="1061">
        <f t="shared" si="3"/>
        <v>0.83037615330021286</v>
      </c>
      <c r="BT15" s="1061">
        <f t="shared" si="3"/>
        <v>0.83037615330021286</v>
      </c>
      <c r="BU15" s="1061">
        <f t="shared" si="3"/>
        <v>0.83108587650816179</v>
      </c>
      <c r="BV15" s="1061">
        <f t="shared" si="3"/>
        <v>0.83605393896380409</v>
      </c>
      <c r="BW15" s="1061">
        <f t="shared" si="3"/>
        <v>0.86257309941520466</v>
      </c>
      <c r="BX15" s="1061">
        <f t="shared" si="3"/>
        <v>0.86184210526315785</v>
      </c>
      <c r="BY15" s="1061">
        <f t="shared" si="3"/>
        <v>0.89445709946848906</v>
      </c>
      <c r="BZ15" s="1061">
        <f t="shared" si="3"/>
        <v>0.97844112769485914</v>
      </c>
      <c r="CA15" s="1061">
        <f t="shared" si="3"/>
        <v>0.96994313566206347</v>
      </c>
      <c r="CB15" s="1061">
        <f t="shared" si="3"/>
        <v>0.97400487408610892</v>
      </c>
      <c r="CC15" s="1061">
        <f t="shared" si="3"/>
        <v>0.9264367816091954</v>
      </c>
      <c r="CD15" s="1061">
        <f t="shared" si="3"/>
        <v>0.92107279693486588</v>
      </c>
      <c r="CE15" s="1061">
        <f t="shared" si="3"/>
        <v>0.92337164750957856</v>
      </c>
      <c r="CF15" s="1061">
        <f t="shared" si="3"/>
        <v>0.91920731707317072</v>
      </c>
      <c r="CG15" s="1061">
        <f t="shared" si="3"/>
        <v>0.9230182926829269</v>
      </c>
      <c r="CH15" s="1061">
        <f t="shared" si="3"/>
        <v>0.92225609756097571</v>
      </c>
      <c r="CI15" s="1061">
        <f t="shared" si="3"/>
        <v>0.92015209125475284</v>
      </c>
      <c r="CJ15" s="1061">
        <f t="shared" si="3"/>
        <v>0.914828897338403</v>
      </c>
      <c r="CK15" s="1061">
        <f t="shared" si="3"/>
        <v>0.91711026615969582</v>
      </c>
      <c r="CL15" s="1061">
        <f t="shared" si="3"/>
        <v>0.92460015232292458</v>
      </c>
      <c r="CM15" s="1061">
        <f t="shared" si="3"/>
        <v>0.92916984006092906</v>
      </c>
      <c r="CN15" s="1061">
        <f t="shared" si="3"/>
        <v>0.9322162985529322</v>
      </c>
      <c r="CO15" s="1061">
        <f t="shared" si="3"/>
        <v>0.87241625089094799</v>
      </c>
      <c r="CP15" s="1061">
        <f t="shared" si="3"/>
        <v>0.86671418389166066</v>
      </c>
      <c r="CQ15" s="1061">
        <f t="shared" si="3"/>
        <v>0.86528866714183894</v>
      </c>
      <c r="CR15" s="1061">
        <f t="shared" si="3"/>
        <v>0.86567164179104483</v>
      </c>
      <c r="CS15" s="1061">
        <f t="shared" si="3"/>
        <v>0.86709310589907607</v>
      </c>
      <c r="CT15" s="1061">
        <f t="shared" si="3"/>
        <v>0.86851457000710741</v>
      </c>
      <c r="CU15" s="1061">
        <f t="shared" si="3"/>
        <v>0.87571839080459779</v>
      </c>
      <c r="CV15" s="1061">
        <f t="shared" ref="CV15:DT15" si="4">CV5/CV7</f>
        <v>0.87015781922525104</v>
      </c>
      <c r="CW15" s="1061">
        <f t="shared" si="4"/>
        <v>0.87078248384781043</v>
      </c>
      <c r="CX15" s="1061">
        <f t="shared" si="4"/>
        <v>0.87776983559685484</v>
      </c>
      <c r="CY15" s="1061">
        <f t="shared" si="4"/>
        <v>0.88062902072909222</v>
      </c>
      <c r="CZ15" s="1061">
        <f t="shared" si="4"/>
        <v>0.87848463187991421</v>
      </c>
      <c r="DA15" s="1061">
        <f t="shared" si="4"/>
        <v>0.84944751381215466</v>
      </c>
      <c r="DB15" s="1061">
        <f t="shared" si="4"/>
        <v>0.85082872928176789</v>
      </c>
      <c r="DC15" s="1061">
        <f t="shared" si="4"/>
        <v>0.85220994475138123</v>
      </c>
      <c r="DD15" s="1061">
        <f t="shared" si="4"/>
        <v>0.85220994475138123</v>
      </c>
      <c r="DE15" s="1061">
        <f t="shared" si="4"/>
        <v>0.85290055248618779</v>
      </c>
      <c r="DF15" s="1061">
        <f t="shared" si="4"/>
        <v>0.85151933701657445</v>
      </c>
      <c r="DG15" s="1061">
        <f t="shared" si="4"/>
        <v>0.81926910299003319</v>
      </c>
      <c r="DH15" s="1061">
        <f t="shared" si="4"/>
        <v>0.81794019933554818</v>
      </c>
      <c r="DI15" s="1061">
        <f t="shared" si="4"/>
        <v>0.81439894319682959</v>
      </c>
      <c r="DJ15" s="1061">
        <f t="shared" si="4"/>
        <v>0.82352941176470573</v>
      </c>
      <c r="DK15" s="1061">
        <f t="shared" si="4"/>
        <v>0.8257425742574257</v>
      </c>
      <c r="DL15" s="1061">
        <f t="shared" si="4"/>
        <v>0.82992748846407394</v>
      </c>
      <c r="DM15" s="1061">
        <f t="shared" si="4"/>
        <v>0.80830670926517567</v>
      </c>
      <c r="DN15" s="1061">
        <f t="shared" si="4"/>
        <v>0.81086261980830676</v>
      </c>
      <c r="DO15" s="1061">
        <f t="shared" si="4"/>
        <v>0.80830670926517567</v>
      </c>
      <c r="DP15" s="1061">
        <f t="shared" si="4"/>
        <v>0.80830670926517567</v>
      </c>
      <c r="DQ15" s="1061">
        <f t="shared" si="4"/>
        <v>0.80958466453674127</v>
      </c>
      <c r="DR15" s="1061">
        <f t="shared" si="4"/>
        <v>0.81022364217252396</v>
      </c>
      <c r="DS15" s="1061">
        <f t="shared" si="4"/>
        <v>0.79433962264150937</v>
      </c>
      <c r="DT15" s="1061">
        <f t="shared" si="4"/>
        <v>0.78867924528301891</v>
      </c>
    </row>
    <row r="16" spans="1:126" hidden="1" x14ac:dyDescent="0.2">
      <c r="D16" s="1061">
        <v>0</v>
      </c>
      <c r="E16" s="1169">
        <f t="shared" ref="E16:AJ16" si="5">E15/D15-1</f>
        <v>-1.8993352326686086E-3</v>
      </c>
      <c r="F16" s="1169">
        <f t="shared" si="5"/>
        <v>6.6603235014270901E-3</v>
      </c>
      <c r="G16" s="1169">
        <f t="shared" si="5"/>
        <v>5.6710775047259521E-3</v>
      </c>
      <c r="H16" s="1169">
        <f t="shared" si="5"/>
        <v>-6.1113025150477229E-2</v>
      </c>
      <c r="I16" s="1169">
        <f t="shared" si="5"/>
        <v>9.3896713615015948E-4</v>
      </c>
      <c r="J16" s="1169">
        <f t="shared" si="5"/>
        <v>1.8761726078799779E-3</v>
      </c>
      <c r="K16" s="1169">
        <f t="shared" si="5"/>
        <v>9.3632958801515009E-4</v>
      </c>
      <c r="L16" s="1169">
        <f t="shared" si="5"/>
        <v>5.6127221702526597E-3</v>
      </c>
      <c r="M16" s="1169">
        <f t="shared" si="5"/>
        <v>6.5116279069767913E-3</v>
      </c>
      <c r="N16" s="1169">
        <f t="shared" si="5"/>
        <v>-4.6210720887245316E-3</v>
      </c>
      <c r="O16" s="1169">
        <f t="shared" si="5"/>
        <v>4.4603504812945616E-3</v>
      </c>
      <c r="P16" s="1169">
        <f t="shared" si="5"/>
        <v>2.7881928699444947E-2</v>
      </c>
      <c r="Q16" s="1169">
        <f t="shared" si="5"/>
        <v>-2.0790618256619653E-2</v>
      </c>
      <c r="R16" s="1169">
        <f t="shared" si="5"/>
        <v>-2.7726432532346745E-3</v>
      </c>
      <c r="S16" s="1169">
        <f t="shared" si="5"/>
        <v>8.3410565338275511E-3</v>
      </c>
      <c r="T16" s="1169">
        <f t="shared" si="5"/>
        <v>2.7573529411764053E-3</v>
      </c>
      <c r="U16" s="1169">
        <f t="shared" si="5"/>
        <v>-9.6046420670155785E-2</v>
      </c>
      <c r="V16" s="1169">
        <f t="shared" si="5"/>
        <v>-1.8264840182650177E-3</v>
      </c>
      <c r="W16" s="1169">
        <f t="shared" si="5"/>
        <v>6.2690716526547785E-3</v>
      </c>
      <c r="X16" s="1169">
        <f t="shared" si="5"/>
        <v>9.1743119266052275E-4</v>
      </c>
      <c r="Y16" s="1169">
        <f t="shared" si="5"/>
        <v>-5.499541704857891E-3</v>
      </c>
      <c r="Z16" s="1169">
        <f t="shared" si="5"/>
        <v>-9.216589861750224E-4</v>
      </c>
      <c r="AA16" s="1169">
        <f t="shared" si="5"/>
        <v>5.2888935625107436E-2</v>
      </c>
      <c r="AB16" s="1169">
        <f t="shared" si="5"/>
        <v>1.8416206261508972E-3</v>
      </c>
      <c r="AC16" s="1169">
        <f t="shared" si="5"/>
        <v>-1.8382352941176405E-3</v>
      </c>
      <c r="AD16" s="1169">
        <f t="shared" si="5"/>
        <v>1.012891344383049E-2</v>
      </c>
      <c r="AE16" s="1169">
        <f t="shared" si="5"/>
        <v>1.0027347310847867E-2</v>
      </c>
      <c r="AF16" s="1169">
        <f t="shared" si="5"/>
        <v>2.7075812274368616E-3</v>
      </c>
      <c r="AG16" s="1169">
        <f t="shared" si="5"/>
        <v>-3.2463400581704827E-3</v>
      </c>
      <c r="AH16" s="1169">
        <f t="shared" si="5"/>
        <v>-4.4802867383512135E-3</v>
      </c>
      <c r="AI16" s="1169">
        <f t="shared" si="5"/>
        <v>0</v>
      </c>
      <c r="AJ16" s="1169">
        <f t="shared" si="5"/>
        <v>-1.8001800180016403E-3</v>
      </c>
      <c r="AK16" s="1169">
        <f t="shared" ref="AK16:BP16" si="6">AK15/AJ15-1</f>
        <v>9.0171325518473289E-4</v>
      </c>
      <c r="AL16" s="1169">
        <f t="shared" si="6"/>
        <v>-9.0090090090078068E-4</v>
      </c>
      <c r="AM16" s="1169">
        <f t="shared" si="6"/>
        <v>4.8527686475270837E-2</v>
      </c>
      <c r="AN16" s="1169">
        <f t="shared" si="6"/>
        <v>-8.9928057553956275E-4</v>
      </c>
      <c r="AO16" s="1169">
        <f t="shared" si="6"/>
        <v>8.1366507691491563E-3</v>
      </c>
      <c r="AP16" s="1169">
        <f t="shared" si="6"/>
        <v>4.5085662759243306E-3</v>
      </c>
      <c r="AQ16" s="1169">
        <f t="shared" si="6"/>
        <v>2.6929982046679513E-3</v>
      </c>
      <c r="AR16" s="1169">
        <f t="shared" si="6"/>
        <v>7.1620411817368002E-3</v>
      </c>
      <c r="AS16" s="1169">
        <f t="shared" si="6"/>
        <v>5.2292292292293041E-3</v>
      </c>
      <c r="AT16" s="1169">
        <f t="shared" si="6"/>
        <v>5.2816901408450079E-3</v>
      </c>
      <c r="AU16" s="1169">
        <f t="shared" si="6"/>
        <v>7.8809106830122211E-3</v>
      </c>
      <c r="AV16" s="1169">
        <f t="shared" si="6"/>
        <v>-2.6064291920069316E-3</v>
      </c>
      <c r="AW16" s="1169">
        <f t="shared" si="6"/>
        <v>2.6132404181185009E-3</v>
      </c>
      <c r="AX16" s="1169">
        <f t="shared" si="6"/>
        <v>-1.2163336229365607E-2</v>
      </c>
      <c r="AY16" s="1169">
        <f t="shared" si="6"/>
        <v>-3.5641868230031459E-2</v>
      </c>
      <c r="AZ16" s="1169">
        <f t="shared" si="6"/>
        <v>-6.1674008810572722E-3</v>
      </c>
      <c r="BA16" s="1169">
        <f t="shared" si="6"/>
        <v>-3.5460992907799804E-3</v>
      </c>
      <c r="BB16" s="1169">
        <f t="shared" si="6"/>
        <v>6.2277580071172789E-3</v>
      </c>
      <c r="BC16" s="1169">
        <f t="shared" si="6"/>
        <v>5.3050397877985045E-3</v>
      </c>
      <c r="BD16" s="1169">
        <f t="shared" si="6"/>
        <v>-4.3975373790676731E-3</v>
      </c>
      <c r="BE16" s="1169">
        <f t="shared" si="6"/>
        <v>-3.6536102129262171E-2</v>
      </c>
      <c r="BF16" s="1169">
        <f t="shared" si="6"/>
        <v>1.7543859649122862E-3</v>
      </c>
      <c r="BG16" s="1169">
        <f t="shared" si="6"/>
        <v>-4.3782837127845919E-3</v>
      </c>
      <c r="BH16" s="1169">
        <f t="shared" si="6"/>
        <v>0</v>
      </c>
      <c r="BI16" s="1169">
        <f t="shared" si="6"/>
        <v>8.7950747581366784E-4</v>
      </c>
      <c r="BJ16" s="1169">
        <f t="shared" si="6"/>
        <v>8.7873462214416165E-4</v>
      </c>
      <c r="BK16" s="1169">
        <f t="shared" si="6"/>
        <v>1.2892737633267481E-2</v>
      </c>
      <c r="BL16" s="1169">
        <f t="shared" si="6"/>
        <v>-4.3630017452007674E-3</v>
      </c>
      <c r="BM16" s="1169">
        <f t="shared" si="6"/>
        <v>3.5056967572304476E-3</v>
      </c>
      <c r="BN16" s="1169">
        <f t="shared" si="6"/>
        <v>5.2401746724890508E-3</v>
      </c>
      <c r="BO16" s="1169">
        <f t="shared" si="6"/>
        <v>1.7376194613378804E-3</v>
      </c>
      <c r="BP16" s="1169">
        <f t="shared" si="6"/>
        <v>3.4692107545533091E-3</v>
      </c>
      <c r="BQ16" s="1169">
        <f t="shared" ref="BQ16:CV16" si="7">BQ15/BP15-1</f>
        <v>-8.4678705299987556E-2</v>
      </c>
      <c r="BR16" s="1169">
        <f t="shared" si="7"/>
        <v>-1.7211703958692759E-3</v>
      </c>
      <c r="BS16" s="1169">
        <f t="shared" si="7"/>
        <v>-6.2963461491397643E-2</v>
      </c>
      <c r="BT16" s="1169">
        <f t="shared" si="7"/>
        <v>0</v>
      </c>
      <c r="BU16" s="1169">
        <f t="shared" si="7"/>
        <v>8.5470085470085166E-4</v>
      </c>
      <c r="BV16" s="1169">
        <f t="shared" si="7"/>
        <v>5.9777967549103916E-3</v>
      </c>
      <c r="BW16" s="1169">
        <f t="shared" si="7"/>
        <v>3.1719437246199744E-2</v>
      </c>
      <c r="BX16" s="1169">
        <f t="shared" si="7"/>
        <v>-8.4745762711868622E-4</v>
      </c>
      <c r="BY16" s="1169">
        <f t="shared" si="7"/>
        <v>3.7843352055040747E-2</v>
      </c>
      <c r="BZ16" s="1169">
        <f t="shared" si="7"/>
        <v>9.3893858382113171E-2</v>
      </c>
      <c r="CA16" s="1169">
        <f t="shared" si="7"/>
        <v>-8.6852359250436661E-3</v>
      </c>
      <c r="CB16" s="1169">
        <f t="shared" si="7"/>
        <v>4.1876046901172526E-3</v>
      </c>
      <c r="CC16" s="1169">
        <f t="shared" si="7"/>
        <v>-4.8837632893311556E-2</v>
      </c>
      <c r="CD16" s="1169">
        <f t="shared" si="7"/>
        <v>-5.789909015715522E-3</v>
      </c>
      <c r="CE16" s="1169">
        <f t="shared" si="7"/>
        <v>2.4958402662229595E-3</v>
      </c>
      <c r="CF16" s="1169">
        <f t="shared" si="7"/>
        <v>-4.5099180244915216E-3</v>
      </c>
      <c r="CG16" s="1169">
        <f t="shared" si="7"/>
        <v>4.1459369817580249E-3</v>
      </c>
      <c r="CH16" s="1169">
        <f t="shared" si="7"/>
        <v>-8.2576383154420174E-4</v>
      </c>
      <c r="CI16" s="1169">
        <f t="shared" si="7"/>
        <v>-2.2813688212929284E-3</v>
      </c>
      <c r="CJ16" s="1169">
        <f t="shared" si="7"/>
        <v>-5.7851239669421961E-3</v>
      </c>
      <c r="CK16" s="1169">
        <f t="shared" si="7"/>
        <v>2.4937655860348684E-3</v>
      </c>
      <c r="CL16" s="1169">
        <f t="shared" si="7"/>
        <v>8.1668327567543386E-3</v>
      </c>
      <c r="CM16" s="1169">
        <f t="shared" si="7"/>
        <v>4.9423393739702615E-3</v>
      </c>
      <c r="CN16" s="1169">
        <f t="shared" si="7"/>
        <v>3.2786885245903452E-3</v>
      </c>
      <c r="CO16" s="1169">
        <f t="shared" si="7"/>
        <v>-6.4148253741981409E-2</v>
      </c>
      <c r="CP16" s="1169">
        <f t="shared" si="7"/>
        <v>-6.5359477124183885E-3</v>
      </c>
      <c r="CQ16" s="1169">
        <f t="shared" si="7"/>
        <v>-1.6447368421051989E-3</v>
      </c>
      <c r="CR16" s="1169">
        <f t="shared" si="7"/>
        <v>4.425975558779438E-4</v>
      </c>
      <c r="CS16" s="1169">
        <f t="shared" si="7"/>
        <v>1.6420361247946325E-3</v>
      </c>
      <c r="CT16" s="1169">
        <f t="shared" si="7"/>
        <v>1.6393442622950616E-3</v>
      </c>
      <c r="CU16" s="1169">
        <f t="shared" si="7"/>
        <v>8.2944155990745116E-3</v>
      </c>
      <c r="CV16" s="1169">
        <f t="shared" si="7"/>
        <v>-6.3497257083270364E-3</v>
      </c>
      <c r="CW16" s="1169">
        <f t="shared" ref="CW16:DT16" si="8">CW15/CV15-1</f>
        <v>7.1787508973431002E-4</v>
      </c>
      <c r="CX16" s="1169">
        <f t="shared" si="8"/>
        <v>8.0242217530246407E-3</v>
      </c>
      <c r="CY16" s="1169">
        <f t="shared" si="8"/>
        <v>3.2573289902280145E-3</v>
      </c>
      <c r="CZ16" s="1169">
        <f t="shared" si="8"/>
        <v>-2.4350649350649567E-3</v>
      </c>
      <c r="DA16" s="1169">
        <f t="shared" si="8"/>
        <v>-3.3053643756546514E-2</v>
      </c>
      <c r="DB16" s="1169">
        <f t="shared" si="8"/>
        <v>1.626016260162455E-3</v>
      </c>
      <c r="DC16" s="1169">
        <f t="shared" si="8"/>
        <v>1.6233766233766378E-3</v>
      </c>
      <c r="DD16" s="1169">
        <f t="shared" si="8"/>
        <v>0</v>
      </c>
      <c r="DE16" s="1169">
        <f t="shared" si="8"/>
        <v>8.103727714747766E-4</v>
      </c>
      <c r="DF16" s="1169">
        <f t="shared" si="8"/>
        <v>-1.6194331983806487E-3</v>
      </c>
      <c r="DG16" s="1169">
        <f t="shared" si="8"/>
        <v>-3.7873754152823791E-2</v>
      </c>
      <c r="DH16" s="1169">
        <f t="shared" si="8"/>
        <v>-1.6220600162205612E-3</v>
      </c>
      <c r="DI16" s="1169">
        <f t="shared" si="8"/>
        <v>-4.329480494534077E-3</v>
      </c>
      <c r="DJ16" s="1169">
        <f t="shared" si="8"/>
        <v>1.1211297170936385E-2</v>
      </c>
      <c r="DK16" s="1169">
        <f t="shared" si="8"/>
        <v>2.6874115983028801E-3</v>
      </c>
      <c r="DL16" s="1169">
        <f t="shared" si="8"/>
        <v>5.0680615692022535E-3</v>
      </c>
      <c r="DM16" s="1169">
        <f t="shared" si="8"/>
        <v>-2.6051407501770152E-2</v>
      </c>
      <c r="DN16" s="1169">
        <f t="shared" si="8"/>
        <v>3.1620553359685832E-3</v>
      </c>
      <c r="DO16" s="1169">
        <f t="shared" si="8"/>
        <v>-3.1520882584713528E-3</v>
      </c>
      <c r="DP16" s="1169">
        <f t="shared" si="8"/>
        <v>0</v>
      </c>
      <c r="DQ16" s="1169">
        <f t="shared" si="8"/>
        <v>1.5810276679844026E-3</v>
      </c>
      <c r="DR16" s="1169">
        <f t="shared" si="8"/>
        <v>7.8926598263606706E-4</v>
      </c>
      <c r="DS16" s="1169">
        <f t="shared" si="8"/>
        <v>-1.9604487828105532E-2</v>
      </c>
      <c r="DT16" s="1169">
        <f t="shared" si="8"/>
        <v>-7.1258907363419555E-3</v>
      </c>
      <c r="DU16" s="1165"/>
      <c r="DV16" s="1165"/>
    </row>
    <row r="17" spans="1:124" hidden="1" x14ac:dyDescent="0.2"/>
    <row r="18" spans="1:124" hidden="1" x14ac:dyDescent="0.2">
      <c r="E18" s="1061"/>
      <c r="F18" s="1061"/>
      <c r="G18" s="1061"/>
      <c r="H18" s="1061">
        <f>H5-D5</f>
        <v>1.2000000000000028</v>
      </c>
      <c r="I18" s="1061"/>
      <c r="J18" s="1061"/>
      <c r="K18" s="1061"/>
      <c r="L18" s="1061"/>
      <c r="M18" s="1061"/>
      <c r="N18" s="1061"/>
      <c r="O18" s="1061">
        <f>O5-H5</f>
        <v>1</v>
      </c>
      <c r="P18" s="1061"/>
      <c r="Q18" s="1061"/>
      <c r="R18" s="1061"/>
      <c r="S18" s="1061"/>
      <c r="T18" s="1061">
        <f>T5-O5</f>
        <v>1.5999999999999943</v>
      </c>
      <c r="U18" s="1061"/>
      <c r="V18" s="1061"/>
      <c r="W18" s="1061"/>
      <c r="X18" s="1061"/>
      <c r="Y18" s="1061"/>
      <c r="Z18" s="1061"/>
      <c r="AA18" s="1061">
        <f>AA5-T5</f>
        <v>-0.5</v>
      </c>
      <c r="AB18" s="1061"/>
      <c r="AC18" s="1061"/>
      <c r="AD18" s="1061"/>
      <c r="AE18" s="1061"/>
      <c r="AF18" s="1061">
        <f>AF5-AA5</f>
        <v>2.5</v>
      </c>
      <c r="AG18" s="1061"/>
      <c r="AH18" s="1061"/>
      <c r="AI18" s="1061"/>
      <c r="AJ18" s="1061"/>
      <c r="AK18" s="1061"/>
      <c r="AL18" s="1061"/>
      <c r="AM18" s="1061">
        <f>AM5-AF5</f>
        <v>0.10000000000000853</v>
      </c>
      <c r="AN18" s="1061"/>
      <c r="AO18" s="1061"/>
      <c r="AP18" s="1061"/>
      <c r="AQ18" s="1061"/>
      <c r="AR18" s="1061">
        <f>AR5-AM5</f>
        <v>1.2999999999999972</v>
      </c>
      <c r="AS18" s="1061"/>
      <c r="AT18" s="1061"/>
      <c r="AU18" s="1061"/>
      <c r="AV18" s="1061"/>
      <c r="AW18" s="1061"/>
      <c r="AX18" s="1061"/>
      <c r="AY18" s="1061">
        <f>AY5-AR5</f>
        <v>1</v>
      </c>
      <c r="AZ18" s="1061"/>
      <c r="BA18" s="1061"/>
      <c r="BB18" s="1061"/>
      <c r="BC18" s="1061"/>
      <c r="BD18" s="1061">
        <f>BD5-AY5</f>
        <v>-0.29999999999999716</v>
      </c>
      <c r="BE18" s="1061"/>
      <c r="BF18" s="1061"/>
      <c r="BG18" s="1061"/>
      <c r="BH18" s="1061"/>
      <c r="BI18" s="1061"/>
      <c r="BJ18" s="1061"/>
      <c r="BK18" s="1061">
        <f>BK5-BD5</f>
        <v>1.3999999999999915</v>
      </c>
      <c r="BL18" s="1061"/>
      <c r="BM18" s="1061"/>
      <c r="BN18" s="1061"/>
      <c r="BO18" s="1061"/>
      <c r="BP18" s="1061">
        <f>BP5-BK5</f>
        <v>1.1000000000000085</v>
      </c>
      <c r="BQ18" s="1061"/>
      <c r="BR18" s="1061"/>
      <c r="BS18" s="1061"/>
      <c r="BT18" s="1061"/>
      <c r="BU18" s="1061"/>
      <c r="BV18" s="1061"/>
      <c r="BW18" s="1061">
        <f>BW5-BP5</f>
        <v>2.2999999999999972</v>
      </c>
      <c r="BX18" s="1061"/>
      <c r="BY18" s="1061"/>
      <c r="BZ18" s="1061"/>
      <c r="CA18" s="1061"/>
      <c r="CB18" s="1061">
        <f>CB5-BW5</f>
        <v>1.9000000000000057</v>
      </c>
      <c r="CC18" s="1061"/>
      <c r="CD18" s="1061"/>
      <c r="CE18" s="1061"/>
      <c r="CF18" s="1061"/>
      <c r="CG18" s="1061"/>
      <c r="CH18" s="1061"/>
      <c r="CI18" s="1061">
        <f>CI5-CB5</f>
        <v>1.0999999999999943</v>
      </c>
      <c r="CJ18" s="1061"/>
      <c r="CK18" s="1061"/>
      <c r="CL18" s="1061"/>
      <c r="CM18" s="1061"/>
      <c r="CN18" s="1061">
        <f>CN5-CI5</f>
        <v>1.4000000000000057</v>
      </c>
      <c r="CO18" s="1061"/>
      <c r="CP18" s="1061"/>
      <c r="CQ18" s="1061"/>
      <c r="CR18" s="1061"/>
      <c r="CS18" s="1061"/>
      <c r="CT18" s="1061"/>
      <c r="CU18" s="1061">
        <f>CU5-CN5</f>
        <v>-0.5</v>
      </c>
      <c r="CV18" s="1061"/>
      <c r="CW18" s="1061"/>
      <c r="CX18" s="1061"/>
      <c r="CY18" s="1061"/>
      <c r="CZ18" s="1061">
        <f>CZ5-CU5</f>
        <v>1</v>
      </c>
      <c r="DA18" s="1061"/>
      <c r="DB18" s="1061"/>
      <c r="DC18" s="1061"/>
      <c r="DD18" s="1061"/>
      <c r="DE18" s="1061"/>
      <c r="DF18" s="1061"/>
      <c r="DG18" s="1061">
        <f>DG5-CZ5</f>
        <v>0.39999999999999147</v>
      </c>
      <c r="DH18" s="1061"/>
      <c r="DI18" s="1061"/>
      <c r="DJ18" s="1061"/>
      <c r="DK18" s="1061"/>
      <c r="DL18" s="1061">
        <f>DL5-DG5</f>
        <v>2.6000000000000085</v>
      </c>
      <c r="DM18" s="1061"/>
      <c r="DN18" s="1061"/>
      <c r="DO18" s="1061"/>
      <c r="DP18" s="1061"/>
      <c r="DQ18" s="1061"/>
      <c r="DR18" s="1061"/>
      <c r="DS18" s="1061">
        <f>DS5-DL5</f>
        <v>0.39999999999999147</v>
      </c>
    </row>
    <row r="19" spans="1:124" hidden="1" x14ac:dyDescent="0.2">
      <c r="E19" s="1061"/>
      <c r="F19" s="1061"/>
      <c r="G19" s="1061"/>
      <c r="H19" s="1061">
        <f>H7-D7</f>
        <v>6.8999999999999915</v>
      </c>
      <c r="I19" s="1061"/>
      <c r="J19" s="1061"/>
      <c r="K19" s="1061"/>
      <c r="L19" s="1061"/>
      <c r="M19" s="1061"/>
      <c r="N19" s="1061"/>
      <c r="O19" s="1061">
        <f>O7-H7</f>
        <v>-0.70000000000000284</v>
      </c>
      <c r="P19" s="1061"/>
      <c r="Q19" s="1061"/>
      <c r="R19" s="1061"/>
      <c r="S19" s="1061"/>
      <c r="T19" s="1061">
        <f>T7-O7</f>
        <v>0</v>
      </c>
      <c r="U19" s="1061"/>
      <c r="V19" s="1061"/>
      <c r="W19" s="1061"/>
      <c r="X19" s="1061"/>
      <c r="Y19" s="1061"/>
      <c r="Z19" s="1061"/>
      <c r="AA19" s="1061">
        <f>AA7-T7</f>
        <v>5.2000000000000028</v>
      </c>
      <c r="AB19" s="1061"/>
      <c r="AC19" s="1061"/>
      <c r="AD19" s="1061"/>
      <c r="AE19" s="1061"/>
      <c r="AF19" s="1061">
        <f>AF7-AA7</f>
        <v>0</v>
      </c>
      <c r="AG19" s="1061"/>
      <c r="AH19" s="1061"/>
      <c r="AI19" s="1061"/>
      <c r="AJ19" s="1061"/>
      <c r="AK19" s="1061"/>
      <c r="AL19" s="1061"/>
      <c r="AM19" s="1061">
        <f>AM7-AF7</f>
        <v>-4.2000000000000028</v>
      </c>
      <c r="AN19" s="1061"/>
      <c r="AO19" s="1061"/>
      <c r="AP19" s="1061"/>
      <c r="AQ19" s="1061"/>
      <c r="AR19" s="1061">
        <f>AR7-AM7</f>
        <v>-1.0999999999999943</v>
      </c>
      <c r="AS19" s="1061"/>
      <c r="AT19" s="1061"/>
      <c r="AU19" s="1061"/>
      <c r="AV19" s="1061"/>
      <c r="AW19" s="1061"/>
      <c r="AX19" s="1061"/>
      <c r="AY19" s="1061">
        <f>AY7-AR7</f>
        <v>4.4000000000000057</v>
      </c>
      <c r="AZ19" s="1061"/>
      <c r="BA19" s="1061"/>
      <c r="BB19" s="1061"/>
      <c r="BC19" s="1061"/>
      <c r="BD19" s="1061">
        <f>BD7-AY7</f>
        <v>0</v>
      </c>
      <c r="BE19" s="1061"/>
      <c r="BF19" s="1061"/>
      <c r="BG19" s="1061"/>
      <c r="BH19" s="1061"/>
      <c r="BI19" s="1061"/>
      <c r="BJ19" s="1061"/>
      <c r="BK19" s="1061">
        <f>BK7-BD7</f>
        <v>4.3999999999999915</v>
      </c>
      <c r="BL19" s="1061"/>
      <c r="BM19" s="1061"/>
      <c r="BN19" s="1061"/>
      <c r="BO19" s="1061"/>
      <c r="BP19" s="1061">
        <f>BP7-BK7</f>
        <v>0</v>
      </c>
      <c r="BQ19" s="1061"/>
      <c r="BR19" s="1061"/>
      <c r="BS19" s="1061"/>
      <c r="BT19" s="1061"/>
      <c r="BU19" s="1061"/>
      <c r="BV19" s="1061"/>
      <c r="BW19" s="1061">
        <f>BW7-BP7</f>
        <v>17.500000000000014</v>
      </c>
      <c r="BX19" s="1061"/>
      <c r="BY19" s="1061"/>
      <c r="BZ19" s="1061"/>
      <c r="CA19" s="1061"/>
      <c r="CB19" s="1061">
        <f>CB7-BW7</f>
        <v>-13.700000000000017</v>
      </c>
      <c r="CC19" s="1061"/>
      <c r="CD19" s="1061"/>
      <c r="CE19" s="1061"/>
      <c r="CF19" s="1061"/>
      <c r="CG19" s="1061"/>
      <c r="CH19" s="1061"/>
      <c r="CI19" s="1061">
        <f>CI7-CB7</f>
        <v>8.4000000000000057</v>
      </c>
      <c r="CJ19" s="1061"/>
      <c r="CK19" s="1061"/>
      <c r="CL19" s="1061"/>
      <c r="CM19" s="1061"/>
      <c r="CN19" s="1061">
        <f>CN7-CI7</f>
        <v>-0.19999999999998863</v>
      </c>
      <c r="CO19" s="1061"/>
      <c r="CP19" s="1061"/>
      <c r="CQ19" s="1061"/>
      <c r="CR19" s="1061"/>
      <c r="CS19" s="1061"/>
      <c r="CT19" s="1061"/>
      <c r="CU19" s="1061">
        <f>CU7-CN7</f>
        <v>7.8999999999999773</v>
      </c>
      <c r="CV19" s="1061"/>
      <c r="CW19" s="1061"/>
      <c r="CX19" s="1061"/>
      <c r="CY19" s="1061"/>
      <c r="CZ19" s="1061">
        <f>CZ7-CU7</f>
        <v>0.70000000000001705</v>
      </c>
      <c r="DA19" s="1061"/>
      <c r="DB19" s="1061"/>
      <c r="DC19" s="1061"/>
      <c r="DD19" s="1061"/>
      <c r="DE19" s="1061"/>
      <c r="DF19" s="1061"/>
      <c r="DG19" s="1061">
        <f>DG7-CZ7</f>
        <v>10.599999999999994</v>
      </c>
      <c r="DH19" s="1061"/>
      <c r="DI19" s="1061"/>
      <c r="DJ19" s="1061"/>
      <c r="DK19" s="1061"/>
      <c r="DL19" s="1061">
        <f>DL7-DG7</f>
        <v>1.1999999999999886</v>
      </c>
      <c r="DM19" s="1061"/>
      <c r="DN19" s="1061"/>
      <c r="DO19" s="1061"/>
      <c r="DP19" s="1061"/>
      <c r="DQ19" s="1061"/>
      <c r="DR19" s="1061"/>
      <c r="DS19" s="1061">
        <f>DS7-DL7</f>
        <v>7.3000000000000114</v>
      </c>
    </row>
    <row r="20" spans="1:124" hidden="1" x14ac:dyDescent="0.2">
      <c r="B20" t="s">
        <v>684</v>
      </c>
      <c r="E20" s="1061"/>
      <c r="F20" s="1061"/>
      <c r="G20" s="1061"/>
      <c r="H20" s="1061">
        <f>H18-H19</f>
        <v>-5.6999999999999886</v>
      </c>
      <c r="I20" s="1061"/>
      <c r="J20" s="1061"/>
      <c r="K20" s="1061"/>
      <c r="L20" s="1061"/>
      <c r="M20" s="1061"/>
      <c r="N20" s="1061">
        <v>-0.80000000000001137</v>
      </c>
      <c r="O20" s="1061"/>
      <c r="P20" s="1061"/>
      <c r="Q20" s="1061"/>
      <c r="R20" s="1061"/>
      <c r="S20" s="1061"/>
      <c r="T20" s="1061">
        <f>T18-T19</f>
        <v>1.5999999999999943</v>
      </c>
      <c r="U20" s="1061"/>
      <c r="V20" s="1061"/>
      <c r="W20" s="1061"/>
      <c r="X20" s="1061"/>
      <c r="Y20" s="1061"/>
      <c r="Z20" s="1061"/>
      <c r="AA20" s="1061">
        <f>AA18-AA19</f>
        <v>-5.7000000000000028</v>
      </c>
      <c r="AB20" s="1061"/>
      <c r="AC20" s="1061"/>
      <c r="AD20" s="1061"/>
      <c r="AE20" s="1061"/>
      <c r="AF20" s="1061">
        <f>AF18-AF19</f>
        <v>2.5</v>
      </c>
      <c r="AG20" s="1061"/>
      <c r="AH20" s="1061"/>
      <c r="AI20" s="1061"/>
      <c r="AJ20" s="1061"/>
      <c r="AK20" s="1061"/>
      <c r="AL20" s="1061"/>
      <c r="AM20" s="1061">
        <f>AM18-AM19</f>
        <v>4.3000000000000114</v>
      </c>
      <c r="AN20" s="1061"/>
      <c r="AO20" s="1061"/>
      <c r="AP20" s="1061"/>
      <c r="AQ20" s="1061"/>
      <c r="AR20" s="1061">
        <f>AR18-AR19</f>
        <v>2.3999999999999915</v>
      </c>
      <c r="AS20" s="1061"/>
      <c r="AT20" s="1061"/>
      <c r="AU20" s="1061"/>
      <c r="AV20" s="1061"/>
      <c r="AW20" s="1061"/>
      <c r="AX20" s="1061"/>
      <c r="AY20" s="1061">
        <f>AY18-AY19</f>
        <v>-3.4000000000000057</v>
      </c>
      <c r="AZ20" s="1061"/>
      <c r="BA20" s="1061"/>
      <c r="BB20" s="1061"/>
      <c r="BC20" s="1061"/>
      <c r="BD20" s="1061">
        <f>BD18-BD19</f>
        <v>-0.29999999999999716</v>
      </c>
      <c r="BE20" s="1061"/>
      <c r="BF20" s="1061"/>
      <c r="BG20" s="1061"/>
      <c r="BH20" s="1061"/>
      <c r="BI20" s="1061"/>
      <c r="BJ20" s="1061"/>
      <c r="BK20" s="1061">
        <f>BK18-BK19</f>
        <v>-3</v>
      </c>
      <c r="BL20" s="1061"/>
      <c r="BM20" s="1061"/>
      <c r="BN20" s="1061"/>
      <c r="BO20" s="1061"/>
      <c r="BP20" s="1061">
        <f>BP18-BP19</f>
        <v>1.1000000000000085</v>
      </c>
      <c r="BQ20" s="1061"/>
      <c r="BR20" s="1061"/>
      <c r="BS20" s="1061"/>
      <c r="BT20" s="1061"/>
      <c r="BU20" s="1061"/>
      <c r="BV20" s="1061"/>
      <c r="BW20" s="1061">
        <f>BW18-BW19</f>
        <v>-15.200000000000017</v>
      </c>
      <c r="BX20" s="1061"/>
      <c r="BY20" s="1061"/>
      <c r="BZ20" s="1061"/>
      <c r="CA20" s="1061"/>
      <c r="CB20" s="1061">
        <f>CB18-CB19</f>
        <v>15.600000000000023</v>
      </c>
      <c r="CC20" s="1061"/>
      <c r="CD20" s="1061"/>
      <c r="CE20" s="1061"/>
      <c r="CF20" s="1061"/>
      <c r="CG20" s="1061"/>
      <c r="CH20" s="1061"/>
      <c r="CI20" s="1061">
        <f>CI18-CI19</f>
        <v>-7.3000000000000114</v>
      </c>
      <c r="CJ20" s="1061"/>
      <c r="CK20" s="1061"/>
      <c r="CL20" s="1061"/>
      <c r="CM20" s="1061"/>
      <c r="CN20" s="1061">
        <f>CN18-CN19</f>
        <v>1.5999999999999943</v>
      </c>
      <c r="CO20" s="1061"/>
      <c r="CP20" s="1061"/>
      <c r="CQ20" s="1061"/>
      <c r="CR20" s="1061"/>
      <c r="CS20" s="1061"/>
      <c r="CT20" s="1061"/>
      <c r="CU20" s="1061">
        <f>CU18-CU19</f>
        <v>-8.3999999999999773</v>
      </c>
      <c r="CV20" s="1061"/>
      <c r="CW20" s="1061"/>
      <c r="CX20" s="1061"/>
      <c r="CY20" s="1061"/>
      <c r="CZ20" s="1061">
        <f>CZ18-CZ19</f>
        <v>0.29999999999998295</v>
      </c>
      <c r="DA20" s="1061"/>
      <c r="DB20" s="1061"/>
      <c r="DC20" s="1061"/>
      <c r="DD20" s="1061"/>
      <c r="DE20" s="1061"/>
      <c r="DF20" s="1061"/>
      <c r="DG20" s="1061">
        <f>DG18-DG19</f>
        <v>-10.200000000000003</v>
      </c>
      <c r="DH20" s="1061"/>
      <c r="DI20" s="1061"/>
      <c r="DJ20" s="1061"/>
      <c r="DK20" s="1061"/>
      <c r="DL20" s="1061">
        <f>DL18-DL19</f>
        <v>1.4000000000000199</v>
      </c>
      <c r="DM20" s="1061"/>
      <c r="DN20" s="1061"/>
      <c r="DO20" s="1061"/>
      <c r="DP20" s="1061"/>
      <c r="DQ20" s="1061"/>
      <c r="DR20" s="1061"/>
      <c r="DS20" s="1061">
        <f>DS18-DS19</f>
        <v>-6.9000000000000199</v>
      </c>
    </row>
    <row r="22" spans="1:124" x14ac:dyDescent="0.2">
      <c r="B22" s="1170"/>
      <c r="C22" s="1176" t="s">
        <v>685</v>
      </c>
      <c r="D22" s="1170"/>
      <c r="E22" s="1311">
        <f>E5-E7</f>
        <v>0.69999999999998863</v>
      </c>
      <c r="F22" s="1171">
        <f t="shared" ref="F22:AJ22" si="9">F5-F7</f>
        <v>1.3999999999999915</v>
      </c>
      <c r="G22" s="1171">
        <f t="shared" si="9"/>
        <v>2</v>
      </c>
      <c r="H22" s="1171">
        <f t="shared" si="9"/>
        <v>-4.7999999999999972</v>
      </c>
      <c r="I22" s="1171">
        <f t="shared" si="9"/>
        <v>-4.7000000000000028</v>
      </c>
      <c r="J22" s="1171">
        <f t="shared" si="9"/>
        <v>-4.5</v>
      </c>
      <c r="K22" s="1171">
        <f t="shared" si="9"/>
        <v>-4.3999999999999915</v>
      </c>
      <c r="L22" s="1171">
        <f t="shared" si="9"/>
        <v>-3.7999999999999972</v>
      </c>
      <c r="M22" s="1171">
        <f t="shared" si="9"/>
        <v>-3.0999999999999943</v>
      </c>
      <c r="N22" s="1171">
        <f t="shared" si="9"/>
        <v>-3.5999999999999943</v>
      </c>
      <c r="O22" s="1171">
        <f t="shared" si="9"/>
        <v>-3.0999999999999943</v>
      </c>
      <c r="P22" s="1171">
        <f t="shared" si="9"/>
        <v>-0.10000000000000853</v>
      </c>
      <c r="Q22" s="1171">
        <f t="shared" si="9"/>
        <v>-2.3999999999999915</v>
      </c>
      <c r="R22" s="1171">
        <f t="shared" si="9"/>
        <v>-2.6999999999999886</v>
      </c>
      <c r="S22" s="1171">
        <f t="shared" si="9"/>
        <v>-1.7999999999999972</v>
      </c>
      <c r="T22" s="1171">
        <f t="shared" si="9"/>
        <v>-1.5</v>
      </c>
      <c r="U22" s="1171">
        <f t="shared" si="9"/>
        <v>-13.299999999999997</v>
      </c>
      <c r="V22" s="1171">
        <f t="shared" si="9"/>
        <v>-13.5</v>
      </c>
      <c r="W22" s="1171">
        <f t="shared" si="9"/>
        <v>-12.700000000000003</v>
      </c>
      <c r="X22" s="1171">
        <f t="shared" si="9"/>
        <v>-12.600000000000009</v>
      </c>
      <c r="Y22" s="1171">
        <f t="shared" si="9"/>
        <v>-13.200000000000003</v>
      </c>
      <c r="Z22" s="1171">
        <f t="shared" si="9"/>
        <v>-13.299999999999997</v>
      </c>
      <c r="AA22" s="1171">
        <f t="shared" si="9"/>
        <v>-7.2000000000000028</v>
      </c>
      <c r="AB22" s="1171">
        <f t="shared" si="9"/>
        <v>-7</v>
      </c>
      <c r="AC22" s="1171">
        <f t="shared" si="9"/>
        <v>-7.2000000000000028</v>
      </c>
      <c r="AD22" s="1171">
        <f t="shared" si="9"/>
        <v>-6.0999999999999943</v>
      </c>
      <c r="AE22" s="1171">
        <f t="shared" si="9"/>
        <v>-5</v>
      </c>
      <c r="AF22" s="1171">
        <f t="shared" si="9"/>
        <v>-4.7000000000000028</v>
      </c>
      <c r="AG22" s="1171">
        <f t="shared" si="9"/>
        <v>-5.1000000000000085</v>
      </c>
      <c r="AH22" s="1171">
        <f t="shared" si="9"/>
        <v>-5.6000000000000085</v>
      </c>
      <c r="AI22" s="1171">
        <f t="shared" si="9"/>
        <v>-5.6000000000000085</v>
      </c>
      <c r="AJ22" s="1171">
        <f t="shared" si="9"/>
        <v>-5.7999999999999972</v>
      </c>
      <c r="AK22" s="1171">
        <f t="shared" ref="AK22:BP22" si="10">AK5-AK7</f>
        <v>-5.7000000000000028</v>
      </c>
      <c r="AL22" s="1171">
        <f t="shared" si="10"/>
        <v>-5.7999999999999972</v>
      </c>
      <c r="AM22" s="1171">
        <f t="shared" si="10"/>
        <v>-0.39999999999999147</v>
      </c>
      <c r="AN22" s="1171">
        <f t="shared" si="10"/>
        <v>-0.5</v>
      </c>
      <c r="AO22" s="1171">
        <f t="shared" si="10"/>
        <v>0.40000000000000568</v>
      </c>
      <c r="AP22" s="1171">
        <f t="shared" si="10"/>
        <v>0.90000000000000568</v>
      </c>
      <c r="AQ22" s="1171">
        <f t="shared" si="10"/>
        <v>1.2000000000000028</v>
      </c>
      <c r="AR22" s="1171">
        <f t="shared" si="10"/>
        <v>2</v>
      </c>
      <c r="AS22" s="1171">
        <f t="shared" si="10"/>
        <v>2.5999999999999943</v>
      </c>
      <c r="AT22" s="1171">
        <f t="shared" si="10"/>
        <v>3.2000000000000028</v>
      </c>
      <c r="AU22" s="1171">
        <f t="shared" si="10"/>
        <v>4.0999999999999943</v>
      </c>
      <c r="AV22" s="1171">
        <f t="shared" si="10"/>
        <v>3.7999999999999972</v>
      </c>
      <c r="AW22" s="1171">
        <f t="shared" si="10"/>
        <v>4.0999999999999943</v>
      </c>
      <c r="AX22" s="1171">
        <f t="shared" si="10"/>
        <v>2.7000000000000028</v>
      </c>
      <c r="AY22" s="1171">
        <f t="shared" si="10"/>
        <v>-1.4000000000000057</v>
      </c>
      <c r="AZ22" s="1171">
        <f t="shared" si="10"/>
        <v>-2.1000000000000085</v>
      </c>
      <c r="BA22" s="1171">
        <f t="shared" si="10"/>
        <v>-2.5</v>
      </c>
      <c r="BB22" s="1171">
        <f t="shared" si="10"/>
        <v>-1.8000000000000114</v>
      </c>
      <c r="BC22" s="1171">
        <f t="shared" si="10"/>
        <v>-1.2000000000000028</v>
      </c>
      <c r="BD22" s="1171">
        <f t="shared" si="10"/>
        <v>-1.7000000000000028</v>
      </c>
      <c r="BE22" s="1171">
        <f t="shared" si="10"/>
        <v>-6.0999999999999943</v>
      </c>
      <c r="BF22" s="1171">
        <f t="shared" si="10"/>
        <v>-5.8999999999999915</v>
      </c>
      <c r="BG22" s="1171">
        <f t="shared" si="10"/>
        <v>-6.3999999999999915</v>
      </c>
      <c r="BH22" s="1171">
        <f t="shared" si="10"/>
        <v>-6.3999999999999915</v>
      </c>
      <c r="BI22" s="1171">
        <f t="shared" si="10"/>
        <v>-6.2999999999999972</v>
      </c>
      <c r="BJ22" s="1171">
        <f t="shared" si="10"/>
        <v>-6.1999999999999886</v>
      </c>
      <c r="BK22" s="1171">
        <f t="shared" si="10"/>
        <v>-4.7000000000000028</v>
      </c>
      <c r="BL22" s="1171">
        <f t="shared" si="10"/>
        <v>-5.2000000000000028</v>
      </c>
      <c r="BM22" s="1171">
        <f t="shared" si="10"/>
        <v>-4.7999999999999972</v>
      </c>
      <c r="BN22" s="1171">
        <f t="shared" si="10"/>
        <v>-4.2000000000000028</v>
      </c>
      <c r="BO22" s="1171">
        <f t="shared" si="10"/>
        <v>-4</v>
      </c>
      <c r="BP22" s="1171">
        <f t="shared" si="10"/>
        <v>-3.5999999999999943</v>
      </c>
      <c r="BQ22" s="1171">
        <f t="shared" ref="BQ22:CV22" si="11">BQ5-BQ7</f>
        <v>-14.700000000000003</v>
      </c>
      <c r="BR22" s="1171">
        <f t="shared" si="11"/>
        <v>-14.900000000000006</v>
      </c>
      <c r="BS22" s="1171">
        <f t="shared" si="11"/>
        <v>-23.900000000000006</v>
      </c>
      <c r="BT22" s="1171">
        <f t="shared" si="11"/>
        <v>-23.900000000000006</v>
      </c>
      <c r="BU22" s="1171">
        <f t="shared" si="11"/>
        <v>-23.800000000000011</v>
      </c>
      <c r="BV22" s="1171">
        <f t="shared" si="11"/>
        <v>-23.100000000000009</v>
      </c>
      <c r="BW22" s="1171">
        <f t="shared" si="11"/>
        <v>-18.800000000000011</v>
      </c>
      <c r="BX22" s="1171">
        <f t="shared" si="11"/>
        <v>-18.900000000000006</v>
      </c>
      <c r="BY22" s="1171">
        <f t="shared" si="11"/>
        <v>-13.899999999999991</v>
      </c>
      <c r="BZ22" s="1171">
        <f t="shared" si="11"/>
        <v>-2.5999999999999943</v>
      </c>
      <c r="CA22" s="1171">
        <f t="shared" si="11"/>
        <v>-3.6999999999999886</v>
      </c>
      <c r="CB22" s="1171">
        <f t="shared" si="11"/>
        <v>-3.1999999999999886</v>
      </c>
      <c r="CC22" s="1171">
        <f t="shared" si="11"/>
        <v>-9.5999999999999943</v>
      </c>
      <c r="CD22" s="1171">
        <f t="shared" si="11"/>
        <v>-10.299999999999997</v>
      </c>
      <c r="CE22" s="1171">
        <f t="shared" si="11"/>
        <v>-10</v>
      </c>
      <c r="CF22" s="1171">
        <f t="shared" si="11"/>
        <v>-10.599999999999994</v>
      </c>
      <c r="CG22" s="1171">
        <f t="shared" si="11"/>
        <v>-10.099999999999994</v>
      </c>
      <c r="CH22" s="1171">
        <f t="shared" si="11"/>
        <v>-10.199999999999989</v>
      </c>
      <c r="CI22" s="1171">
        <f t="shared" si="11"/>
        <v>-10.5</v>
      </c>
      <c r="CJ22" s="1171">
        <f t="shared" si="11"/>
        <v>-11.200000000000003</v>
      </c>
      <c r="CK22" s="1171">
        <f t="shared" si="11"/>
        <v>-10.900000000000006</v>
      </c>
      <c r="CL22" s="1171">
        <f t="shared" si="11"/>
        <v>-9.9000000000000057</v>
      </c>
      <c r="CM22" s="1171">
        <f t="shared" si="11"/>
        <v>-9.3000000000000114</v>
      </c>
      <c r="CN22" s="1171">
        <f t="shared" si="11"/>
        <v>-8.9000000000000057</v>
      </c>
      <c r="CO22" s="1171">
        <f t="shared" si="11"/>
        <v>-17.900000000000006</v>
      </c>
      <c r="CP22" s="1171">
        <f t="shared" si="11"/>
        <v>-18.700000000000017</v>
      </c>
      <c r="CQ22" s="1171">
        <f t="shared" si="11"/>
        <v>-18.900000000000006</v>
      </c>
      <c r="CR22" s="1171">
        <f t="shared" si="11"/>
        <v>-18.899999999999991</v>
      </c>
      <c r="CS22" s="1171">
        <f t="shared" si="11"/>
        <v>-18.699999999999989</v>
      </c>
      <c r="CT22" s="1171">
        <f t="shared" si="11"/>
        <v>-18.499999999999986</v>
      </c>
      <c r="CU22" s="1171">
        <f t="shared" si="11"/>
        <v>-17.299999999999983</v>
      </c>
      <c r="CV22" s="1171">
        <f t="shared" si="11"/>
        <v>-18.100000000000009</v>
      </c>
      <c r="CW22" s="1171">
        <f t="shared" ref="CW22:DT22" si="12">CW5-CW7</f>
        <v>-18.000000000000014</v>
      </c>
      <c r="CX22" s="1171">
        <f t="shared" si="12"/>
        <v>-17.100000000000009</v>
      </c>
      <c r="CY22" s="1171">
        <f t="shared" si="12"/>
        <v>-16.700000000000003</v>
      </c>
      <c r="CZ22" s="1171">
        <f t="shared" si="12"/>
        <v>-17</v>
      </c>
      <c r="DA22" s="1171">
        <f t="shared" si="12"/>
        <v>-21.800000000000011</v>
      </c>
      <c r="DB22" s="1171">
        <f t="shared" si="12"/>
        <v>-21.600000000000009</v>
      </c>
      <c r="DC22" s="1171">
        <f t="shared" si="12"/>
        <v>-21.400000000000006</v>
      </c>
      <c r="DD22" s="1171">
        <f t="shared" si="12"/>
        <v>-21.400000000000006</v>
      </c>
      <c r="DE22" s="1171">
        <f t="shared" si="12"/>
        <v>-21.300000000000011</v>
      </c>
      <c r="DF22" s="1171">
        <f t="shared" si="12"/>
        <v>-21.500000000000014</v>
      </c>
      <c r="DG22" s="1171">
        <f t="shared" si="12"/>
        <v>-27.200000000000003</v>
      </c>
      <c r="DH22" s="1171">
        <f t="shared" si="12"/>
        <v>-27.400000000000006</v>
      </c>
      <c r="DI22" s="1171">
        <f t="shared" si="12"/>
        <v>-28.100000000000009</v>
      </c>
      <c r="DJ22" s="1171">
        <f t="shared" si="12"/>
        <v>-26.700000000000017</v>
      </c>
      <c r="DK22" s="1171">
        <f t="shared" si="12"/>
        <v>-26.400000000000006</v>
      </c>
      <c r="DL22" s="1171">
        <f t="shared" si="12"/>
        <v>-25.799999999999983</v>
      </c>
      <c r="DM22" s="1171">
        <f t="shared" si="12"/>
        <v>-30</v>
      </c>
      <c r="DN22" s="1171">
        <f t="shared" si="12"/>
        <v>-29.599999999999994</v>
      </c>
      <c r="DO22" s="1171">
        <f t="shared" si="12"/>
        <v>-30</v>
      </c>
      <c r="DP22" s="1171">
        <f t="shared" si="12"/>
        <v>-30</v>
      </c>
      <c r="DQ22" s="1171">
        <f t="shared" si="12"/>
        <v>-29.799999999999997</v>
      </c>
      <c r="DR22" s="1171">
        <f t="shared" si="12"/>
        <v>-29.700000000000003</v>
      </c>
      <c r="DS22" s="1171">
        <f t="shared" si="12"/>
        <v>-32.700000000000003</v>
      </c>
      <c r="DT22" s="1171">
        <f t="shared" si="12"/>
        <v>-33.599999999999994</v>
      </c>
    </row>
    <row r="23" spans="1:124" x14ac:dyDescent="0.2">
      <c r="C23" s="130"/>
    </row>
    <row r="24" spans="1:124" x14ac:dyDescent="0.2">
      <c r="B24" s="1174"/>
      <c r="C24" s="1177" t="s">
        <v>686</v>
      </c>
      <c r="E24" s="1061">
        <v>1</v>
      </c>
      <c r="F24" s="1061">
        <v>2</v>
      </c>
      <c r="G24" s="1061">
        <v>3</v>
      </c>
      <c r="H24" s="1061">
        <v>4</v>
      </c>
      <c r="I24" s="1061">
        <v>5</v>
      </c>
      <c r="J24" s="1061">
        <v>6</v>
      </c>
      <c r="K24" s="1061">
        <v>7</v>
      </c>
      <c r="L24" s="1061">
        <v>8</v>
      </c>
      <c r="M24" s="1061">
        <v>9</v>
      </c>
      <c r="N24" s="1061">
        <v>10</v>
      </c>
      <c r="O24" s="1061">
        <v>11</v>
      </c>
      <c r="P24" s="1061">
        <v>12</v>
      </c>
      <c r="Q24" s="1061">
        <v>13</v>
      </c>
      <c r="R24" s="1061">
        <v>14</v>
      </c>
      <c r="S24" s="1061">
        <v>15</v>
      </c>
      <c r="T24" s="1061">
        <v>16</v>
      </c>
      <c r="U24" s="1061">
        <v>17</v>
      </c>
      <c r="V24" s="1061">
        <v>18</v>
      </c>
      <c r="W24" s="1061">
        <v>19</v>
      </c>
      <c r="X24" s="1061">
        <v>20</v>
      </c>
      <c r="Y24" s="1061">
        <v>21</v>
      </c>
      <c r="Z24" s="1061">
        <v>22</v>
      </c>
      <c r="AA24" s="1061">
        <v>23</v>
      </c>
      <c r="AB24" s="1061">
        <v>24</v>
      </c>
      <c r="AC24" s="1061">
        <v>25</v>
      </c>
      <c r="AD24" s="1061">
        <v>26</v>
      </c>
      <c r="AE24" s="1061">
        <v>27</v>
      </c>
      <c r="AF24" s="1061">
        <v>28</v>
      </c>
      <c r="AG24" s="1061">
        <v>29</v>
      </c>
      <c r="AH24" s="1061">
        <v>30</v>
      </c>
      <c r="AI24" s="1061">
        <v>31</v>
      </c>
      <c r="AJ24" s="1061">
        <v>32</v>
      </c>
      <c r="AK24" s="1061">
        <v>33</v>
      </c>
      <c r="AL24" s="1061">
        <v>34</v>
      </c>
      <c r="AM24" s="1061">
        <v>35</v>
      </c>
      <c r="AN24" s="1061">
        <v>36</v>
      </c>
      <c r="AO24" s="1061">
        <v>37</v>
      </c>
      <c r="AP24" s="1061">
        <v>38</v>
      </c>
      <c r="AQ24" s="1061">
        <v>39</v>
      </c>
      <c r="AR24" s="1061">
        <v>40</v>
      </c>
      <c r="AS24" s="1061">
        <v>41</v>
      </c>
      <c r="AT24" s="1061">
        <v>42</v>
      </c>
      <c r="AU24" s="1061">
        <v>43</v>
      </c>
      <c r="AV24" s="1061">
        <v>44</v>
      </c>
      <c r="AW24" s="1061">
        <v>45</v>
      </c>
      <c r="AX24" s="1061">
        <v>46</v>
      </c>
      <c r="AY24" s="1061">
        <v>47</v>
      </c>
      <c r="AZ24" s="1061">
        <v>48</v>
      </c>
      <c r="BA24" s="1061">
        <v>49</v>
      </c>
      <c r="BB24" s="1061">
        <v>50</v>
      </c>
      <c r="BC24" s="1061">
        <v>51</v>
      </c>
      <c r="BD24" s="1061">
        <v>52</v>
      </c>
      <c r="BE24" s="1061">
        <v>53</v>
      </c>
      <c r="BF24" s="1061">
        <v>54</v>
      </c>
      <c r="BG24" s="1061">
        <v>55</v>
      </c>
      <c r="BH24" s="1061">
        <v>56</v>
      </c>
      <c r="BI24" s="1061">
        <v>57</v>
      </c>
      <c r="BJ24" s="1061">
        <v>58</v>
      </c>
      <c r="BK24" s="1061">
        <v>59</v>
      </c>
      <c r="BL24" s="1061">
        <v>60</v>
      </c>
      <c r="BM24" s="1061">
        <v>61</v>
      </c>
      <c r="BN24" s="1061">
        <v>62</v>
      </c>
      <c r="BO24" s="1061">
        <v>63</v>
      </c>
      <c r="BP24" s="1061">
        <v>64</v>
      </c>
      <c r="BQ24" s="1061">
        <v>65</v>
      </c>
      <c r="BR24" s="1061">
        <v>66</v>
      </c>
      <c r="BS24" s="1061">
        <v>67</v>
      </c>
      <c r="BT24" s="1061">
        <v>68</v>
      </c>
      <c r="BU24" s="1061">
        <v>69</v>
      </c>
      <c r="BV24" s="1061">
        <v>70</v>
      </c>
      <c r="BW24" s="1061">
        <v>71</v>
      </c>
      <c r="BX24" s="1061">
        <v>72</v>
      </c>
      <c r="BY24" s="1061">
        <v>73</v>
      </c>
      <c r="BZ24" s="1061">
        <v>74</v>
      </c>
      <c r="CA24" s="1061">
        <v>75</v>
      </c>
      <c r="CB24" s="1061">
        <v>76</v>
      </c>
      <c r="CC24" s="1061">
        <v>77</v>
      </c>
      <c r="CD24" s="1061">
        <v>78</v>
      </c>
      <c r="CE24" s="1061">
        <v>79</v>
      </c>
      <c r="CF24" s="1061">
        <v>80</v>
      </c>
      <c r="CG24" s="1061">
        <v>81</v>
      </c>
      <c r="CH24" s="1061">
        <v>82</v>
      </c>
      <c r="CI24" s="1061">
        <v>83</v>
      </c>
      <c r="CJ24" s="1061">
        <v>84</v>
      </c>
      <c r="CK24" s="1061">
        <v>85</v>
      </c>
      <c r="CL24" s="1061">
        <v>86</v>
      </c>
      <c r="CM24" s="1061">
        <v>87</v>
      </c>
      <c r="CN24" s="1061">
        <v>88</v>
      </c>
      <c r="CO24" s="1061">
        <v>89</v>
      </c>
      <c r="CP24" s="1061">
        <v>90</v>
      </c>
      <c r="CQ24" s="1061">
        <v>91</v>
      </c>
      <c r="CR24" s="1061">
        <v>92</v>
      </c>
      <c r="CS24" s="1061">
        <v>93</v>
      </c>
      <c r="CT24" s="1061">
        <v>94</v>
      </c>
      <c r="CU24" s="1061">
        <v>95</v>
      </c>
      <c r="CV24" s="1061">
        <v>96</v>
      </c>
      <c r="CW24" s="1061">
        <v>97</v>
      </c>
      <c r="CX24" s="1061">
        <v>98</v>
      </c>
      <c r="CY24" s="1061">
        <v>99</v>
      </c>
      <c r="CZ24" s="1061">
        <v>100</v>
      </c>
      <c r="DA24" s="1061">
        <v>101</v>
      </c>
      <c r="DB24" s="1061">
        <v>102</v>
      </c>
      <c r="DC24" s="1061">
        <v>103</v>
      </c>
      <c r="DD24" s="1061">
        <v>104</v>
      </c>
      <c r="DE24" s="1061">
        <v>105</v>
      </c>
      <c r="DF24" s="1061">
        <v>106</v>
      </c>
      <c r="DG24" s="1061">
        <v>107</v>
      </c>
      <c r="DH24" s="1061">
        <v>108</v>
      </c>
      <c r="DI24" s="1061">
        <v>109</v>
      </c>
      <c r="DJ24" s="1061">
        <v>110</v>
      </c>
      <c r="DK24" s="1061">
        <v>111</v>
      </c>
      <c r="DL24" s="1061">
        <v>112</v>
      </c>
      <c r="DM24" s="1061">
        <v>113</v>
      </c>
      <c r="DN24" s="1061">
        <v>114</v>
      </c>
      <c r="DO24" s="1061">
        <v>115</v>
      </c>
      <c r="DP24" s="1061">
        <v>116</v>
      </c>
      <c r="DQ24" s="1061">
        <v>117</v>
      </c>
      <c r="DR24" s="1061">
        <v>118</v>
      </c>
      <c r="DS24" s="1061">
        <v>119</v>
      </c>
      <c r="DT24" s="1061">
        <v>120</v>
      </c>
    </row>
    <row r="25" spans="1:124" x14ac:dyDescent="0.2">
      <c r="B25" s="1175" t="s">
        <v>693</v>
      </c>
      <c r="C25" s="1176"/>
      <c r="D25" s="1170"/>
      <c r="E25" s="1171">
        <f>-0.2195*E24+2.4871</f>
        <v>2.2675999999999998</v>
      </c>
      <c r="F25" s="1171">
        <f t="shared" ref="F25:BQ25" si="13">-0.2195*F24+2.4871</f>
        <v>2.0480999999999998</v>
      </c>
      <c r="G25" s="1171">
        <f t="shared" si="13"/>
        <v>1.8285999999999998</v>
      </c>
      <c r="H25" s="1171">
        <f t="shared" si="13"/>
        <v>1.6090999999999998</v>
      </c>
      <c r="I25" s="1171">
        <f t="shared" si="13"/>
        <v>1.3895999999999999</v>
      </c>
      <c r="J25" s="1171">
        <f t="shared" si="13"/>
        <v>1.1700999999999999</v>
      </c>
      <c r="K25" s="1171">
        <f t="shared" si="13"/>
        <v>0.95059999999999989</v>
      </c>
      <c r="L25" s="1171">
        <f t="shared" si="13"/>
        <v>0.73109999999999986</v>
      </c>
      <c r="M25" s="1171">
        <f t="shared" si="13"/>
        <v>0.51159999999999983</v>
      </c>
      <c r="N25" s="1171">
        <f t="shared" si="13"/>
        <v>0.29210000000000003</v>
      </c>
      <c r="O25" s="1171">
        <f t="shared" si="13"/>
        <v>7.2599999999999998E-2</v>
      </c>
      <c r="P25" s="1171">
        <f t="shared" si="13"/>
        <v>-0.14690000000000003</v>
      </c>
      <c r="Q25" s="1171">
        <f t="shared" si="13"/>
        <v>-0.36640000000000006</v>
      </c>
      <c r="R25" s="1171">
        <f t="shared" si="13"/>
        <v>-0.58590000000000009</v>
      </c>
      <c r="S25" s="1171">
        <f t="shared" si="13"/>
        <v>-0.80540000000000012</v>
      </c>
      <c r="T25" s="1171">
        <f t="shared" si="13"/>
        <v>-1.0249000000000001</v>
      </c>
      <c r="U25" s="1171">
        <f t="shared" si="13"/>
        <v>-1.2444000000000002</v>
      </c>
      <c r="V25" s="1171">
        <f t="shared" si="13"/>
        <v>-1.4639000000000002</v>
      </c>
      <c r="W25" s="1171">
        <f t="shared" si="13"/>
        <v>-1.6833999999999998</v>
      </c>
      <c r="X25" s="1171">
        <f t="shared" si="13"/>
        <v>-1.9028999999999998</v>
      </c>
      <c r="Y25" s="1171">
        <f t="shared" si="13"/>
        <v>-2.1223999999999998</v>
      </c>
      <c r="Z25" s="1171">
        <f t="shared" si="13"/>
        <v>-2.3418999999999999</v>
      </c>
      <c r="AA25" s="1171">
        <f t="shared" si="13"/>
        <v>-2.5613999999999999</v>
      </c>
      <c r="AB25" s="1171">
        <f t="shared" si="13"/>
        <v>-2.7808999999999999</v>
      </c>
      <c r="AC25" s="1171">
        <f t="shared" si="13"/>
        <v>-3.0004</v>
      </c>
      <c r="AD25" s="1171">
        <f t="shared" si="13"/>
        <v>-3.2199</v>
      </c>
      <c r="AE25" s="1171">
        <f t="shared" si="13"/>
        <v>-3.4394</v>
      </c>
      <c r="AF25" s="1171">
        <f t="shared" si="13"/>
        <v>-3.6589</v>
      </c>
      <c r="AG25" s="1171">
        <f t="shared" si="13"/>
        <v>-3.8784000000000001</v>
      </c>
      <c r="AH25" s="1171">
        <f t="shared" si="13"/>
        <v>-4.0979000000000001</v>
      </c>
      <c r="AI25" s="1171">
        <f t="shared" si="13"/>
        <v>-4.3174000000000001</v>
      </c>
      <c r="AJ25" s="1171">
        <f t="shared" si="13"/>
        <v>-4.5369000000000002</v>
      </c>
      <c r="AK25" s="1171">
        <f t="shared" si="13"/>
        <v>-4.7564000000000002</v>
      </c>
      <c r="AL25" s="1171">
        <f t="shared" si="13"/>
        <v>-4.9759000000000002</v>
      </c>
      <c r="AM25" s="1171">
        <f t="shared" si="13"/>
        <v>-5.1954000000000002</v>
      </c>
      <c r="AN25" s="1171">
        <f t="shared" si="13"/>
        <v>-5.4149000000000003</v>
      </c>
      <c r="AO25" s="1171">
        <f t="shared" si="13"/>
        <v>-5.6343999999999994</v>
      </c>
      <c r="AP25" s="1171">
        <f t="shared" si="13"/>
        <v>-5.8538999999999994</v>
      </c>
      <c r="AQ25" s="1171">
        <f t="shared" si="13"/>
        <v>-6.0733999999999995</v>
      </c>
      <c r="AR25" s="1171">
        <f t="shared" si="13"/>
        <v>-6.2928999999999995</v>
      </c>
      <c r="AS25" s="1171">
        <f t="shared" si="13"/>
        <v>-6.5123999999999995</v>
      </c>
      <c r="AT25" s="1171">
        <f t="shared" si="13"/>
        <v>-6.7318999999999996</v>
      </c>
      <c r="AU25" s="1171">
        <f t="shared" si="13"/>
        <v>-6.9513999999999996</v>
      </c>
      <c r="AV25" s="1171">
        <f t="shared" si="13"/>
        <v>-7.1708999999999996</v>
      </c>
      <c r="AW25" s="1171">
        <f t="shared" si="13"/>
        <v>-7.3903999999999996</v>
      </c>
      <c r="AX25" s="1171">
        <f t="shared" si="13"/>
        <v>-7.6098999999999997</v>
      </c>
      <c r="AY25" s="1171">
        <f t="shared" si="13"/>
        <v>-7.8293999999999997</v>
      </c>
      <c r="AZ25" s="1171">
        <f t="shared" si="13"/>
        <v>-8.0488999999999997</v>
      </c>
      <c r="BA25" s="1171">
        <f t="shared" si="13"/>
        <v>-8.2683999999999997</v>
      </c>
      <c r="BB25" s="1171">
        <f t="shared" si="13"/>
        <v>-8.4878999999999998</v>
      </c>
      <c r="BC25" s="1171">
        <f t="shared" si="13"/>
        <v>-8.7073999999999998</v>
      </c>
      <c r="BD25" s="1171">
        <f t="shared" si="13"/>
        <v>-8.9268999999999998</v>
      </c>
      <c r="BE25" s="1171">
        <f t="shared" si="13"/>
        <v>-9.1463999999999999</v>
      </c>
      <c r="BF25" s="1171">
        <f t="shared" si="13"/>
        <v>-9.3658999999999999</v>
      </c>
      <c r="BG25" s="1171">
        <f t="shared" si="13"/>
        <v>-9.5853999999999999</v>
      </c>
      <c r="BH25" s="1171">
        <f t="shared" si="13"/>
        <v>-9.8048999999999999</v>
      </c>
      <c r="BI25" s="1171">
        <f t="shared" si="13"/>
        <v>-10.0244</v>
      </c>
      <c r="BJ25" s="1171">
        <f t="shared" si="13"/>
        <v>-10.2439</v>
      </c>
      <c r="BK25" s="1171">
        <f t="shared" si="13"/>
        <v>-10.4634</v>
      </c>
      <c r="BL25" s="1171">
        <f t="shared" si="13"/>
        <v>-10.6829</v>
      </c>
      <c r="BM25" s="1171">
        <f t="shared" si="13"/>
        <v>-10.9024</v>
      </c>
      <c r="BN25" s="1171">
        <f t="shared" si="13"/>
        <v>-11.1219</v>
      </c>
      <c r="BO25" s="1171">
        <f t="shared" si="13"/>
        <v>-11.3414</v>
      </c>
      <c r="BP25" s="1171">
        <f t="shared" si="13"/>
        <v>-11.5609</v>
      </c>
      <c r="BQ25" s="1171">
        <f t="shared" si="13"/>
        <v>-11.7804</v>
      </c>
      <c r="BR25" s="1171">
        <f t="shared" ref="BR25:DT25" si="14">-0.2195*BR24+2.4871</f>
        <v>-11.9999</v>
      </c>
      <c r="BS25" s="1171">
        <f t="shared" si="14"/>
        <v>-12.2194</v>
      </c>
      <c r="BT25" s="1171">
        <f t="shared" si="14"/>
        <v>-12.4389</v>
      </c>
      <c r="BU25" s="1171">
        <f t="shared" si="14"/>
        <v>-12.6584</v>
      </c>
      <c r="BV25" s="1171">
        <f t="shared" si="14"/>
        <v>-12.8779</v>
      </c>
      <c r="BW25" s="1171">
        <f t="shared" si="14"/>
        <v>-13.0974</v>
      </c>
      <c r="BX25" s="1171">
        <f t="shared" si="14"/>
        <v>-13.3169</v>
      </c>
      <c r="BY25" s="1171">
        <f t="shared" si="14"/>
        <v>-13.536399999999999</v>
      </c>
      <c r="BZ25" s="1171">
        <f t="shared" si="14"/>
        <v>-13.755899999999999</v>
      </c>
      <c r="CA25" s="1171">
        <f t="shared" si="14"/>
        <v>-13.975399999999999</v>
      </c>
      <c r="CB25" s="1171">
        <f t="shared" si="14"/>
        <v>-14.194899999999999</v>
      </c>
      <c r="CC25" s="1171">
        <f t="shared" si="14"/>
        <v>-14.414399999999999</v>
      </c>
      <c r="CD25" s="1171">
        <f t="shared" si="14"/>
        <v>-14.633899999999999</v>
      </c>
      <c r="CE25" s="1171">
        <f t="shared" si="14"/>
        <v>-14.853399999999999</v>
      </c>
      <c r="CF25" s="1171">
        <f t="shared" si="14"/>
        <v>-15.072899999999999</v>
      </c>
      <c r="CG25" s="1171">
        <f t="shared" si="14"/>
        <v>-15.292399999999999</v>
      </c>
      <c r="CH25" s="1171">
        <f t="shared" si="14"/>
        <v>-15.511899999999999</v>
      </c>
      <c r="CI25" s="1171">
        <f t="shared" si="14"/>
        <v>-15.731399999999999</v>
      </c>
      <c r="CJ25" s="1171">
        <f t="shared" si="14"/>
        <v>-15.950899999999999</v>
      </c>
      <c r="CK25" s="1171">
        <f t="shared" si="14"/>
        <v>-16.170400000000001</v>
      </c>
      <c r="CL25" s="1171">
        <f t="shared" si="14"/>
        <v>-16.389899999999997</v>
      </c>
      <c r="CM25" s="1171">
        <f t="shared" si="14"/>
        <v>-16.609400000000001</v>
      </c>
      <c r="CN25" s="1171">
        <f t="shared" si="14"/>
        <v>-16.828899999999997</v>
      </c>
      <c r="CO25" s="1171">
        <f t="shared" si="14"/>
        <v>-17.048400000000001</v>
      </c>
      <c r="CP25" s="1171">
        <f t="shared" si="14"/>
        <v>-17.267899999999997</v>
      </c>
      <c r="CQ25" s="1171">
        <f t="shared" si="14"/>
        <v>-17.487400000000001</v>
      </c>
      <c r="CR25" s="1171">
        <f t="shared" si="14"/>
        <v>-17.706899999999997</v>
      </c>
      <c r="CS25" s="1171">
        <f t="shared" si="14"/>
        <v>-17.926400000000001</v>
      </c>
      <c r="CT25" s="1171">
        <f t="shared" si="14"/>
        <v>-18.145899999999997</v>
      </c>
      <c r="CU25" s="1171">
        <f t="shared" si="14"/>
        <v>-18.365400000000001</v>
      </c>
      <c r="CV25" s="1171">
        <f t="shared" si="14"/>
        <v>-18.584899999999998</v>
      </c>
      <c r="CW25" s="1171">
        <f t="shared" si="14"/>
        <v>-18.804400000000001</v>
      </c>
      <c r="CX25" s="1171">
        <f t="shared" si="14"/>
        <v>-19.023899999999998</v>
      </c>
      <c r="CY25" s="1171">
        <f t="shared" si="14"/>
        <v>-19.243400000000001</v>
      </c>
      <c r="CZ25" s="1171">
        <f t="shared" si="14"/>
        <v>-19.462899999999998</v>
      </c>
      <c r="DA25" s="1171">
        <f t="shared" si="14"/>
        <v>-19.682400000000001</v>
      </c>
      <c r="DB25" s="1171">
        <f t="shared" si="14"/>
        <v>-19.901899999999998</v>
      </c>
      <c r="DC25" s="1171">
        <f t="shared" si="14"/>
        <v>-20.121400000000001</v>
      </c>
      <c r="DD25" s="1171">
        <f t="shared" si="14"/>
        <v>-20.340899999999998</v>
      </c>
      <c r="DE25" s="1171">
        <f t="shared" si="14"/>
        <v>-20.560400000000001</v>
      </c>
      <c r="DF25" s="1171">
        <f t="shared" si="14"/>
        <v>-20.779899999999998</v>
      </c>
      <c r="DG25" s="1171">
        <f t="shared" si="14"/>
        <v>-20.999400000000001</v>
      </c>
      <c r="DH25" s="1171">
        <f t="shared" si="14"/>
        <v>-21.218899999999998</v>
      </c>
      <c r="DI25" s="1171">
        <f t="shared" si="14"/>
        <v>-21.438400000000001</v>
      </c>
      <c r="DJ25" s="1171">
        <f t="shared" si="14"/>
        <v>-21.657899999999998</v>
      </c>
      <c r="DK25" s="1171">
        <f t="shared" si="14"/>
        <v>-21.877400000000002</v>
      </c>
      <c r="DL25" s="1171">
        <f t="shared" si="14"/>
        <v>-22.096899999999998</v>
      </c>
      <c r="DM25" s="1171">
        <f t="shared" si="14"/>
        <v>-22.316400000000002</v>
      </c>
      <c r="DN25" s="1171">
        <f t="shared" si="14"/>
        <v>-22.535899999999998</v>
      </c>
      <c r="DO25" s="1171">
        <f t="shared" si="14"/>
        <v>-22.755400000000002</v>
      </c>
      <c r="DP25" s="1171">
        <f t="shared" si="14"/>
        <v>-22.974899999999998</v>
      </c>
      <c r="DQ25" s="1171">
        <f t="shared" si="14"/>
        <v>-23.194400000000002</v>
      </c>
      <c r="DR25" s="1171">
        <f t="shared" si="14"/>
        <v>-23.413899999999998</v>
      </c>
      <c r="DS25" s="1171">
        <f t="shared" si="14"/>
        <v>-23.633400000000002</v>
      </c>
      <c r="DT25" s="1171">
        <f t="shared" si="14"/>
        <v>-23.852899999999998</v>
      </c>
    </row>
    <row r="27" spans="1:124" x14ac:dyDescent="0.2">
      <c r="A27" t="s">
        <v>677</v>
      </c>
      <c r="B27" t="s">
        <v>687</v>
      </c>
      <c r="C27" t="s">
        <v>688</v>
      </c>
      <c r="E27" s="1166">
        <f>E5/D5-1</f>
        <v>-1.8993352326686086E-3</v>
      </c>
      <c r="F27" s="1166">
        <f t="shared" ref="F27:AJ27" si="15">F5/E5-1</f>
        <v>6.6603235014273121E-3</v>
      </c>
      <c r="G27" s="1166">
        <f t="shared" si="15"/>
        <v>5.6710775047259521E-3</v>
      </c>
      <c r="H27" s="1166">
        <f t="shared" si="15"/>
        <v>9.3984962406001848E-4</v>
      </c>
      <c r="I27" s="1166">
        <f t="shared" si="15"/>
        <v>9.3896713615015948E-4</v>
      </c>
      <c r="J27" s="1166">
        <f t="shared" si="15"/>
        <v>1.8761726078799779E-3</v>
      </c>
      <c r="K27" s="1166">
        <f t="shared" si="15"/>
        <v>9.3632958801515009E-4</v>
      </c>
      <c r="L27" s="1166">
        <f t="shared" si="15"/>
        <v>5.6127221702524377E-3</v>
      </c>
      <c r="M27" s="1166">
        <f t="shared" si="15"/>
        <v>6.5116279069767913E-3</v>
      </c>
      <c r="N27" s="1166">
        <f t="shared" si="15"/>
        <v>-4.6210720887245316E-3</v>
      </c>
      <c r="O27" s="1166">
        <f t="shared" si="15"/>
        <v>-1.8570102135562205E-3</v>
      </c>
      <c r="P27" s="1166">
        <f t="shared" si="15"/>
        <v>9.3023255813950989E-4</v>
      </c>
      <c r="Q27" s="1166">
        <f t="shared" si="15"/>
        <v>5.5762081784387352E-3</v>
      </c>
      <c r="R27" s="1166">
        <f t="shared" si="15"/>
        <v>-2.7726432532346745E-3</v>
      </c>
      <c r="S27" s="1166">
        <f t="shared" si="15"/>
        <v>8.3410565338275511E-3</v>
      </c>
      <c r="T27" s="1166">
        <f t="shared" si="15"/>
        <v>2.7573529411764053E-3</v>
      </c>
      <c r="U27" s="1166">
        <f t="shared" si="15"/>
        <v>3.6663611365719273E-3</v>
      </c>
      <c r="V27" s="1166">
        <f t="shared" si="15"/>
        <v>-1.8264840182649067E-3</v>
      </c>
      <c r="W27" s="1166">
        <f t="shared" si="15"/>
        <v>-2.7447392497712553E-3</v>
      </c>
      <c r="X27" s="1166">
        <f t="shared" si="15"/>
        <v>9.1743119266052275E-4</v>
      </c>
      <c r="Y27" s="1166">
        <f t="shared" si="15"/>
        <v>-5.499541704857891E-3</v>
      </c>
      <c r="Z27" s="1166">
        <f t="shared" si="15"/>
        <v>-9.216589861750224E-4</v>
      </c>
      <c r="AA27" s="1166">
        <f t="shared" si="15"/>
        <v>1.8450184501843658E-3</v>
      </c>
      <c r="AB27" s="1166">
        <f t="shared" si="15"/>
        <v>1.8416206261511192E-3</v>
      </c>
      <c r="AC27" s="1166">
        <f t="shared" si="15"/>
        <v>-1.8382352941176405E-3</v>
      </c>
      <c r="AD27" s="1166">
        <f t="shared" si="15"/>
        <v>1.0128913443830712E-2</v>
      </c>
      <c r="AE27" s="1166">
        <f t="shared" si="15"/>
        <v>1.0027347310847645E-2</v>
      </c>
      <c r="AF27" s="1166">
        <f t="shared" si="15"/>
        <v>2.7075812274368616E-3</v>
      </c>
      <c r="AG27" s="1166">
        <f t="shared" si="15"/>
        <v>4.5004500450045448E-3</v>
      </c>
      <c r="AH27" s="1166">
        <f t="shared" si="15"/>
        <v>-4.4802867383512135E-3</v>
      </c>
      <c r="AI27" s="1166">
        <f t="shared" si="15"/>
        <v>0</v>
      </c>
      <c r="AJ27" s="1166">
        <f t="shared" si="15"/>
        <v>-1.8001800180017513E-3</v>
      </c>
      <c r="AK27" s="1166">
        <f t="shared" ref="AK27:BP27" si="16">AK5/AJ5-1</f>
        <v>9.0171325518473289E-4</v>
      </c>
      <c r="AL27" s="1166">
        <f t="shared" si="16"/>
        <v>-9.009009009008917E-4</v>
      </c>
      <c r="AM27" s="1166">
        <f t="shared" si="16"/>
        <v>2.7051397655544207E-3</v>
      </c>
      <c r="AN27" s="1166">
        <f t="shared" si="16"/>
        <v>-8.9928057553967378E-4</v>
      </c>
      <c r="AO27" s="1166">
        <f t="shared" si="16"/>
        <v>-1.8001800180017513E-3</v>
      </c>
      <c r="AP27" s="1166">
        <f t="shared" si="16"/>
        <v>4.5085662759243306E-3</v>
      </c>
      <c r="AQ27" s="1166">
        <f t="shared" si="16"/>
        <v>2.6929982046677292E-3</v>
      </c>
      <c r="AR27" s="1166">
        <f t="shared" si="16"/>
        <v>7.1620411817368002E-3</v>
      </c>
      <c r="AS27" s="1166">
        <f t="shared" si="16"/>
        <v>9.7777777777776631E-3</v>
      </c>
      <c r="AT27" s="1166">
        <f t="shared" si="16"/>
        <v>5.2816901408452299E-3</v>
      </c>
      <c r="AU27" s="1166">
        <f t="shared" si="16"/>
        <v>7.8809106830122211E-3</v>
      </c>
      <c r="AV27" s="1166">
        <f t="shared" si="16"/>
        <v>-2.6064291920069316E-3</v>
      </c>
      <c r="AW27" s="1166">
        <f t="shared" si="16"/>
        <v>2.6132404181185009E-3</v>
      </c>
      <c r="AX27" s="1166">
        <f t="shared" si="16"/>
        <v>-1.2163336229365718E-2</v>
      </c>
      <c r="AY27" s="1166">
        <f t="shared" si="16"/>
        <v>-1.7590149516271136E-3</v>
      </c>
      <c r="AZ27" s="1166">
        <f t="shared" si="16"/>
        <v>-6.1674008810572722E-3</v>
      </c>
      <c r="BA27" s="1166">
        <f t="shared" si="16"/>
        <v>-3.5460992907800915E-3</v>
      </c>
      <c r="BB27" s="1166">
        <f t="shared" si="16"/>
        <v>6.2277580071172789E-3</v>
      </c>
      <c r="BC27" s="1166">
        <f t="shared" si="16"/>
        <v>5.3050397877985045E-3</v>
      </c>
      <c r="BD27" s="1166">
        <f t="shared" si="16"/>
        <v>-4.3975373790676731E-3</v>
      </c>
      <c r="BE27" s="1166">
        <f t="shared" si="16"/>
        <v>7.0671378091873294E-3</v>
      </c>
      <c r="BF27" s="1166">
        <f t="shared" si="16"/>
        <v>1.7543859649122862E-3</v>
      </c>
      <c r="BG27" s="1166">
        <f t="shared" si="16"/>
        <v>-4.3782837127845919E-3</v>
      </c>
      <c r="BH27" s="1166">
        <f t="shared" si="16"/>
        <v>0</v>
      </c>
      <c r="BI27" s="1166">
        <f t="shared" si="16"/>
        <v>8.7950747581344579E-4</v>
      </c>
      <c r="BJ27" s="1166">
        <f t="shared" si="16"/>
        <v>8.7873462214416165E-4</v>
      </c>
      <c r="BK27" s="1166">
        <f t="shared" si="16"/>
        <v>6.1457418788410934E-3</v>
      </c>
      <c r="BL27" s="1166">
        <f t="shared" si="16"/>
        <v>-4.3630017452006564E-3</v>
      </c>
      <c r="BM27" s="1166">
        <f t="shared" si="16"/>
        <v>3.5056967572304476E-3</v>
      </c>
      <c r="BN27" s="1166">
        <f t="shared" si="16"/>
        <v>5.2401746724890508E-3</v>
      </c>
      <c r="BO27" s="1166">
        <f t="shared" si="16"/>
        <v>1.7376194613381024E-3</v>
      </c>
      <c r="BP27" s="1166">
        <f t="shared" si="16"/>
        <v>3.4692107545533091E-3</v>
      </c>
      <c r="BQ27" s="1166">
        <f t="shared" ref="BQ27:CV27" si="17">BQ5/BP5-1</f>
        <v>4.321521175453702E-3</v>
      </c>
      <c r="BR27" s="1166">
        <f t="shared" si="17"/>
        <v>-1.7211703958691649E-3</v>
      </c>
      <c r="BS27" s="1166">
        <f t="shared" si="17"/>
        <v>8.6206896551723755E-3</v>
      </c>
      <c r="BT27" s="1166">
        <f t="shared" si="17"/>
        <v>0</v>
      </c>
      <c r="BU27" s="1166">
        <f t="shared" si="17"/>
        <v>8.5470085470085166E-4</v>
      </c>
      <c r="BV27" s="1166">
        <f t="shared" si="17"/>
        <v>5.9777967549103916E-3</v>
      </c>
      <c r="BW27" s="1166">
        <f t="shared" si="17"/>
        <v>1.6977928692700761E-3</v>
      </c>
      <c r="BX27" s="1166">
        <f t="shared" si="17"/>
        <v>-8.474576271185752E-4</v>
      </c>
      <c r="BY27" s="1166">
        <f t="shared" si="17"/>
        <v>-8.4817642069556776E-4</v>
      </c>
      <c r="BZ27" s="1166">
        <f t="shared" si="17"/>
        <v>1.6977928692700761E-3</v>
      </c>
      <c r="CA27" s="1166">
        <f t="shared" si="17"/>
        <v>1.1864406779661163E-2</v>
      </c>
      <c r="CB27" s="1166">
        <f t="shared" si="17"/>
        <v>4.1876046901172526E-3</v>
      </c>
      <c r="CC27" s="1166">
        <f t="shared" si="17"/>
        <v>8.340283569641338E-3</v>
      </c>
      <c r="CD27" s="1166">
        <f t="shared" si="17"/>
        <v>-5.789909015715522E-3</v>
      </c>
      <c r="CE27" s="1166">
        <f t="shared" si="17"/>
        <v>2.4958402662229595E-3</v>
      </c>
      <c r="CF27" s="1166">
        <f t="shared" si="17"/>
        <v>8.2987551867219622E-4</v>
      </c>
      <c r="CG27" s="1166">
        <f t="shared" si="17"/>
        <v>4.1459369817578029E-3</v>
      </c>
      <c r="CH27" s="1166">
        <f t="shared" si="17"/>
        <v>-8.2576383154409072E-4</v>
      </c>
      <c r="CI27" s="1166">
        <f t="shared" si="17"/>
        <v>0</v>
      </c>
      <c r="CJ27" s="1166">
        <f t="shared" si="17"/>
        <v>-5.7851239669421961E-3</v>
      </c>
      <c r="CK27" s="1166">
        <f t="shared" si="17"/>
        <v>2.4937655860348684E-3</v>
      </c>
      <c r="CL27" s="1166">
        <f t="shared" si="17"/>
        <v>6.6334991708127955E-3</v>
      </c>
      <c r="CM27" s="1166">
        <f t="shared" si="17"/>
        <v>4.9423393739702615E-3</v>
      </c>
      <c r="CN27" s="1166">
        <f t="shared" si="17"/>
        <v>3.2786885245901232E-3</v>
      </c>
      <c r="CO27" s="1166">
        <f t="shared" si="17"/>
        <v>0</v>
      </c>
      <c r="CP27" s="1166">
        <f t="shared" si="17"/>
        <v>-6.5359477124183885E-3</v>
      </c>
      <c r="CQ27" s="1166">
        <f t="shared" si="17"/>
        <v>-1.6447368421051989E-3</v>
      </c>
      <c r="CR27" s="1166">
        <f t="shared" si="17"/>
        <v>3.2948929159801743E-3</v>
      </c>
      <c r="CS27" s="1166">
        <f t="shared" si="17"/>
        <v>1.6420361247948545E-3</v>
      </c>
      <c r="CT27" s="1166">
        <f t="shared" si="17"/>
        <v>1.6393442622950616E-3</v>
      </c>
      <c r="CU27" s="1166">
        <f t="shared" si="17"/>
        <v>-2.4549918166939522E-3</v>
      </c>
      <c r="CV27" s="1166">
        <f t="shared" si="17"/>
        <v>-4.9220672682527278E-3</v>
      </c>
      <c r="CW27" s="1166">
        <f t="shared" ref="CW27:DT27" si="18">CW5/CV5-1</f>
        <v>0</v>
      </c>
      <c r="CX27" s="1166">
        <f t="shared" si="18"/>
        <v>1.2366034624897049E-2</v>
      </c>
      <c r="CY27" s="1166">
        <f t="shared" si="18"/>
        <v>3.2573289902280145E-3</v>
      </c>
      <c r="CZ27" s="1166">
        <f t="shared" si="18"/>
        <v>-2.4350649350649567E-3</v>
      </c>
      <c r="DA27" s="1166">
        <f t="shared" si="18"/>
        <v>8.1366965012197312E-4</v>
      </c>
      <c r="DB27" s="1166">
        <f t="shared" si="18"/>
        <v>1.6260162601626771E-3</v>
      </c>
      <c r="DC27" s="1166">
        <f t="shared" si="18"/>
        <v>1.6233766233766378E-3</v>
      </c>
      <c r="DD27" s="1166">
        <f t="shared" si="18"/>
        <v>0</v>
      </c>
      <c r="DE27" s="1166">
        <f t="shared" si="18"/>
        <v>8.103727714747766E-4</v>
      </c>
      <c r="DF27" s="1166">
        <f t="shared" si="18"/>
        <v>-1.6194331983805377E-3</v>
      </c>
      <c r="DG27" s="1166">
        <f t="shared" si="18"/>
        <v>0</v>
      </c>
      <c r="DH27" s="1166">
        <f t="shared" si="18"/>
        <v>-1.6220600162206722E-3</v>
      </c>
      <c r="DI27" s="1166">
        <f t="shared" si="18"/>
        <v>1.6246953696181787E-3</v>
      </c>
      <c r="DJ27" s="1166">
        <f t="shared" si="18"/>
        <v>1.0543390105433925E-2</v>
      </c>
      <c r="DK27" s="1166">
        <f t="shared" si="18"/>
        <v>4.0128410914928025E-3</v>
      </c>
      <c r="DL27" s="1166">
        <f t="shared" si="18"/>
        <v>6.3948840927259276E-3</v>
      </c>
      <c r="DM27" s="1166">
        <f t="shared" si="18"/>
        <v>4.7656870532168938E-3</v>
      </c>
      <c r="DN27" s="1166">
        <f t="shared" si="18"/>
        <v>3.1620553359683612E-3</v>
      </c>
      <c r="DO27" s="1166">
        <f t="shared" si="18"/>
        <v>-3.1520882584712417E-3</v>
      </c>
      <c r="DP27" s="1166">
        <f t="shared" si="18"/>
        <v>0</v>
      </c>
      <c r="DQ27" s="1166">
        <f t="shared" si="18"/>
        <v>1.5810276679841806E-3</v>
      </c>
      <c r="DR27" s="1166">
        <f t="shared" si="18"/>
        <v>7.8926598263606706E-4</v>
      </c>
      <c r="DS27" s="1166">
        <f t="shared" si="18"/>
        <v>-3.9432176656151174E-3</v>
      </c>
      <c r="DT27" s="1166">
        <f t="shared" si="18"/>
        <v>-7.1258907363419555E-3</v>
      </c>
    </row>
    <row r="28" spans="1:124" x14ac:dyDescent="0.2">
      <c r="A28" t="s">
        <v>677</v>
      </c>
      <c r="B28" t="s">
        <v>689</v>
      </c>
      <c r="C28" t="s">
        <v>690</v>
      </c>
      <c r="E28" s="1166">
        <f>E7/D7-1</f>
        <v>0</v>
      </c>
      <c r="F28" s="1166">
        <f t="shared" ref="F28:AJ28" si="19">F7/E7-1</f>
        <v>0</v>
      </c>
      <c r="G28" s="1166">
        <f t="shared" si="19"/>
        <v>0</v>
      </c>
      <c r="H28" s="1166">
        <f t="shared" si="19"/>
        <v>6.6091954022988508E-2</v>
      </c>
      <c r="I28" s="1166">
        <f t="shared" si="19"/>
        <v>0</v>
      </c>
      <c r="J28" s="1166">
        <f t="shared" si="19"/>
        <v>0</v>
      </c>
      <c r="K28" s="1166">
        <f t="shared" si="19"/>
        <v>0</v>
      </c>
      <c r="L28" s="1166">
        <f t="shared" si="19"/>
        <v>0</v>
      </c>
      <c r="M28" s="1166">
        <f t="shared" si="19"/>
        <v>0</v>
      </c>
      <c r="N28" s="1166">
        <f t="shared" si="19"/>
        <v>0</v>
      </c>
      <c r="O28" s="1166">
        <f t="shared" si="19"/>
        <v>-6.2893081761006275E-3</v>
      </c>
      <c r="P28" s="1166">
        <f t="shared" si="19"/>
        <v>-2.6220614828209698E-2</v>
      </c>
      <c r="Q28" s="1166">
        <f t="shared" si="19"/>
        <v>2.6926648096564421E-2</v>
      </c>
      <c r="R28" s="1166">
        <f t="shared" si="19"/>
        <v>0</v>
      </c>
      <c r="S28" s="1166">
        <f t="shared" si="19"/>
        <v>0</v>
      </c>
      <c r="T28" s="1166">
        <f t="shared" si="19"/>
        <v>0</v>
      </c>
      <c r="U28" s="1166">
        <f t="shared" si="19"/>
        <v>0.11030741410488254</v>
      </c>
      <c r="V28" s="1166">
        <f t="shared" si="19"/>
        <v>0</v>
      </c>
      <c r="W28" s="1166">
        <f t="shared" si="19"/>
        <v>-8.9576547231270398E-3</v>
      </c>
      <c r="X28" s="1166">
        <f t="shared" si="19"/>
        <v>0</v>
      </c>
      <c r="Y28" s="1166">
        <f t="shared" si="19"/>
        <v>0</v>
      </c>
      <c r="Z28" s="1166">
        <f t="shared" si="19"/>
        <v>0</v>
      </c>
      <c r="AA28" s="1166">
        <f t="shared" si="19"/>
        <v>-4.8479868529170189E-2</v>
      </c>
      <c r="AB28" s="1166">
        <f t="shared" si="19"/>
        <v>0</v>
      </c>
      <c r="AC28" s="1166">
        <f t="shared" si="19"/>
        <v>0</v>
      </c>
      <c r="AD28" s="1166">
        <f t="shared" si="19"/>
        <v>0</v>
      </c>
      <c r="AE28" s="1166">
        <f t="shared" si="19"/>
        <v>0</v>
      </c>
      <c r="AF28" s="1166">
        <f t="shared" si="19"/>
        <v>0</v>
      </c>
      <c r="AG28" s="1166">
        <f t="shared" si="19"/>
        <v>7.7720207253886286E-3</v>
      </c>
      <c r="AH28" s="1166">
        <f t="shared" si="19"/>
        <v>0</v>
      </c>
      <c r="AI28" s="1166">
        <f t="shared" si="19"/>
        <v>0</v>
      </c>
      <c r="AJ28" s="1166">
        <f t="shared" si="19"/>
        <v>0</v>
      </c>
      <c r="AK28" s="1166">
        <f t="shared" ref="AK28:BP28" si="20">AK7/AJ7-1</f>
        <v>0</v>
      </c>
      <c r="AL28" s="1166">
        <f t="shared" si="20"/>
        <v>0</v>
      </c>
      <c r="AM28" s="1166">
        <f t="shared" si="20"/>
        <v>-4.3701799485861281E-2</v>
      </c>
      <c r="AN28" s="1166">
        <f t="shared" si="20"/>
        <v>0</v>
      </c>
      <c r="AO28" s="1166">
        <f t="shared" si="20"/>
        <v>-9.8566308243727141E-3</v>
      </c>
      <c r="AP28" s="1166">
        <f t="shared" si="20"/>
        <v>0</v>
      </c>
      <c r="AQ28" s="1166">
        <f t="shared" si="20"/>
        <v>0</v>
      </c>
      <c r="AR28" s="1166">
        <f t="shared" si="20"/>
        <v>0</v>
      </c>
      <c r="AS28" s="1166">
        <f t="shared" si="20"/>
        <v>4.5248868778280382E-3</v>
      </c>
      <c r="AT28" s="1166">
        <f t="shared" si="20"/>
        <v>0</v>
      </c>
      <c r="AU28" s="1166">
        <f t="shared" si="20"/>
        <v>0</v>
      </c>
      <c r="AV28" s="1166">
        <f t="shared" si="20"/>
        <v>0</v>
      </c>
      <c r="AW28" s="1166">
        <f t="shared" si="20"/>
        <v>0</v>
      </c>
      <c r="AX28" s="1166">
        <f t="shared" si="20"/>
        <v>0</v>
      </c>
      <c r="AY28" s="1166">
        <f t="shared" si="20"/>
        <v>3.513513513513522E-2</v>
      </c>
      <c r="AZ28" s="1166">
        <f t="shared" si="20"/>
        <v>0</v>
      </c>
      <c r="BA28" s="1166">
        <f t="shared" si="20"/>
        <v>0</v>
      </c>
      <c r="BB28" s="1166">
        <f t="shared" si="20"/>
        <v>0</v>
      </c>
      <c r="BC28" s="1166">
        <f t="shared" si="20"/>
        <v>0</v>
      </c>
      <c r="BD28" s="1166">
        <f t="shared" si="20"/>
        <v>0</v>
      </c>
      <c r="BE28" s="1166">
        <f t="shared" si="20"/>
        <v>4.5256744995648246E-2</v>
      </c>
      <c r="BF28" s="1166">
        <f t="shared" si="20"/>
        <v>0</v>
      </c>
      <c r="BG28" s="1166">
        <f t="shared" si="20"/>
        <v>0</v>
      </c>
      <c r="BH28" s="1166">
        <f t="shared" si="20"/>
        <v>0</v>
      </c>
      <c r="BI28" s="1166">
        <f t="shared" si="20"/>
        <v>0</v>
      </c>
      <c r="BJ28" s="1166">
        <f t="shared" si="20"/>
        <v>0</v>
      </c>
      <c r="BK28" s="1166">
        <f t="shared" si="20"/>
        <v>-6.6611157368858809E-3</v>
      </c>
      <c r="BL28" s="1166">
        <f t="shared" si="20"/>
        <v>0</v>
      </c>
      <c r="BM28" s="1166">
        <f t="shared" si="20"/>
        <v>0</v>
      </c>
      <c r="BN28" s="1166">
        <f t="shared" si="20"/>
        <v>0</v>
      </c>
      <c r="BO28" s="1166">
        <f t="shared" si="20"/>
        <v>0</v>
      </c>
      <c r="BP28" s="1166">
        <f t="shared" si="20"/>
        <v>0</v>
      </c>
      <c r="BQ28" s="1166">
        <f t="shared" ref="BQ28:CV28" si="21">BQ7/BP7-1</f>
        <v>9.7233864207879384E-2</v>
      </c>
      <c r="BR28" s="1166">
        <f t="shared" si="21"/>
        <v>0</v>
      </c>
      <c r="BS28" s="1166">
        <f t="shared" si="21"/>
        <v>7.6394194041252916E-2</v>
      </c>
      <c r="BT28" s="1166">
        <f t="shared" si="21"/>
        <v>0</v>
      </c>
      <c r="BU28" s="1166">
        <f t="shared" si="21"/>
        <v>0</v>
      </c>
      <c r="BV28" s="1166">
        <f t="shared" si="21"/>
        <v>0</v>
      </c>
      <c r="BW28" s="1166">
        <f t="shared" si="21"/>
        <v>-2.9098651525904851E-2</v>
      </c>
      <c r="BX28" s="1166">
        <f t="shared" si="21"/>
        <v>0</v>
      </c>
      <c r="BY28" s="1166">
        <f t="shared" si="21"/>
        <v>-3.7280701754386136E-2</v>
      </c>
      <c r="BZ28" s="1166">
        <f t="shared" si="21"/>
        <v>-8.4282460136674175E-2</v>
      </c>
      <c r="CA28" s="1166">
        <f t="shared" si="21"/>
        <v>2.0729684908789459E-2</v>
      </c>
      <c r="CB28" s="1166">
        <f t="shared" si="21"/>
        <v>0</v>
      </c>
      <c r="CC28" s="1166">
        <f t="shared" si="21"/>
        <v>6.0113728675873279E-2</v>
      </c>
      <c r="CD28" s="1166">
        <f t="shared" si="21"/>
        <v>0</v>
      </c>
      <c r="CE28" s="1166">
        <f t="shared" si="21"/>
        <v>0</v>
      </c>
      <c r="CF28" s="1166">
        <f t="shared" si="21"/>
        <v>5.3639846743294139E-3</v>
      </c>
      <c r="CG28" s="1166">
        <f t="shared" si="21"/>
        <v>0</v>
      </c>
      <c r="CH28" s="1166">
        <f t="shared" si="21"/>
        <v>0</v>
      </c>
      <c r="CI28" s="1166">
        <f t="shared" si="21"/>
        <v>2.2865853658537993E-3</v>
      </c>
      <c r="CJ28" s="1166">
        <f t="shared" si="21"/>
        <v>0</v>
      </c>
      <c r="CK28" s="1166">
        <f t="shared" si="21"/>
        <v>0</v>
      </c>
      <c r="CL28" s="1166">
        <f t="shared" si="21"/>
        <v>-1.5209125475283969E-3</v>
      </c>
      <c r="CM28" s="1166">
        <f t="shared" si="21"/>
        <v>0</v>
      </c>
      <c r="CN28" s="1166">
        <f t="shared" si="21"/>
        <v>0</v>
      </c>
      <c r="CO28" s="1166">
        <f t="shared" si="21"/>
        <v>6.854531607006864E-2</v>
      </c>
      <c r="CP28" s="1166">
        <f t="shared" si="21"/>
        <v>0</v>
      </c>
      <c r="CQ28" s="1166">
        <f t="shared" si="21"/>
        <v>0</v>
      </c>
      <c r="CR28" s="1166">
        <f t="shared" si="21"/>
        <v>2.8510334996434405E-3</v>
      </c>
      <c r="CS28" s="1166">
        <f t="shared" si="21"/>
        <v>0</v>
      </c>
      <c r="CT28" s="1166">
        <f t="shared" si="21"/>
        <v>0</v>
      </c>
      <c r="CU28" s="1166">
        <f t="shared" si="21"/>
        <v>-1.0660980810234588E-2</v>
      </c>
      <c r="CV28" s="1166">
        <f t="shared" si="21"/>
        <v>1.436781609195581E-3</v>
      </c>
      <c r="CW28" s="1166">
        <f t="shared" ref="CW28:DT28" si="22">CW7/CV7-1</f>
        <v>-7.1736011477763206E-4</v>
      </c>
      <c r="CX28" s="1166">
        <f t="shared" si="22"/>
        <v>4.3072505384063042E-3</v>
      </c>
      <c r="CY28" s="1166">
        <f t="shared" si="22"/>
        <v>0</v>
      </c>
      <c r="CZ28" s="1166">
        <f t="shared" si="22"/>
        <v>0</v>
      </c>
      <c r="DA28" s="1166">
        <f t="shared" si="22"/>
        <v>3.5025017869907193E-2</v>
      </c>
      <c r="DB28" s="1166">
        <f t="shared" si="22"/>
        <v>0</v>
      </c>
      <c r="DC28" s="1166">
        <f t="shared" si="22"/>
        <v>0</v>
      </c>
      <c r="DD28" s="1166">
        <f t="shared" si="22"/>
        <v>0</v>
      </c>
      <c r="DE28" s="1166">
        <f t="shared" si="22"/>
        <v>0</v>
      </c>
      <c r="DF28" s="1166">
        <f t="shared" si="22"/>
        <v>0</v>
      </c>
      <c r="DG28" s="1166">
        <f t="shared" si="22"/>
        <v>3.9364640883977842E-2</v>
      </c>
      <c r="DH28" s="1166">
        <f t="shared" si="22"/>
        <v>0</v>
      </c>
      <c r="DI28" s="1166">
        <f t="shared" si="22"/>
        <v>5.9800664451827856E-3</v>
      </c>
      <c r="DJ28" s="1166">
        <f t="shared" si="22"/>
        <v>-6.6050198150591211E-4</v>
      </c>
      <c r="DK28" s="1166">
        <f t="shared" si="22"/>
        <v>1.3218770654328527E-3</v>
      </c>
      <c r="DL28" s="1166">
        <f t="shared" si="22"/>
        <v>1.3201320132012473E-3</v>
      </c>
      <c r="DM28" s="1166">
        <f t="shared" si="22"/>
        <v>3.1641397495056012E-2</v>
      </c>
      <c r="DN28" s="1166">
        <f t="shared" si="22"/>
        <v>0</v>
      </c>
      <c r="DO28" s="1166">
        <f t="shared" si="22"/>
        <v>0</v>
      </c>
      <c r="DP28" s="1166">
        <f t="shared" si="22"/>
        <v>0</v>
      </c>
      <c r="DQ28" s="1166">
        <f t="shared" si="22"/>
        <v>0</v>
      </c>
      <c r="DR28" s="1166">
        <f t="shared" si="22"/>
        <v>0</v>
      </c>
      <c r="DS28" s="1166">
        <f t="shared" si="22"/>
        <v>1.5974440894568787E-2</v>
      </c>
      <c r="DT28" s="1166">
        <f t="shared" si="22"/>
        <v>0</v>
      </c>
    </row>
    <row r="29" spans="1:124" x14ac:dyDescent="0.2">
      <c r="C29" t="s">
        <v>691</v>
      </c>
      <c r="E29" s="1167">
        <f>E27-E28</f>
        <v>-1.8993352326686086E-3</v>
      </c>
      <c r="F29" s="1167">
        <f t="shared" ref="F29:BQ29" si="23">F27-F28</f>
        <v>6.6603235014273121E-3</v>
      </c>
      <c r="G29" s="1167">
        <f t="shared" si="23"/>
        <v>5.6710775047259521E-3</v>
      </c>
      <c r="H29" s="1167">
        <f t="shared" si="23"/>
        <v>-6.515210439892849E-2</v>
      </c>
      <c r="I29" s="1167">
        <f t="shared" si="23"/>
        <v>9.3896713615015948E-4</v>
      </c>
      <c r="J29" s="1167">
        <f t="shared" si="23"/>
        <v>1.8761726078799779E-3</v>
      </c>
      <c r="K29" s="1167">
        <f t="shared" si="23"/>
        <v>9.3632958801515009E-4</v>
      </c>
      <c r="L29" s="1167">
        <f t="shared" si="23"/>
        <v>5.6127221702524377E-3</v>
      </c>
      <c r="M29" s="1167">
        <f t="shared" si="23"/>
        <v>6.5116279069767913E-3</v>
      </c>
      <c r="N29" s="1167">
        <f t="shared" si="23"/>
        <v>-4.6210720887245316E-3</v>
      </c>
      <c r="O29" s="1167">
        <f t="shared" si="23"/>
        <v>4.432297962544407E-3</v>
      </c>
      <c r="P29" s="1167">
        <f t="shared" si="23"/>
        <v>2.7150847386349208E-2</v>
      </c>
      <c r="Q29" s="1167">
        <f t="shared" si="23"/>
        <v>-2.1350439918125685E-2</v>
      </c>
      <c r="R29" s="1167">
        <f t="shared" si="23"/>
        <v>-2.7726432532346745E-3</v>
      </c>
      <c r="S29" s="1167">
        <f t="shared" si="23"/>
        <v>8.3410565338275511E-3</v>
      </c>
      <c r="T29" s="1167">
        <f t="shared" si="23"/>
        <v>2.7573529411764053E-3</v>
      </c>
      <c r="U29" s="1167">
        <f t="shared" si="23"/>
        <v>-0.10664105296831061</v>
      </c>
      <c r="V29" s="1167">
        <f t="shared" si="23"/>
        <v>-1.8264840182649067E-3</v>
      </c>
      <c r="W29" s="1167">
        <f t="shared" si="23"/>
        <v>6.2129154733557845E-3</v>
      </c>
      <c r="X29" s="1167">
        <f t="shared" si="23"/>
        <v>9.1743119266052275E-4</v>
      </c>
      <c r="Y29" s="1167">
        <f t="shared" si="23"/>
        <v>-5.499541704857891E-3</v>
      </c>
      <c r="Z29" s="1167">
        <f t="shared" si="23"/>
        <v>-9.216589861750224E-4</v>
      </c>
      <c r="AA29" s="1167">
        <f t="shared" si="23"/>
        <v>5.0324886979354555E-2</v>
      </c>
      <c r="AB29" s="1167">
        <f t="shared" si="23"/>
        <v>1.8416206261511192E-3</v>
      </c>
      <c r="AC29" s="1167">
        <f t="shared" si="23"/>
        <v>-1.8382352941176405E-3</v>
      </c>
      <c r="AD29" s="1167">
        <f t="shared" si="23"/>
        <v>1.0128913443830712E-2</v>
      </c>
      <c r="AE29" s="1167">
        <f t="shared" si="23"/>
        <v>1.0027347310847645E-2</v>
      </c>
      <c r="AF29" s="1167">
        <f t="shared" si="23"/>
        <v>2.7075812274368616E-3</v>
      </c>
      <c r="AG29" s="1167">
        <f t="shared" si="23"/>
        <v>-3.2715706803840838E-3</v>
      </c>
      <c r="AH29" s="1167">
        <f t="shared" si="23"/>
        <v>-4.4802867383512135E-3</v>
      </c>
      <c r="AI29" s="1167">
        <f t="shared" si="23"/>
        <v>0</v>
      </c>
      <c r="AJ29" s="1167">
        <f t="shared" si="23"/>
        <v>-1.8001800180017513E-3</v>
      </c>
      <c r="AK29" s="1167">
        <f t="shared" si="23"/>
        <v>9.0171325518473289E-4</v>
      </c>
      <c r="AL29" s="1167">
        <f t="shared" si="23"/>
        <v>-9.009009009008917E-4</v>
      </c>
      <c r="AM29" s="1167">
        <f t="shared" si="23"/>
        <v>4.6406939251415702E-2</v>
      </c>
      <c r="AN29" s="1167">
        <f t="shared" si="23"/>
        <v>-8.9928057553967378E-4</v>
      </c>
      <c r="AO29" s="1167">
        <f t="shared" si="23"/>
        <v>8.0564508063709628E-3</v>
      </c>
      <c r="AP29" s="1167">
        <f t="shared" si="23"/>
        <v>4.5085662759243306E-3</v>
      </c>
      <c r="AQ29" s="1167">
        <f t="shared" si="23"/>
        <v>2.6929982046677292E-3</v>
      </c>
      <c r="AR29" s="1167">
        <f t="shared" si="23"/>
        <v>7.1620411817368002E-3</v>
      </c>
      <c r="AS29" s="1167">
        <f t="shared" si="23"/>
        <v>5.2528908999496249E-3</v>
      </c>
      <c r="AT29" s="1167">
        <f t="shared" si="23"/>
        <v>5.2816901408452299E-3</v>
      </c>
      <c r="AU29" s="1167">
        <f t="shared" si="23"/>
        <v>7.8809106830122211E-3</v>
      </c>
      <c r="AV29" s="1167">
        <f t="shared" si="23"/>
        <v>-2.6064291920069316E-3</v>
      </c>
      <c r="AW29" s="1167">
        <f t="shared" si="23"/>
        <v>2.6132404181185009E-3</v>
      </c>
      <c r="AX29" s="1167">
        <f t="shared" si="23"/>
        <v>-1.2163336229365718E-2</v>
      </c>
      <c r="AY29" s="1167">
        <f t="shared" si="23"/>
        <v>-3.6894150086762334E-2</v>
      </c>
      <c r="AZ29" s="1167">
        <f t="shared" si="23"/>
        <v>-6.1674008810572722E-3</v>
      </c>
      <c r="BA29" s="1167">
        <f t="shared" si="23"/>
        <v>-3.5460992907800915E-3</v>
      </c>
      <c r="BB29" s="1167">
        <f t="shared" si="23"/>
        <v>6.2277580071172789E-3</v>
      </c>
      <c r="BC29" s="1167">
        <f t="shared" si="23"/>
        <v>5.3050397877985045E-3</v>
      </c>
      <c r="BD29" s="1167">
        <f t="shared" si="23"/>
        <v>-4.3975373790676731E-3</v>
      </c>
      <c r="BE29" s="1167">
        <f t="shared" si="23"/>
        <v>-3.8189607186460917E-2</v>
      </c>
      <c r="BF29" s="1167">
        <f t="shared" si="23"/>
        <v>1.7543859649122862E-3</v>
      </c>
      <c r="BG29" s="1167">
        <f t="shared" si="23"/>
        <v>-4.3782837127845919E-3</v>
      </c>
      <c r="BH29" s="1167">
        <f t="shared" si="23"/>
        <v>0</v>
      </c>
      <c r="BI29" s="1167">
        <f t="shared" si="23"/>
        <v>8.7950747581344579E-4</v>
      </c>
      <c r="BJ29" s="1167">
        <f t="shared" si="23"/>
        <v>8.7873462214416165E-4</v>
      </c>
      <c r="BK29" s="1167">
        <f t="shared" si="23"/>
        <v>1.2806857615726974E-2</v>
      </c>
      <c r="BL29" s="1167">
        <f t="shared" si="23"/>
        <v>-4.3630017452006564E-3</v>
      </c>
      <c r="BM29" s="1167">
        <f t="shared" si="23"/>
        <v>3.5056967572304476E-3</v>
      </c>
      <c r="BN29" s="1167">
        <f t="shared" si="23"/>
        <v>5.2401746724890508E-3</v>
      </c>
      <c r="BO29" s="1167">
        <f t="shared" si="23"/>
        <v>1.7376194613381024E-3</v>
      </c>
      <c r="BP29" s="1167">
        <f t="shared" si="23"/>
        <v>3.4692107545533091E-3</v>
      </c>
      <c r="BQ29" s="1167">
        <f t="shared" si="23"/>
        <v>-9.2912343032425682E-2</v>
      </c>
      <c r="BR29" s="1167">
        <f t="shared" ref="BR29:DT29" si="24">BR27-BR28</f>
        <v>-1.7211703958691649E-3</v>
      </c>
      <c r="BS29" s="1167">
        <f t="shared" si="24"/>
        <v>-6.7773504386080541E-2</v>
      </c>
      <c r="BT29" s="1167">
        <f t="shared" si="24"/>
        <v>0</v>
      </c>
      <c r="BU29" s="1167">
        <f t="shared" si="24"/>
        <v>8.5470085470085166E-4</v>
      </c>
      <c r="BV29" s="1167">
        <f t="shared" si="24"/>
        <v>5.9777967549103916E-3</v>
      </c>
      <c r="BW29" s="1167">
        <f t="shared" si="24"/>
        <v>3.0796444395174927E-2</v>
      </c>
      <c r="BX29" s="1167">
        <f t="shared" si="24"/>
        <v>-8.474576271185752E-4</v>
      </c>
      <c r="BY29" s="1167">
        <f t="shared" si="24"/>
        <v>3.6432525333690569E-2</v>
      </c>
      <c r="BZ29" s="1167">
        <f t="shared" si="24"/>
        <v>8.5980253005944252E-2</v>
      </c>
      <c r="CA29" s="1167">
        <f t="shared" si="24"/>
        <v>-8.8652781291282956E-3</v>
      </c>
      <c r="CB29" s="1167">
        <f t="shared" si="24"/>
        <v>4.1876046901172526E-3</v>
      </c>
      <c r="CC29" s="1167">
        <f t="shared" si="24"/>
        <v>-5.1773445106231941E-2</v>
      </c>
      <c r="CD29" s="1167">
        <f t="shared" si="24"/>
        <v>-5.789909015715522E-3</v>
      </c>
      <c r="CE29" s="1167">
        <f t="shared" si="24"/>
        <v>2.4958402662229595E-3</v>
      </c>
      <c r="CF29" s="1167">
        <f t="shared" si="24"/>
        <v>-4.5341091556572177E-3</v>
      </c>
      <c r="CG29" s="1167">
        <f t="shared" si="24"/>
        <v>4.1459369817578029E-3</v>
      </c>
      <c r="CH29" s="1167">
        <f t="shared" si="24"/>
        <v>-8.2576383154409072E-4</v>
      </c>
      <c r="CI29" s="1167">
        <f t="shared" si="24"/>
        <v>-2.2865853658537993E-3</v>
      </c>
      <c r="CJ29" s="1167">
        <f t="shared" si="24"/>
        <v>-5.7851239669421961E-3</v>
      </c>
      <c r="CK29" s="1167">
        <f t="shared" si="24"/>
        <v>2.4937655860348684E-3</v>
      </c>
      <c r="CL29" s="1167">
        <f t="shared" si="24"/>
        <v>8.1544117183411924E-3</v>
      </c>
      <c r="CM29" s="1167">
        <f t="shared" si="24"/>
        <v>4.9423393739702615E-3</v>
      </c>
      <c r="CN29" s="1167">
        <f t="shared" si="24"/>
        <v>3.2786885245901232E-3</v>
      </c>
      <c r="CO29" s="1167">
        <f t="shared" si="24"/>
        <v>-6.854531607006864E-2</v>
      </c>
      <c r="CP29" s="1167">
        <f t="shared" si="24"/>
        <v>-6.5359477124183885E-3</v>
      </c>
      <c r="CQ29" s="1167">
        <f t="shared" si="24"/>
        <v>-1.6447368421051989E-3</v>
      </c>
      <c r="CR29" s="1167">
        <f t="shared" si="24"/>
        <v>4.4385941633673376E-4</v>
      </c>
      <c r="CS29" s="1167">
        <f t="shared" si="24"/>
        <v>1.6420361247948545E-3</v>
      </c>
      <c r="CT29" s="1167">
        <f t="shared" si="24"/>
        <v>1.6393442622950616E-3</v>
      </c>
      <c r="CU29" s="1167">
        <f t="shared" si="24"/>
        <v>8.205988993540636E-3</v>
      </c>
      <c r="CV29" s="1167">
        <f t="shared" si="24"/>
        <v>-6.3588488774483087E-3</v>
      </c>
      <c r="CW29" s="1167">
        <f t="shared" si="24"/>
        <v>7.1736011477763206E-4</v>
      </c>
      <c r="CX29" s="1167">
        <f t="shared" si="24"/>
        <v>8.0587840864907445E-3</v>
      </c>
      <c r="CY29" s="1167">
        <f t="shared" si="24"/>
        <v>3.2573289902280145E-3</v>
      </c>
      <c r="CZ29" s="1167">
        <f t="shared" si="24"/>
        <v>-2.4350649350649567E-3</v>
      </c>
      <c r="DA29" s="1167">
        <f t="shared" si="24"/>
        <v>-3.421134821978522E-2</v>
      </c>
      <c r="DB29" s="1167">
        <f t="shared" si="24"/>
        <v>1.6260162601626771E-3</v>
      </c>
      <c r="DC29" s="1167">
        <f t="shared" si="24"/>
        <v>1.6233766233766378E-3</v>
      </c>
      <c r="DD29" s="1167">
        <f t="shared" si="24"/>
        <v>0</v>
      </c>
      <c r="DE29" s="1167">
        <f t="shared" si="24"/>
        <v>8.103727714747766E-4</v>
      </c>
      <c r="DF29" s="1167">
        <f t="shared" si="24"/>
        <v>-1.6194331983805377E-3</v>
      </c>
      <c r="DG29" s="1167">
        <f t="shared" si="24"/>
        <v>-3.9364640883977842E-2</v>
      </c>
      <c r="DH29" s="1167">
        <f t="shared" si="24"/>
        <v>-1.6220600162206722E-3</v>
      </c>
      <c r="DI29" s="1167">
        <f t="shared" si="24"/>
        <v>-4.3553710755646069E-3</v>
      </c>
      <c r="DJ29" s="1167">
        <f t="shared" si="24"/>
        <v>1.1203892086939837E-2</v>
      </c>
      <c r="DK29" s="1167">
        <f t="shared" si="24"/>
        <v>2.6909640260599499E-3</v>
      </c>
      <c r="DL29" s="1167">
        <f t="shared" si="24"/>
        <v>5.0747520795246803E-3</v>
      </c>
      <c r="DM29" s="1167">
        <f t="shared" si="24"/>
        <v>-2.6875710441839118E-2</v>
      </c>
      <c r="DN29" s="1167">
        <f t="shared" si="24"/>
        <v>3.1620553359683612E-3</v>
      </c>
      <c r="DO29" s="1167">
        <f t="shared" si="24"/>
        <v>-3.1520882584712417E-3</v>
      </c>
      <c r="DP29" s="1167">
        <f t="shared" si="24"/>
        <v>0</v>
      </c>
      <c r="DQ29" s="1167">
        <f t="shared" si="24"/>
        <v>1.5810276679841806E-3</v>
      </c>
      <c r="DR29" s="1167">
        <f t="shared" si="24"/>
        <v>7.8926598263606706E-4</v>
      </c>
      <c r="DS29" s="1167">
        <f t="shared" si="24"/>
        <v>-1.9917658560183904E-2</v>
      </c>
      <c r="DT29" s="1167">
        <f t="shared" si="24"/>
        <v>-7.1258907363419555E-3</v>
      </c>
    </row>
    <row r="30" spans="1:124" x14ac:dyDescent="0.2">
      <c r="D30" s="1265" t="s">
        <v>708</v>
      </c>
      <c r="E30" s="1264">
        <f>ROUND(TREND($E$22:$DT$22,$E$24:$DT$24,E24),4)</f>
        <v>2.2677</v>
      </c>
      <c r="F30" s="1264">
        <f t="shared" ref="F30:BQ30" si="25">ROUND(TREND($E$22:$DT$22,$E$24:$DT$24,F24),4)</f>
        <v>2.0482</v>
      </c>
      <c r="G30" s="1264">
        <f t="shared" si="25"/>
        <v>1.8287</v>
      </c>
      <c r="H30" s="1264">
        <f t="shared" si="25"/>
        <v>1.6092</v>
      </c>
      <c r="I30" s="1264">
        <f t="shared" si="25"/>
        <v>1.3897999999999999</v>
      </c>
      <c r="J30" s="1264">
        <f t="shared" si="25"/>
        <v>1.1702999999999999</v>
      </c>
      <c r="K30" s="1264">
        <f t="shared" si="25"/>
        <v>0.95079999999999998</v>
      </c>
      <c r="L30" s="1264">
        <f t="shared" si="25"/>
        <v>0.73140000000000005</v>
      </c>
      <c r="M30" s="1264">
        <f t="shared" si="25"/>
        <v>0.51190000000000002</v>
      </c>
      <c r="N30" s="1264">
        <f t="shared" si="25"/>
        <v>0.29239999999999999</v>
      </c>
      <c r="O30" s="1264">
        <f t="shared" si="25"/>
        <v>7.2999999999999995E-2</v>
      </c>
      <c r="P30" s="1264">
        <f t="shared" si="25"/>
        <v>-0.14649999999999999</v>
      </c>
      <c r="Q30" s="1264">
        <f t="shared" si="25"/>
        <v>-0.36599999999999999</v>
      </c>
      <c r="R30" s="1264">
        <f t="shared" si="25"/>
        <v>-0.58550000000000002</v>
      </c>
      <c r="S30" s="1264">
        <f t="shared" si="25"/>
        <v>-0.80489999999999995</v>
      </c>
      <c r="T30" s="1264">
        <f t="shared" si="25"/>
        <v>-1.0244</v>
      </c>
      <c r="U30" s="1264">
        <f t="shared" si="25"/>
        <v>-1.2439</v>
      </c>
      <c r="V30" s="1264">
        <f t="shared" si="25"/>
        <v>-1.4633</v>
      </c>
      <c r="W30" s="1264">
        <f t="shared" si="25"/>
        <v>-1.6828000000000001</v>
      </c>
      <c r="X30" s="1264">
        <f t="shared" si="25"/>
        <v>-1.9023000000000001</v>
      </c>
      <c r="Y30" s="1264">
        <f t="shared" si="25"/>
        <v>-2.1217999999999999</v>
      </c>
      <c r="Z30" s="1264">
        <f t="shared" si="25"/>
        <v>-2.3412000000000002</v>
      </c>
      <c r="AA30" s="1264">
        <f t="shared" si="25"/>
        <v>-2.5607000000000002</v>
      </c>
      <c r="AB30" s="1264">
        <f t="shared" si="25"/>
        <v>-2.7801999999999998</v>
      </c>
      <c r="AC30" s="1264">
        <f t="shared" si="25"/>
        <v>-2.9996</v>
      </c>
      <c r="AD30" s="1264">
        <f t="shared" si="25"/>
        <v>-3.2191000000000001</v>
      </c>
      <c r="AE30" s="1264">
        <f t="shared" si="25"/>
        <v>-3.4386000000000001</v>
      </c>
      <c r="AF30" s="1264">
        <f t="shared" si="25"/>
        <v>-3.6579999999999999</v>
      </c>
      <c r="AG30" s="1264">
        <f t="shared" si="25"/>
        <v>-3.8774999999999999</v>
      </c>
      <c r="AH30" s="1264">
        <f t="shared" si="25"/>
        <v>-4.0970000000000004</v>
      </c>
      <c r="AI30" s="1264">
        <f t="shared" si="25"/>
        <v>-4.3164999999999996</v>
      </c>
      <c r="AJ30" s="1264">
        <f t="shared" si="25"/>
        <v>-4.5358999999999998</v>
      </c>
      <c r="AK30" s="1264">
        <f t="shared" si="25"/>
        <v>-4.7553999999999998</v>
      </c>
      <c r="AL30" s="1264">
        <f t="shared" si="25"/>
        <v>-4.9748999999999999</v>
      </c>
      <c r="AM30" s="1264">
        <f t="shared" si="25"/>
        <v>-5.1943000000000001</v>
      </c>
      <c r="AN30" s="1264">
        <f t="shared" si="25"/>
        <v>-5.4138000000000002</v>
      </c>
      <c r="AO30" s="1264">
        <f t="shared" si="25"/>
        <v>-5.6333000000000002</v>
      </c>
      <c r="AP30" s="1264">
        <f t="shared" si="25"/>
        <v>-5.8526999999999996</v>
      </c>
      <c r="AQ30" s="1264">
        <f t="shared" si="25"/>
        <v>-6.0721999999999996</v>
      </c>
      <c r="AR30" s="1264">
        <f t="shared" si="25"/>
        <v>-6.2916999999999996</v>
      </c>
      <c r="AS30" s="1264">
        <f t="shared" si="25"/>
        <v>-6.5111999999999997</v>
      </c>
      <c r="AT30" s="1264">
        <f t="shared" si="25"/>
        <v>-6.7305999999999999</v>
      </c>
      <c r="AU30" s="1264">
        <f t="shared" si="25"/>
        <v>-6.9500999999999999</v>
      </c>
      <c r="AV30" s="1264">
        <f t="shared" si="25"/>
        <v>-7.1696</v>
      </c>
      <c r="AW30" s="1264">
        <f t="shared" si="25"/>
        <v>-7.3890000000000002</v>
      </c>
      <c r="AX30" s="1264">
        <f t="shared" si="25"/>
        <v>-7.6085000000000003</v>
      </c>
      <c r="AY30" s="1264">
        <f t="shared" si="25"/>
        <v>-7.8280000000000003</v>
      </c>
      <c r="AZ30" s="1264">
        <f t="shared" si="25"/>
        <v>-8.0474999999999994</v>
      </c>
      <c r="BA30" s="1264">
        <f t="shared" si="25"/>
        <v>-8.2668999999999997</v>
      </c>
      <c r="BB30" s="1264">
        <f t="shared" si="25"/>
        <v>-8.4863999999999997</v>
      </c>
      <c r="BC30" s="1264">
        <f t="shared" si="25"/>
        <v>-8.7058999999999997</v>
      </c>
      <c r="BD30" s="1264">
        <f t="shared" si="25"/>
        <v>-8.9253</v>
      </c>
      <c r="BE30" s="1264">
        <f t="shared" si="25"/>
        <v>-9.1448</v>
      </c>
      <c r="BF30" s="1264">
        <f t="shared" si="25"/>
        <v>-9.3643000000000001</v>
      </c>
      <c r="BG30" s="1264">
        <f t="shared" si="25"/>
        <v>-9.5837000000000003</v>
      </c>
      <c r="BH30" s="1264">
        <f t="shared" si="25"/>
        <v>-9.8032000000000004</v>
      </c>
      <c r="BI30" s="1264">
        <f t="shared" si="25"/>
        <v>-10.0227</v>
      </c>
      <c r="BJ30" s="1264">
        <f t="shared" si="25"/>
        <v>-10.2422</v>
      </c>
      <c r="BK30" s="1264">
        <f t="shared" si="25"/>
        <v>-10.461600000000001</v>
      </c>
      <c r="BL30" s="1264">
        <f t="shared" si="25"/>
        <v>-10.681100000000001</v>
      </c>
      <c r="BM30" s="1264">
        <f t="shared" si="25"/>
        <v>-10.900600000000001</v>
      </c>
      <c r="BN30" s="1264">
        <f t="shared" si="25"/>
        <v>-11.12</v>
      </c>
      <c r="BO30" s="1264">
        <f t="shared" si="25"/>
        <v>-11.339499999999999</v>
      </c>
      <c r="BP30" s="1264">
        <f t="shared" si="25"/>
        <v>-11.558999999999999</v>
      </c>
      <c r="BQ30" s="1264">
        <f t="shared" si="25"/>
        <v>-11.778499999999999</v>
      </c>
      <c r="BR30" s="1264">
        <f t="shared" ref="BR30:DT30" si="26">ROUND(TREND($E$22:$DT$22,$E$24:$DT$24,BR24),4)</f>
        <v>-11.9979</v>
      </c>
      <c r="BS30" s="1264">
        <f t="shared" si="26"/>
        <v>-12.2174</v>
      </c>
      <c r="BT30" s="1264">
        <f t="shared" si="26"/>
        <v>-12.4369</v>
      </c>
      <c r="BU30" s="1264">
        <f t="shared" si="26"/>
        <v>-12.6563</v>
      </c>
      <c r="BV30" s="1264">
        <f t="shared" si="26"/>
        <v>-12.8758</v>
      </c>
      <c r="BW30" s="1264">
        <f t="shared" si="26"/>
        <v>-13.0953</v>
      </c>
      <c r="BX30" s="1264">
        <f t="shared" si="26"/>
        <v>-13.3147</v>
      </c>
      <c r="BY30" s="1264">
        <f t="shared" si="26"/>
        <v>-13.5342</v>
      </c>
      <c r="BZ30" s="1264">
        <f t="shared" si="26"/>
        <v>-13.7537</v>
      </c>
      <c r="CA30" s="1264">
        <f t="shared" si="26"/>
        <v>-13.9732</v>
      </c>
      <c r="CB30" s="1264">
        <f t="shared" si="26"/>
        <v>-14.192600000000001</v>
      </c>
      <c r="CC30" s="1264">
        <f t="shared" si="26"/>
        <v>-14.412100000000001</v>
      </c>
      <c r="CD30" s="1264">
        <f t="shared" si="26"/>
        <v>-14.631600000000001</v>
      </c>
      <c r="CE30" s="1264">
        <f t="shared" si="26"/>
        <v>-14.851000000000001</v>
      </c>
      <c r="CF30" s="1264">
        <f t="shared" si="26"/>
        <v>-15.070499999999999</v>
      </c>
      <c r="CG30" s="1264">
        <f t="shared" si="26"/>
        <v>-15.29</v>
      </c>
      <c r="CH30" s="1264">
        <f t="shared" si="26"/>
        <v>-15.509399999999999</v>
      </c>
      <c r="CI30" s="1264">
        <f t="shared" si="26"/>
        <v>-15.728899999999999</v>
      </c>
      <c r="CJ30" s="1264">
        <f t="shared" si="26"/>
        <v>-15.948399999999999</v>
      </c>
      <c r="CK30" s="1264">
        <f t="shared" si="26"/>
        <v>-16.167899999999999</v>
      </c>
      <c r="CL30" s="1264">
        <f t="shared" si="26"/>
        <v>-16.3873</v>
      </c>
      <c r="CM30" s="1264">
        <f t="shared" si="26"/>
        <v>-16.6068</v>
      </c>
      <c r="CN30" s="1264">
        <f t="shared" si="26"/>
        <v>-16.8263</v>
      </c>
      <c r="CO30" s="1264">
        <f t="shared" si="26"/>
        <v>-17.0457</v>
      </c>
      <c r="CP30" s="1264">
        <f t="shared" si="26"/>
        <v>-17.2652</v>
      </c>
      <c r="CQ30" s="1264">
        <f t="shared" si="26"/>
        <v>-17.4847</v>
      </c>
      <c r="CR30" s="1264">
        <f t="shared" si="26"/>
        <v>-17.7042</v>
      </c>
      <c r="CS30" s="1264">
        <f t="shared" si="26"/>
        <v>-17.9236</v>
      </c>
      <c r="CT30" s="1264">
        <f t="shared" si="26"/>
        <v>-18.1431</v>
      </c>
      <c r="CU30" s="1264">
        <f t="shared" si="26"/>
        <v>-18.3626</v>
      </c>
      <c r="CV30" s="1264">
        <f t="shared" si="26"/>
        <v>-18.582000000000001</v>
      </c>
      <c r="CW30" s="1264">
        <f t="shared" si="26"/>
        <v>-18.801500000000001</v>
      </c>
      <c r="CX30" s="1264">
        <f t="shared" si="26"/>
        <v>-19.021000000000001</v>
      </c>
      <c r="CY30" s="1264">
        <f t="shared" si="26"/>
        <v>-19.240400000000001</v>
      </c>
      <c r="CZ30" s="1264">
        <f t="shared" si="26"/>
        <v>-19.459900000000001</v>
      </c>
      <c r="DA30" s="1264">
        <f t="shared" si="26"/>
        <v>-19.679400000000001</v>
      </c>
      <c r="DB30" s="1264">
        <f t="shared" si="26"/>
        <v>-19.898900000000001</v>
      </c>
      <c r="DC30" s="1264">
        <f t="shared" si="26"/>
        <v>-20.118300000000001</v>
      </c>
      <c r="DD30" s="1264">
        <f t="shared" si="26"/>
        <v>-20.337800000000001</v>
      </c>
      <c r="DE30" s="1264">
        <f t="shared" si="26"/>
        <v>-20.557300000000001</v>
      </c>
      <c r="DF30" s="1264">
        <f t="shared" si="26"/>
        <v>-20.776700000000002</v>
      </c>
      <c r="DG30" s="1264">
        <f t="shared" si="26"/>
        <v>-20.996200000000002</v>
      </c>
      <c r="DH30" s="1264">
        <f t="shared" si="26"/>
        <v>-21.215699999999998</v>
      </c>
      <c r="DI30" s="1264">
        <f t="shared" si="26"/>
        <v>-21.435199999999998</v>
      </c>
      <c r="DJ30" s="1264">
        <f t="shared" si="26"/>
        <v>-21.654599999999999</v>
      </c>
      <c r="DK30" s="1264">
        <f t="shared" si="26"/>
        <v>-21.874099999999999</v>
      </c>
      <c r="DL30" s="1264">
        <f t="shared" si="26"/>
        <v>-22.093599999999999</v>
      </c>
      <c r="DM30" s="1264">
        <f t="shared" si="26"/>
        <v>-22.312999999999999</v>
      </c>
      <c r="DN30" s="1264">
        <f t="shared" si="26"/>
        <v>-22.532499999999999</v>
      </c>
      <c r="DO30" s="1264">
        <f t="shared" si="26"/>
        <v>-22.751999999999999</v>
      </c>
      <c r="DP30" s="1264">
        <f t="shared" si="26"/>
        <v>-22.971399999999999</v>
      </c>
      <c r="DQ30" s="1264">
        <f t="shared" si="26"/>
        <v>-23.190899999999999</v>
      </c>
      <c r="DR30" s="1264">
        <f t="shared" si="26"/>
        <v>-23.410399999999999</v>
      </c>
      <c r="DS30" s="1264">
        <f t="shared" si="26"/>
        <v>-23.629899999999999</v>
      </c>
      <c r="DT30" s="1264">
        <f t="shared" si="26"/>
        <v>-23.849299999999999</v>
      </c>
    </row>
    <row r="33" spans="6:9" ht="18.75" x14ac:dyDescent="0.3">
      <c r="F33" s="1173" t="s">
        <v>728</v>
      </c>
      <c r="G33" s="1170"/>
      <c r="H33" s="1170"/>
      <c r="I33" s="1170"/>
    </row>
    <row r="36" spans="6:9" ht="18.75" x14ac:dyDescent="0.3">
      <c r="F36" s="1172" t="s">
        <v>692</v>
      </c>
      <c r="G36" s="1170"/>
      <c r="H36" s="1170"/>
    </row>
    <row r="49" spans="5:124" hidden="1" x14ac:dyDescent="0.2"/>
    <row r="50" spans="5:124" hidden="1" x14ac:dyDescent="0.2">
      <c r="E50">
        <f t="shared" ref="E50:AJ50" si="27">E5/E7</f>
        <v>1.0067049808429118</v>
      </c>
      <c r="F50">
        <f t="shared" si="27"/>
        <v>1.0134099616858236</v>
      </c>
      <c r="G50">
        <f t="shared" si="27"/>
        <v>1.0191570881226053</v>
      </c>
      <c r="H50">
        <f t="shared" si="27"/>
        <v>0.95687331536388143</v>
      </c>
      <c r="I50">
        <f t="shared" si="27"/>
        <v>0.95777178796046714</v>
      </c>
      <c r="J50">
        <f t="shared" si="27"/>
        <v>0.95956873315363878</v>
      </c>
      <c r="K50">
        <f t="shared" si="27"/>
        <v>0.96046720575022471</v>
      </c>
      <c r="L50">
        <f t="shared" si="27"/>
        <v>0.96585804132973951</v>
      </c>
      <c r="M50">
        <f t="shared" si="27"/>
        <v>0.97214734950584014</v>
      </c>
      <c r="N50">
        <f t="shared" si="27"/>
        <v>0.96765498652291115</v>
      </c>
      <c r="O50">
        <f t="shared" si="27"/>
        <v>0.97197106690777579</v>
      </c>
      <c r="P50">
        <f t="shared" si="27"/>
        <v>0.99907149489322178</v>
      </c>
      <c r="Q50">
        <f t="shared" si="27"/>
        <v>0.97830018083182646</v>
      </c>
      <c r="R50">
        <f t="shared" si="27"/>
        <v>0.97558770343580481</v>
      </c>
      <c r="S50">
        <f t="shared" si="27"/>
        <v>0.98372513562386987</v>
      </c>
      <c r="T50">
        <f t="shared" si="27"/>
        <v>0.98643761301989152</v>
      </c>
      <c r="U50">
        <f t="shared" si="27"/>
        <v>0.89169381107491863</v>
      </c>
      <c r="V50">
        <f t="shared" si="27"/>
        <v>0.89006514657980451</v>
      </c>
      <c r="W50">
        <f t="shared" si="27"/>
        <v>0.89564502875924401</v>
      </c>
      <c r="X50">
        <f t="shared" si="27"/>
        <v>0.89646672144617912</v>
      </c>
      <c r="Y50">
        <f t="shared" si="27"/>
        <v>0.8915365653245686</v>
      </c>
      <c r="Z50">
        <f t="shared" si="27"/>
        <v>0.8907148726376336</v>
      </c>
      <c r="AA50">
        <f t="shared" si="27"/>
        <v>0.93782383419689119</v>
      </c>
      <c r="AB50">
        <f t="shared" si="27"/>
        <v>0.93955094991364418</v>
      </c>
      <c r="AC50">
        <f t="shared" si="27"/>
        <v>0.93782383419689119</v>
      </c>
      <c r="AD50">
        <f t="shared" si="27"/>
        <v>0.94732297063903281</v>
      </c>
      <c r="AE50">
        <f t="shared" si="27"/>
        <v>0.95682210708117443</v>
      </c>
      <c r="AF50">
        <f t="shared" si="27"/>
        <v>0.95941278065630398</v>
      </c>
      <c r="AG50">
        <f t="shared" si="27"/>
        <v>0.95629820051413872</v>
      </c>
      <c r="AH50">
        <f t="shared" si="27"/>
        <v>0.95201371036846605</v>
      </c>
      <c r="AI50">
        <f t="shared" si="27"/>
        <v>0.95201371036846605</v>
      </c>
      <c r="AJ50">
        <f t="shared" si="27"/>
        <v>0.95029991431019711</v>
      </c>
      <c r="AK50">
        <f t="shared" ref="AK50:BP50" si="28">AK5/AK7</f>
        <v>0.95115681233933158</v>
      </c>
      <c r="AL50">
        <f t="shared" si="28"/>
        <v>0.95029991431019711</v>
      </c>
      <c r="AM50">
        <f t="shared" si="28"/>
        <v>0.99641577060931907</v>
      </c>
      <c r="AN50">
        <f t="shared" si="28"/>
        <v>0.99551971326164879</v>
      </c>
      <c r="AO50">
        <f t="shared" si="28"/>
        <v>1.0036199095022624</v>
      </c>
      <c r="AP50">
        <f t="shared" si="28"/>
        <v>1.0081447963800905</v>
      </c>
      <c r="AQ50">
        <f t="shared" si="28"/>
        <v>1.0108597285067873</v>
      </c>
      <c r="AR50">
        <f t="shared" si="28"/>
        <v>1.0180995475113122</v>
      </c>
      <c r="AS50">
        <f t="shared" si="28"/>
        <v>1.0234234234234234</v>
      </c>
      <c r="AT50">
        <f t="shared" si="28"/>
        <v>1.0288288288288288</v>
      </c>
      <c r="AU50">
        <f t="shared" si="28"/>
        <v>1.0369369369369368</v>
      </c>
      <c r="AV50">
        <f t="shared" si="28"/>
        <v>1.0342342342342341</v>
      </c>
      <c r="AW50">
        <f t="shared" si="28"/>
        <v>1.0369369369369368</v>
      </c>
      <c r="AX50">
        <f t="shared" si="28"/>
        <v>1.0243243243243243</v>
      </c>
      <c r="AY50">
        <f t="shared" si="28"/>
        <v>0.98781549173194072</v>
      </c>
      <c r="AZ50">
        <f t="shared" si="28"/>
        <v>0.98172323759791114</v>
      </c>
      <c r="BA50">
        <f t="shared" si="28"/>
        <v>0.97824194952132293</v>
      </c>
      <c r="BB50">
        <f t="shared" si="28"/>
        <v>0.9843342036553524</v>
      </c>
      <c r="BC50">
        <f t="shared" si="28"/>
        <v>0.98955613577023493</v>
      </c>
      <c r="BD50">
        <f t="shared" si="28"/>
        <v>0.98520452567449956</v>
      </c>
      <c r="BE50">
        <f t="shared" si="28"/>
        <v>0.9492089925062448</v>
      </c>
      <c r="BF50">
        <f t="shared" si="28"/>
        <v>0.95087427144046632</v>
      </c>
      <c r="BG50">
        <f t="shared" si="28"/>
        <v>0.94671107410491262</v>
      </c>
      <c r="BH50">
        <f t="shared" si="28"/>
        <v>0.94671107410491262</v>
      </c>
      <c r="BI50">
        <f t="shared" si="28"/>
        <v>0.94754371357202338</v>
      </c>
      <c r="BJ50">
        <f t="shared" si="28"/>
        <v>0.94837635303913415</v>
      </c>
      <c r="BK50">
        <f t="shared" si="28"/>
        <v>0.9606035205364627</v>
      </c>
      <c r="BL50">
        <f t="shared" si="28"/>
        <v>0.95641240569991615</v>
      </c>
      <c r="BM50">
        <f t="shared" si="28"/>
        <v>0.95976529756915341</v>
      </c>
      <c r="BN50">
        <f t="shared" si="28"/>
        <v>0.96479463537300925</v>
      </c>
      <c r="BO50">
        <f t="shared" si="28"/>
        <v>0.96647108130762782</v>
      </c>
      <c r="BP50">
        <f t="shared" si="28"/>
        <v>0.96982397317686508</v>
      </c>
      <c r="BQ50">
        <f t="shared" ref="BQ50:CV50" si="29">BQ5/BQ7</f>
        <v>0.88770053475935828</v>
      </c>
      <c r="BR50">
        <f t="shared" si="29"/>
        <v>0.88617265087853314</v>
      </c>
      <c r="BS50">
        <f t="shared" si="29"/>
        <v>0.83037615330021286</v>
      </c>
      <c r="BT50">
        <f t="shared" si="29"/>
        <v>0.83037615330021286</v>
      </c>
      <c r="BU50">
        <f t="shared" si="29"/>
        <v>0.83108587650816179</v>
      </c>
      <c r="BV50">
        <f t="shared" si="29"/>
        <v>0.83605393896380409</v>
      </c>
      <c r="BW50">
        <f t="shared" si="29"/>
        <v>0.86257309941520466</v>
      </c>
      <c r="BX50">
        <f t="shared" si="29"/>
        <v>0.86184210526315785</v>
      </c>
      <c r="BY50">
        <f t="shared" si="29"/>
        <v>0.89445709946848906</v>
      </c>
      <c r="BZ50">
        <f t="shared" si="29"/>
        <v>0.97844112769485914</v>
      </c>
      <c r="CA50">
        <f t="shared" si="29"/>
        <v>0.96994313566206347</v>
      </c>
      <c r="CB50">
        <f t="shared" si="29"/>
        <v>0.97400487408610892</v>
      </c>
      <c r="CC50">
        <f t="shared" si="29"/>
        <v>0.9264367816091954</v>
      </c>
      <c r="CD50">
        <f t="shared" si="29"/>
        <v>0.92107279693486588</v>
      </c>
      <c r="CE50">
        <f t="shared" si="29"/>
        <v>0.92337164750957856</v>
      </c>
      <c r="CF50">
        <f t="shared" si="29"/>
        <v>0.91920731707317072</v>
      </c>
      <c r="CG50">
        <f t="shared" si="29"/>
        <v>0.9230182926829269</v>
      </c>
      <c r="CH50">
        <f t="shared" si="29"/>
        <v>0.92225609756097571</v>
      </c>
      <c r="CI50">
        <f t="shared" si="29"/>
        <v>0.92015209125475284</v>
      </c>
      <c r="CJ50">
        <f t="shared" si="29"/>
        <v>0.914828897338403</v>
      </c>
      <c r="CK50">
        <f t="shared" si="29"/>
        <v>0.91711026615969582</v>
      </c>
      <c r="CL50">
        <f t="shared" si="29"/>
        <v>0.92460015232292458</v>
      </c>
      <c r="CM50">
        <f t="shared" si="29"/>
        <v>0.92916984006092906</v>
      </c>
      <c r="CN50">
        <f t="shared" si="29"/>
        <v>0.9322162985529322</v>
      </c>
      <c r="CO50">
        <f t="shared" si="29"/>
        <v>0.87241625089094799</v>
      </c>
      <c r="CP50">
        <f t="shared" si="29"/>
        <v>0.86671418389166066</v>
      </c>
      <c r="CQ50">
        <f t="shared" si="29"/>
        <v>0.86528866714183894</v>
      </c>
      <c r="CR50">
        <f t="shared" si="29"/>
        <v>0.86567164179104483</v>
      </c>
      <c r="CS50">
        <f t="shared" si="29"/>
        <v>0.86709310589907607</v>
      </c>
      <c r="CT50">
        <f t="shared" si="29"/>
        <v>0.86851457000710741</v>
      </c>
      <c r="CU50">
        <f t="shared" si="29"/>
        <v>0.87571839080459779</v>
      </c>
      <c r="CV50">
        <f t="shared" si="29"/>
        <v>0.87015781922525104</v>
      </c>
      <c r="CW50">
        <f t="shared" ref="CW50:DT50" si="30">CW5/CW7</f>
        <v>0.87078248384781043</v>
      </c>
      <c r="CX50">
        <f t="shared" si="30"/>
        <v>0.87776983559685484</v>
      </c>
      <c r="CY50">
        <f t="shared" si="30"/>
        <v>0.88062902072909222</v>
      </c>
      <c r="CZ50">
        <f t="shared" si="30"/>
        <v>0.87848463187991421</v>
      </c>
      <c r="DA50">
        <f t="shared" si="30"/>
        <v>0.84944751381215466</v>
      </c>
      <c r="DB50">
        <f t="shared" si="30"/>
        <v>0.85082872928176789</v>
      </c>
      <c r="DC50">
        <f t="shared" si="30"/>
        <v>0.85220994475138123</v>
      </c>
      <c r="DD50">
        <f t="shared" si="30"/>
        <v>0.85220994475138123</v>
      </c>
      <c r="DE50">
        <f t="shared" si="30"/>
        <v>0.85290055248618779</v>
      </c>
      <c r="DF50">
        <f t="shared" si="30"/>
        <v>0.85151933701657445</v>
      </c>
      <c r="DG50">
        <f t="shared" si="30"/>
        <v>0.81926910299003319</v>
      </c>
      <c r="DH50">
        <f t="shared" si="30"/>
        <v>0.81794019933554818</v>
      </c>
      <c r="DI50">
        <f t="shared" si="30"/>
        <v>0.81439894319682959</v>
      </c>
      <c r="DJ50">
        <f t="shared" si="30"/>
        <v>0.82352941176470573</v>
      </c>
      <c r="DK50">
        <f t="shared" si="30"/>
        <v>0.8257425742574257</v>
      </c>
      <c r="DL50">
        <f t="shared" si="30"/>
        <v>0.82992748846407394</v>
      </c>
      <c r="DM50">
        <f t="shared" si="30"/>
        <v>0.80830670926517567</v>
      </c>
      <c r="DN50">
        <f t="shared" si="30"/>
        <v>0.81086261980830676</v>
      </c>
      <c r="DO50">
        <f t="shared" si="30"/>
        <v>0.80830670926517567</v>
      </c>
      <c r="DP50">
        <f t="shared" si="30"/>
        <v>0.80830670926517567</v>
      </c>
      <c r="DQ50">
        <f t="shared" si="30"/>
        <v>0.80958466453674127</v>
      </c>
      <c r="DR50">
        <f t="shared" si="30"/>
        <v>0.81022364217252396</v>
      </c>
      <c r="DS50">
        <f t="shared" si="30"/>
        <v>0.79433962264150937</v>
      </c>
      <c r="DT50">
        <f t="shared" si="30"/>
        <v>0.78867924528301891</v>
      </c>
    </row>
    <row r="51" spans="5:124" hidden="1" x14ac:dyDescent="0.2">
      <c r="E51">
        <v>1</v>
      </c>
      <c r="F51">
        <v>2</v>
      </c>
      <c r="G51">
        <v>3</v>
      </c>
      <c r="H51">
        <v>4</v>
      </c>
      <c r="I51">
        <v>5</v>
      </c>
      <c r="J51">
        <v>6</v>
      </c>
      <c r="K51">
        <v>7</v>
      </c>
      <c r="L51">
        <v>8</v>
      </c>
      <c r="M51">
        <v>9</v>
      </c>
      <c r="N51">
        <v>10</v>
      </c>
      <c r="O51">
        <v>11</v>
      </c>
      <c r="P51">
        <v>12</v>
      </c>
      <c r="Q51">
        <v>13</v>
      </c>
      <c r="R51">
        <v>14</v>
      </c>
      <c r="S51">
        <v>15</v>
      </c>
      <c r="T51">
        <v>16</v>
      </c>
      <c r="U51">
        <v>17</v>
      </c>
      <c r="V51">
        <v>18</v>
      </c>
      <c r="W51">
        <v>19</v>
      </c>
      <c r="X51">
        <v>20</v>
      </c>
      <c r="Y51">
        <v>21</v>
      </c>
      <c r="Z51">
        <v>22</v>
      </c>
      <c r="AA51">
        <v>23</v>
      </c>
      <c r="AB51">
        <v>24</v>
      </c>
      <c r="AC51">
        <v>25</v>
      </c>
      <c r="AD51">
        <v>26</v>
      </c>
      <c r="AE51">
        <v>27</v>
      </c>
      <c r="AF51">
        <v>28</v>
      </c>
      <c r="AG51">
        <v>29</v>
      </c>
      <c r="AH51">
        <v>30</v>
      </c>
      <c r="AI51">
        <v>31</v>
      </c>
      <c r="AJ51">
        <v>32</v>
      </c>
      <c r="AK51">
        <v>33</v>
      </c>
      <c r="AL51">
        <v>34</v>
      </c>
      <c r="AM51">
        <v>35</v>
      </c>
      <c r="AN51">
        <v>36</v>
      </c>
      <c r="AO51">
        <v>37</v>
      </c>
      <c r="AP51">
        <v>38</v>
      </c>
      <c r="AQ51">
        <v>39</v>
      </c>
      <c r="AR51">
        <v>40</v>
      </c>
      <c r="AS51">
        <v>41</v>
      </c>
      <c r="AT51">
        <v>42</v>
      </c>
      <c r="AU51">
        <v>43</v>
      </c>
      <c r="AV51">
        <v>44</v>
      </c>
      <c r="AW51">
        <v>45</v>
      </c>
      <c r="AX51">
        <v>46</v>
      </c>
      <c r="AY51">
        <v>47</v>
      </c>
      <c r="AZ51">
        <v>48</v>
      </c>
      <c r="BA51">
        <v>49</v>
      </c>
      <c r="BB51">
        <v>50</v>
      </c>
      <c r="BC51">
        <v>51</v>
      </c>
      <c r="BD51">
        <v>52</v>
      </c>
      <c r="BE51">
        <v>53</v>
      </c>
      <c r="BF51">
        <v>54</v>
      </c>
      <c r="BG51">
        <v>55</v>
      </c>
      <c r="BH51">
        <v>56</v>
      </c>
      <c r="BI51">
        <v>57</v>
      </c>
      <c r="BJ51">
        <v>58</v>
      </c>
      <c r="BK51">
        <v>59</v>
      </c>
      <c r="BL51">
        <v>60</v>
      </c>
      <c r="BM51">
        <v>61</v>
      </c>
      <c r="BN51">
        <v>62</v>
      </c>
      <c r="BO51">
        <v>63</v>
      </c>
      <c r="BP51">
        <v>64</v>
      </c>
      <c r="BQ51">
        <v>65</v>
      </c>
      <c r="BR51">
        <v>66</v>
      </c>
      <c r="BS51">
        <v>67</v>
      </c>
      <c r="BT51">
        <v>68</v>
      </c>
      <c r="BU51">
        <v>69</v>
      </c>
      <c r="BV51">
        <v>70</v>
      </c>
      <c r="BW51">
        <v>71</v>
      </c>
      <c r="BX51">
        <v>72</v>
      </c>
      <c r="BY51">
        <v>73</v>
      </c>
      <c r="BZ51">
        <v>74</v>
      </c>
      <c r="CA51">
        <v>75</v>
      </c>
      <c r="CB51">
        <v>76</v>
      </c>
      <c r="CC51">
        <v>77</v>
      </c>
      <c r="CD51">
        <v>78</v>
      </c>
      <c r="CE51">
        <v>79</v>
      </c>
      <c r="CF51">
        <v>80</v>
      </c>
      <c r="CG51">
        <v>81</v>
      </c>
      <c r="CH51">
        <v>82</v>
      </c>
      <c r="CI51">
        <v>83</v>
      </c>
      <c r="CJ51">
        <v>84</v>
      </c>
      <c r="CK51">
        <v>85</v>
      </c>
      <c r="CL51">
        <v>86</v>
      </c>
      <c r="CM51">
        <v>87</v>
      </c>
      <c r="CN51">
        <v>88</v>
      </c>
      <c r="CO51">
        <v>89</v>
      </c>
      <c r="CP51">
        <v>90</v>
      </c>
      <c r="CQ51">
        <v>91</v>
      </c>
      <c r="CR51">
        <v>92</v>
      </c>
      <c r="CS51">
        <v>93</v>
      </c>
      <c r="CT51">
        <v>94</v>
      </c>
      <c r="CU51">
        <v>95</v>
      </c>
      <c r="CV51">
        <v>96</v>
      </c>
      <c r="CW51">
        <v>97</v>
      </c>
      <c r="CX51">
        <v>98</v>
      </c>
      <c r="CY51">
        <v>99</v>
      </c>
      <c r="CZ51">
        <v>100</v>
      </c>
      <c r="DA51">
        <v>101</v>
      </c>
      <c r="DB51">
        <v>102</v>
      </c>
      <c r="DC51">
        <v>103</v>
      </c>
      <c r="DD51">
        <v>104</v>
      </c>
      <c r="DE51">
        <v>105</v>
      </c>
      <c r="DF51">
        <v>106</v>
      </c>
      <c r="DG51">
        <v>107</v>
      </c>
      <c r="DH51">
        <v>108</v>
      </c>
      <c r="DI51">
        <v>109</v>
      </c>
      <c r="DJ51">
        <v>110</v>
      </c>
      <c r="DK51">
        <v>111</v>
      </c>
      <c r="DL51">
        <v>112</v>
      </c>
      <c r="DM51">
        <v>113</v>
      </c>
      <c r="DN51">
        <v>114</v>
      </c>
      <c r="DO51">
        <v>115</v>
      </c>
      <c r="DP51">
        <v>116</v>
      </c>
      <c r="DQ51">
        <v>117</v>
      </c>
      <c r="DR51">
        <v>118</v>
      </c>
      <c r="DS51">
        <v>119</v>
      </c>
      <c r="DT51">
        <v>120</v>
      </c>
    </row>
    <row r="52" spans="5:124" hidden="1" x14ac:dyDescent="0.2">
      <c r="E52">
        <f>0.0009*E51+1.0264</f>
        <v>1.0272999999999999</v>
      </c>
      <c r="F52">
        <f t="shared" ref="F52:BQ52" si="31">0.0009*F51+1.0264</f>
        <v>1.0282</v>
      </c>
      <c r="G52">
        <f t="shared" si="31"/>
        <v>1.0290999999999999</v>
      </c>
      <c r="H52">
        <f t="shared" si="31"/>
        <v>1.03</v>
      </c>
      <c r="I52">
        <f t="shared" si="31"/>
        <v>1.0308999999999999</v>
      </c>
      <c r="J52">
        <f t="shared" si="31"/>
        <v>1.0318000000000001</v>
      </c>
      <c r="K52">
        <f t="shared" si="31"/>
        <v>1.0327</v>
      </c>
      <c r="L52">
        <f t="shared" si="31"/>
        <v>1.0336000000000001</v>
      </c>
      <c r="M52">
        <f t="shared" si="31"/>
        <v>1.0345</v>
      </c>
      <c r="N52">
        <f t="shared" si="31"/>
        <v>1.0353999999999999</v>
      </c>
      <c r="O52">
        <f t="shared" si="31"/>
        <v>1.0363</v>
      </c>
      <c r="P52">
        <f t="shared" si="31"/>
        <v>1.0371999999999999</v>
      </c>
      <c r="Q52">
        <f t="shared" si="31"/>
        <v>1.0381</v>
      </c>
      <c r="R52">
        <f t="shared" si="31"/>
        <v>1.0389999999999999</v>
      </c>
      <c r="S52">
        <f t="shared" si="31"/>
        <v>1.0399</v>
      </c>
      <c r="T52">
        <f t="shared" si="31"/>
        <v>1.0407999999999999</v>
      </c>
      <c r="U52">
        <f t="shared" si="31"/>
        <v>1.0417000000000001</v>
      </c>
      <c r="V52">
        <f t="shared" si="31"/>
        <v>1.0426</v>
      </c>
      <c r="W52">
        <f t="shared" si="31"/>
        <v>1.0434999999999999</v>
      </c>
      <c r="X52">
        <f t="shared" si="31"/>
        <v>1.0444</v>
      </c>
      <c r="Y52">
        <f t="shared" si="31"/>
        <v>1.0452999999999999</v>
      </c>
      <c r="Z52">
        <f t="shared" si="31"/>
        <v>1.0462</v>
      </c>
      <c r="AA52">
        <f t="shared" si="31"/>
        <v>1.0470999999999999</v>
      </c>
      <c r="AB52">
        <f t="shared" si="31"/>
        <v>1.048</v>
      </c>
      <c r="AC52">
        <f t="shared" si="31"/>
        <v>1.0488999999999999</v>
      </c>
      <c r="AD52">
        <f t="shared" si="31"/>
        <v>1.0498000000000001</v>
      </c>
      <c r="AE52">
        <f t="shared" si="31"/>
        <v>1.0507</v>
      </c>
      <c r="AF52">
        <f t="shared" si="31"/>
        <v>1.0516000000000001</v>
      </c>
      <c r="AG52">
        <f t="shared" si="31"/>
        <v>1.0525</v>
      </c>
      <c r="AH52">
        <f t="shared" si="31"/>
        <v>1.0533999999999999</v>
      </c>
      <c r="AI52">
        <f t="shared" si="31"/>
        <v>1.0543</v>
      </c>
      <c r="AJ52">
        <f t="shared" si="31"/>
        <v>1.0551999999999999</v>
      </c>
      <c r="AK52">
        <f t="shared" si="31"/>
        <v>1.0561</v>
      </c>
      <c r="AL52">
        <f t="shared" si="31"/>
        <v>1.0569999999999999</v>
      </c>
      <c r="AM52">
        <f t="shared" si="31"/>
        <v>1.0579000000000001</v>
      </c>
      <c r="AN52">
        <f t="shared" si="31"/>
        <v>1.0588</v>
      </c>
      <c r="AO52">
        <f t="shared" si="31"/>
        <v>1.0596999999999999</v>
      </c>
      <c r="AP52">
        <f t="shared" si="31"/>
        <v>1.0606</v>
      </c>
      <c r="AQ52">
        <f t="shared" si="31"/>
        <v>1.0614999999999999</v>
      </c>
      <c r="AR52">
        <f t="shared" si="31"/>
        <v>1.0624</v>
      </c>
      <c r="AS52">
        <f t="shared" si="31"/>
        <v>1.0632999999999999</v>
      </c>
      <c r="AT52">
        <f t="shared" si="31"/>
        <v>1.0642</v>
      </c>
      <c r="AU52">
        <f t="shared" si="31"/>
        <v>1.0650999999999999</v>
      </c>
      <c r="AV52">
        <f t="shared" si="31"/>
        <v>1.0660000000000001</v>
      </c>
      <c r="AW52">
        <f t="shared" si="31"/>
        <v>1.0669</v>
      </c>
      <c r="AX52">
        <f t="shared" si="31"/>
        <v>1.0678000000000001</v>
      </c>
      <c r="AY52">
        <f t="shared" si="31"/>
        <v>1.0687</v>
      </c>
      <c r="AZ52">
        <f t="shared" si="31"/>
        <v>1.0695999999999999</v>
      </c>
      <c r="BA52">
        <f t="shared" si="31"/>
        <v>1.0705</v>
      </c>
      <c r="BB52">
        <f t="shared" si="31"/>
        <v>1.0713999999999999</v>
      </c>
      <c r="BC52">
        <f t="shared" si="31"/>
        <v>1.0723</v>
      </c>
      <c r="BD52">
        <f t="shared" si="31"/>
        <v>1.0731999999999999</v>
      </c>
      <c r="BE52">
        <f t="shared" si="31"/>
        <v>1.0741000000000001</v>
      </c>
      <c r="BF52">
        <f t="shared" si="31"/>
        <v>1.075</v>
      </c>
      <c r="BG52">
        <f t="shared" si="31"/>
        <v>1.0759000000000001</v>
      </c>
      <c r="BH52">
        <f t="shared" si="31"/>
        <v>1.0768</v>
      </c>
      <c r="BI52">
        <f t="shared" si="31"/>
        <v>1.0776999999999999</v>
      </c>
      <c r="BJ52">
        <f t="shared" si="31"/>
        <v>1.0786</v>
      </c>
      <c r="BK52">
        <f t="shared" si="31"/>
        <v>1.0794999999999999</v>
      </c>
      <c r="BL52">
        <f t="shared" si="31"/>
        <v>1.0804</v>
      </c>
      <c r="BM52">
        <f t="shared" si="31"/>
        <v>1.0812999999999999</v>
      </c>
      <c r="BN52">
        <f t="shared" si="31"/>
        <v>1.0822000000000001</v>
      </c>
      <c r="BO52">
        <f t="shared" si="31"/>
        <v>1.0831</v>
      </c>
      <c r="BP52">
        <f t="shared" si="31"/>
        <v>1.0840000000000001</v>
      </c>
      <c r="BQ52">
        <f t="shared" si="31"/>
        <v>1.0849</v>
      </c>
      <c r="BR52">
        <f t="shared" ref="BR52:DT52" si="32">0.0009*BR51+1.0264</f>
        <v>1.0857999999999999</v>
      </c>
      <c r="BS52">
        <f t="shared" si="32"/>
        <v>1.0867</v>
      </c>
      <c r="BT52">
        <f t="shared" si="32"/>
        <v>1.0875999999999999</v>
      </c>
      <c r="BU52">
        <f t="shared" si="32"/>
        <v>1.0885</v>
      </c>
      <c r="BV52">
        <f t="shared" si="32"/>
        <v>1.0893999999999999</v>
      </c>
      <c r="BW52">
        <f t="shared" si="32"/>
        <v>1.0903</v>
      </c>
      <c r="BX52">
        <f t="shared" si="32"/>
        <v>1.0911999999999999</v>
      </c>
      <c r="BY52">
        <f t="shared" si="32"/>
        <v>1.0921000000000001</v>
      </c>
      <c r="BZ52">
        <f t="shared" si="32"/>
        <v>1.093</v>
      </c>
      <c r="CA52">
        <f t="shared" si="32"/>
        <v>1.0939000000000001</v>
      </c>
      <c r="CB52">
        <f t="shared" si="32"/>
        <v>1.0948</v>
      </c>
      <c r="CC52">
        <f t="shared" si="32"/>
        <v>1.0956999999999999</v>
      </c>
      <c r="CD52">
        <f t="shared" si="32"/>
        <v>1.0966</v>
      </c>
      <c r="CE52">
        <f t="shared" si="32"/>
        <v>1.0974999999999999</v>
      </c>
      <c r="CF52">
        <f t="shared" si="32"/>
        <v>1.0984</v>
      </c>
      <c r="CG52">
        <f t="shared" si="32"/>
        <v>1.0992999999999999</v>
      </c>
      <c r="CH52">
        <f t="shared" si="32"/>
        <v>1.1002000000000001</v>
      </c>
      <c r="CI52">
        <f t="shared" si="32"/>
        <v>1.1011</v>
      </c>
      <c r="CJ52">
        <f t="shared" si="32"/>
        <v>1.1019999999999999</v>
      </c>
      <c r="CK52">
        <f t="shared" si="32"/>
        <v>1.1029</v>
      </c>
      <c r="CL52">
        <f t="shared" si="32"/>
        <v>1.1037999999999999</v>
      </c>
      <c r="CM52">
        <f t="shared" si="32"/>
        <v>1.1047</v>
      </c>
      <c r="CN52">
        <f t="shared" si="32"/>
        <v>1.1055999999999999</v>
      </c>
      <c r="CO52">
        <f t="shared" si="32"/>
        <v>1.1065</v>
      </c>
      <c r="CP52">
        <f t="shared" si="32"/>
        <v>1.1073999999999999</v>
      </c>
      <c r="CQ52">
        <f t="shared" si="32"/>
        <v>1.1083000000000001</v>
      </c>
      <c r="CR52">
        <f t="shared" si="32"/>
        <v>1.1092</v>
      </c>
      <c r="CS52">
        <f t="shared" si="32"/>
        <v>1.1101000000000001</v>
      </c>
      <c r="CT52">
        <f t="shared" si="32"/>
        <v>1.111</v>
      </c>
      <c r="CU52">
        <f t="shared" si="32"/>
        <v>1.1118999999999999</v>
      </c>
      <c r="CV52">
        <f t="shared" si="32"/>
        <v>1.1128</v>
      </c>
      <c r="CW52">
        <f t="shared" si="32"/>
        <v>1.1136999999999999</v>
      </c>
      <c r="CX52">
        <f t="shared" si="32"/>
        <v>1.1146</v>
      </c>
      <c r="CY52">
        <f t="shared" si="32"/>
        <v>1.1154999999999999</v>
      </c>
      <c r="CZ52">
        <f t="shared" si="32"/>
        <v>1.1164000000000001</v>
      </c>
      <c r="DA52">
        <f t="shared" si="32"/>
        <v>1.1173</v>
      </c>
      <c r="DB52">
        <f t="shared" si="32"/>
        <v>1.1181999999999999</v>
      </c>
      <c r="DC52">
        <f t="shared" si="32"/>
        <v>1.1191</v>
      </c>
      <c r="DD52">
        <f t="shared" si="32"/>
        <v>1.1199999999999999</v>
      </c>
      <c r="DE52">
        <f t="shared" si="32"/>
        <v>1.1209</v>
      </c>
      <c r="DF52">
        <f t="shared" si="32"/>
        <v>1.1217999999999999</v>
      </c>
      <c r="DG52">
        <f t="shared" si="32"/>
        <v>1.1227</v>
      </c>
      <c r="DH52">
        <f t="shared" si="32"/>
        <v>1.1235999999999999</v>
      </c>
      <c r="DI52">
        <f t="shared" si="32"/>
        <v>1.1245000000000001</v>
      </c>
      <c r="DJ52">
        <f t="shared" si="32"/>
        <v>1.1254</v>
      </c>
      <c r="DK52">
        <f t="shared" si="32"/>
        <v>1.1263000000000001</v>
      </c>
      <c r="DL52">
        <f t="shared" si="32"/>
        <v>1.1272</v>
      </c>
      <c r="DM52">
        <f t="shared" si="32"/>
        <v>1.1280999999999999</v>
      </c>
      <c r="DN52">
        <f t="shared" si="32"/>
        <v>1.129</v>
      </c>
      <c r="DO52">
        <f t="shared" si="32"/>
        <v>1.1298999999999999</v>
      </c>
      <c r="DP52">
        <f t="shared" si="32"/>
        <v>1.1308</v>
      </c>
      <c r="DQ52">
        <f t="shared" si="32"/>
        <v>1.1316999999999999</v>
      </c>
      <c r="DR52">
        <f t="shared" si="32"/>
        <v>1.1326000000000001</v>
      </c>
      <c r="DS52">
        <f t="shared" si="32"/>
        <v>1.1335</v>
      </c>
      <c r="DT52">
        <f t="shared" si="32"/>
        <v>1.1344000000000001</v>
      </c>
    </row>
    <row r="53" spans="5:124" hidden="1" x14ac:dyDescent="0.2"/>
    <row r="54" spans="5:124" hidden="1" x14ac:dyDescent="0.2"/>
    <row r="55" spans="5:124" hidden="1" x14ac:dyDescent="0.2"/>
    <row r="56" spans="5:124" hidden="1" x14ac:dyDescent="0.2"/>
    <row r="57" spans="5:124" hidden="1" x14ac:dyDescent="0.2"/>
    <row r="58" spans="5:124" hidden="1" x14ac:dyDescent="0.2"/>
    <row r="59" spans="5:124" hidden="1" x14ac:dyDescent="0.2"/>
    <row r="60" spans="5:124" hidden="1" x14ac:dyDescent="0.2"/>
    <row r="61" spans="5:124" hidden="1" x14ac:dyDescent="0.2"/>
    <row r="62" spans="5:124" hidden="1" x14ac:dyDescent="0.2"/>
    <row r="63" spans="5:124" hidden="1" x14ac:dyDescent="0.2"/>
    <row r="64" spans="5:124" hidden="1" x14ac:dyDescent="0.2"/>
    <row r="65" hidden="1" x14ac:dyDescent="0.2"/>
    <row r="66" hidden="1" x14ac:dyDescent="0.2"/>
    <row r="67" hidden="1" x14ac:dyDescent="0.2"/>
    <row r="68" hidden="1" x14ac:dyDescent="0.2"/>
    <row r="69" hidden="1" x14ac:dyDescent="0.2"/>
  </sheetData>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C2:EH338"/>
  <sheetViews>
    <sheetView showGridLines="0" workbookViewId="0"/>
  </sheetViews>
  <sheetFormatPr defaultRowHeight="12.75" x14ac:dyDescent="0.2"/>
  <cols>
    <col min="3" max="3" width="19.33203125" customWidth="1"/>
    <col min="4" max="4" width="13.83203125" customWidth="1"/>
    <col min="5" max="5" width="13" customWidth="1"/>
    <col min="6" max="6" width="13" bestFit="1" customWidth="1"/>
    <col min="7" max="7" width="16" customWidth="1"/>
    <col min="8" max="9" width="15.6640625" customWidth="1"/>
    <col min="10" max="10" width="15.33203125" customWidth="1"/>
    <col min="11" max="11" width="15.6640625" customWidth="1"/>
    <col min="12" max="12" width="11.83203125" bestFit="1" customWidth="1"/>
    <col min="13" max="14" width="13" bestFit="1" customWidth="1"/>
    <col min="15" max="15" width="10.83203125" customWidth="1"/>
    <col min="16" max="16" width="14.5" customWidth="1"/>
    <col min="17" max="17" width="10.6640625" customWidth="1"/>
    <col min="28" max="28" width="24.6640625" bestFit="1" customWidth="1"/>
    <col min="29" max="29" width="16.83203125" bestFit="1" customWidth="1"/>
    <col min="30" max="30" width="14.1640625" customWidth="1"/>
    <col min="31" max="31" width="14" customWidth="1"/>
    <col min="32" max="32" width="12.5" customWidth="1"/>
    <col min="33" max="33" width="15.83203125" bestFit="1" customWidth="1"/>
    <col min="125" max="125" width="42.6640625" customWidth="1"/>
    <col min="126" max="126" width="11.83203125" bestFit="1" customWidth="1"/>
    <col min="127" max="127" width="17.6640625" hidden="1" customWidth="1"/>
    <col min="128" max="132" width="14.5" hidden="1" customWidth="1"/>
    <col min="133" max="138" width="14.5" bestFit="1" customWidth="1"/>
  </cols>
  <sheetData>
    <row r="2" spans="3:138" x14ac:dyDescent="0.2">
      <c r="C2" s="1061"/>
      <c r="D2" s="1460">
        <v>2005</v>
      </c>
      <c r="E2" s="1460"/>
      <c r="F2" s="1460">
        <v>2006</v>
      </c>
      <c r="G2" s="1460"/>
      <c r="H2" s="1460">
        <v>2007</v>
      </c>
      <c r="I2" s="1460"/>
      <c r="J2" s="1460">
        <v>2008</v>
      </c>
      <c r="K2" s="1460"/>
      <c r="L2" s="1460">
        <v>2009</v>
      </c>
      <c r="M2" s="1460"/>
      <c r="N2" s="1460">
        <v>2010</v>
      </c>
      <c r="O2" s="1460"/>
      <c r="P2" s="1460">
        <v>2011</v>
      </c>
      <c r="Q2" s="1460"/>
      <c r="R2" s="1460">
        <v>2012</v>
      </c>
      <c r="S2" s="1460"/>
      <c r="T2" s="1460">
        <v>2013</v>
      </c>
      <c r="U2" s="1460"/>
      <c r="V2" s="1460">
        <v>2014</v>
      </c>
      <c r="W2" s="1460"/>
      <c r="AB2" s="273" t="s">
        <v>164</v>
      </c>
      <c r="AC2" s="258"/>
      <c r="AD2" s="258"/>
      <c r="AE2" s="258"/>
      <c r="AF2" s="258"/>
      <c r="AG2" s="258"/>
    </row>
    <row r="3" spans="3:138" ht="27" customHeight="1" x14ac:dyDescent="0.2">
      <c r="C3" s="1061"/>
      <c r="D3" s="1062" t="s">
        <v>1</v>
      </c>
      <c r="E3" s="1062" t="s">
        <v>2</v>
      </c>
      <c r="F3" s="1062" t="s">
        <v>1</v>
      </c>
      <c r="G3" s="1062" t="s">
        <v>2</v>
      </c>
      <c r="H3" s="1062" t="s">
        <v>1</v>
      </c>
      <c r="I3" s="1062" t="s">
        <v>2</v>
      </c>
      <c r="J3" s="1062" t="s">
        <v>1</v>
      </c>
      <c r="K3" s="1062" t="s">
        <v>2</v>
      </c>
      <c r="L3" s="1062" t="s">
        <v>1</v>
      </c>
      <c r="M3" s="1062" t="s">
        <v>2</v>
      </c>
      <c r="N3" s="1062" t="s">
        <v>1</v>
      </c>
      <c r="O3" s="1062" t="s">
        <v>2</v>
      </c>
      <c r="P3" s="1062" t="s">
        <v>1</v>
      </c>
      <c r="Q3" s="1062" t="s">
        <v>2</v>
      </c>
      <c r="R3" s="1062" t="s">
        <v>1</v>
      </c>
      <c r="S3" s="1062" t="s">
        <v>2</v>
      </c>
      <c r="T3" s="1062" t="s">
        <v>1</v>
      </c>
      <c r="U3" s="1062" t="s">
        <v>2</v>
      </c>
      <c r="V3" s="1062" t="s">
        <v>1</v>
      </c>
      <c r="W3" s="1062" t="s">
        <v>2</v>
      </c>
      <c r="AB3" s="245" t="s">
        <v>33</v>
      </c>
      <c r="AC3" s="1081" t="s">
        <v>42</v>
      </c>
      <c r="AD3" s="1081" t="s">
        <v>43</v>
      </c>
      <c r="AE3" s="1081" t="s">
        <v>694</v>
      </c>
      <c r="AF3" s="1081" t="s">
        <v>43</v>
      </c>
      <c r="AG3" s="1081" t="s">
        <v>695</v>
      </c>
    </row>
    <row r="4" spans="3:138" ht="15" customHeight="1" x14ac:dyDescent="0.2">
      <c r="C4" s="1059" t="s">
        <v>132</v>
      </c>
      <c r="D4" s="1063">
        <v>780.6</v>
      </c>
      <c r="E4" s="1063">
        <v>0</v>
      </c>
      <c r="F4" s="1063">
        <v>573.5</v>
      </c>
      <c r="G4" s="1063">
        <v>0</v>
      </c>
      <c r="H4" s="1063">
        <v>668.8</v>
      </c>
      <c r="I4" s="1063">
        <v>0</v>
      </c>
      <c r="J4" s="1063">
        <v>622.1</v>
      </c>
      <c r="K4" s="1063">
        <v>0</v>
      </c>
      <c r="L4" s="1063">
        <v>816.5</v>
      </c>
      <c r="M4" s="1063">
        <v>0</v>
      </c>
      <c r="N4" s="1063">
        <v>725.8</v>
      </c>
      <c r="O4" s="1063">
        <v>0</v>
      </c>
      <c r="P4" s="1063">
        <v>777.5</v>
      </c>
      <c r="Q4" s="1063">
        <v>0</v>
      </c>
      <c r="R4" s="1063">
        <v>633.70000000000005</v>
      </c>
      <c r="S4" s="1063">
        <v>0</v>
      </c>
      <c r="T4" s="1063">
        <v>638.9</v>
      </c>
      <c r="U4" s="1063">
        <v>0</v>
      </c>
      <c r="V4" s="1063">
        <v>826.1</v>
      </c>
      <c r="W4" s="1063">
        <v>0</v>
      </c>
      <c r="AB4" s="246">
        <f>'4. Customer Growth'!B9</f>
        <v>2005</v>
      </c>
      <c r="AC4" s="1082">
        <f>SUM('6. WS Regression Analysis'!J10:J21)</f>
        <v>116383501</v>
      </c>
      <c r="AD4" s="274"/>
      <c r="AE4" s="1082">
        <f>'6. WS Regression Analysis'!S21</f>
        <v>115988429.89198539</v>
      </c>
      <c r="AF4" s="274"/>
      <c r="AG4" s="275">
        <f t="shared" ref="AG4:AG13" si="0">(AE4-AC4)/AC4</f>
        <v>-3.3945628428432772E-3</v>
      </c>
    </row>
    <row r="5" spans="3:138" ht="15" customHeight="1" x14ac:dyDescent="0.2">
      <c r="C5" s="1059" t="s">
        <v>133</v>
      </c>
      <c r="D5" s="1063">
        <v>627.9</v>
      </c>
      <c r="E5" s="1063">
        <v>0</v>
      </c>
      <c r="F5" s="1063">
        <v>630.6</v>
      </c>
      <c r="G5" s="1063">
        <v>0</v>
      </c>
      <c r="H5" s="1063">
        <v>729.3</v>
      </c>
      <c r="I5" s="1063">
        <v>0</v>
      </c>
      <c r="J5" s="1063">
        <v>688.6</v>
      </c>
      <c r="K5" s="1063">
        <v>0</v>
      </c>
      <c r="L5" s="1063">
        <v>620.1</v>
      </c>
      <c r="M5" s="1063">
        <v>0</v>
      </c>
      <c r="N5" s="1063">
        <v>625.29999999999995</v>
      </c>
      <c r="O5" s="1063">
        <v>0</v>
      </c>
      <c r="P5" s="1063">
        <v>645.29999999999995</v>
      </c>
      <c r="Q5" s="1063">
        <v>0</v>
      </c>
      <c r="R5" s="1063">
        <v>551.6</v>
      </c>
      <c r="S5" s="1063">
        <v>0</v>
      </c>
      <c r="T5" s="1063">
        <v>647.79999999999995</v>
      </c>
      <c r="U5" s="1063">
        <v>0</v>
      </c>
      <c r="V5" s="1063">
        <v>740.1</v>
      </c>
      <c r="W5" s="1063">
        <v>0</v>
      </c>
      <c r="AB5" s="246">
        <f>'4. Customer Growth'!B10</f>
        <v>2006</v>
      </c>
      <c r="AC5" s="1082">
        <f>SUM('6. WS Regression Analysis'!J22:J33)</f>
        <v>115191936.86133909</v>
      </c>
      <c r="AD5" s="275">
        <f t="shared" ref="AD5:AD13" si="1">(AC5-AC4)/AC4</f>
        <v>-1.0238256526248577E-2</v>
      </c>
      <c r="AE5" s="1082">
        <f>'6. WS Regression Analysis'!S33</f>
        <v>116344153.64245866</v>
      </c>
      <c r="AF5" s="275">
        <f t="shared" ref="AF5:AF13" si="2">(AE5-AE4)/AE4</f>
        <v>3.0668899544941224E-3</v>
      </c>
      <c r="AG5" s="275">
        <f t="shared" si="0"/>
        <v>1.0002581886495556E-2</v>
      </c>
    </row>
    <row r="6" spans="3:138" ht="15" customHeight="1" thickBot="1" x14ac:dyDescent="0.25">
      <c r="C6" s="1059" t="s">
        <v>134</v>
      </c>
      <c r="D6" s="1063">
        <v>646.4</v>
      </c>
      <c r="E6" s="1063">
        <v>0</v>
      </c>
      <c r="F6" s="1063">
        <v>555.29999999999995</v>
      </c>
      <c r="G6" s="1063">
        <v>0</v>
      </c>
      <c r="H6" s="1063">
        <v>559.9</v>
      </c>
      <c r="I6" s="1063">
        <v>0</v>
      </c>
      <c r="J6" s="1063">
        <v>630.20000000000005</v>
      </c>
      <c r="K6" s="1063">
        <v>0</v>
      </c>
      <c r="L6" s="1063">
        <v>556.5</v>
      </c>
      <c r="M6" s="1063">
        <v>0</v>
      </c>
      <c r="N6" s="1063">
        <v>485</v>
      </c>
      <c r="O6" s="1063">
        <v>0</v>
      </c>
      <c r="P6" s="1063">
        <v>610.79999999999995</v>
      </c>
      <c r="Q6" s="1063">
        <v>0</v>
      </c>
      <c r="R6" s="1063">
        <v>362.4</v>
      </c>
      <c r="S6" s="1063">
        <v>2.8</v>
      </c>
      <c r="T6" s="1063">
        <v>582.20000000000005</v>
      </c>
      <c r="U6" s="1063">
        <v>0</v>
      </c>
      <c r="V6" s="1063">
        <v>730</v>
      </c>
      <c r="W6" s="1063">
        <v>0</v>
      </c>
      <c r="AB6" s="246">
        <f>'4. Customer Growth'!B11</f>
        <v>2007</v>
      </c>
      <c r="AC6" s="1082">
        <f>SUM('6. WS Regression Analysis'!J34:J45)</f>
        <v>125264170.3394495</v>
      </c>
      <c r="AD6" s="275">
        <f t="shared" si="1"/>
        <v>8.7438702330656468E-2</v>
      </c>
      <c r="AE6" s="1082">
        <f>'6. WS Regression Analysis'!S45</f>
        <v>125038875.58014549</v>
      </c>
      <c r="AF6" s="275">
        <f t="shared" si="2"/>
        <v>7.4732779133938165E-2</v>
      </c>
      <c r="AG6" s="275">
        <f t="shared" si="0"/>
        <v>-1.7985570709763425E-3</v>
      </c>
    </row>
    <row r="7" spans="3:138" ht="15" customHeight="1" thickBot="1" x14ac:dyDescent="0.25">
      <c r="C7" s="1059" t="s">
        <v>135</v>
      </c>
      <c r="D7" s="1063">
        <v>358.2</v>
      </c>
      <c r="E7" s="1063">
        <v>1.1000000000000001</v>
      </c>
      <c r="F7" s="1063">
        <v>323.8</v>
      </c>
      <c r="G7" s="1063">
        <v>0</v>
      </c>
      <c r="H7" s="1063">
        <v>402.3</v>
      </c>
      <c r="I7" s="1063">
        <v>0</v>
      </c>
      <c r="J7" s="1063">
        <v>280.39999999999998</v>
      </c>
      <c r="K7" s="1063">
        <v>0.9</v>
      </c>
      <c r="L7" s="1063">
        <v>352</v>
      </c>
      <c r="M7" s="1063">
        <v>0.5</v>
      </c>
      <c r="N7" s="1063">
        <v>265</v>
      </c>
      <c r="O7" s="1063">
        <v>3</v>
      </c>
      <c r="P7" s="1063">
        <v>334.7</v>
      </c>
      <c r="Q7" s="1063">
        <v>0</v>
      </c>
      <c r="R7" s="1063">
        <v>377.9</v>
      </c>
      <c r="S7" s="1063">
        <v>0</v>
      </c>
      <c r="T7" s="1063">
        <v>368.7</v>
      </c>
      <c r="U7" s="1063">
        <v>0</v>
      </c>
      <c r="V7" s="1063">
        <v>389.7</v>
      </c>
      <c r="W7" s="1063">
        <v>0</v>
      </c>
      <c r="AB7" s="246">
        <f>'4. Customer Growth'!B12</f>
        <v>2008</v>
      </c>
      <c r="AC7" s="1082">
        <f>SUM('6. WS Regression Analysis'!J46:J57)</f>
        <v>129634398.06587967</v>
      </c>
      <c r="AD7" s="275">
        <f t="shared" si="1"/>
        <v>3.4888090621503602E-2</v>
      </c>
      <c r="AE7" s="1082">
        <f>'6. WS Regression Analysis'!S57</f>
        <v>127485248.88734896</v>
      </c>
      <c r="AF7" s="275">
        <f t="shared" si="2"/>
        <v>1.9564901682400632E-2</v>
      </c>
      <c r="AG7" s="275">
        <f t="shared" si="0"/>
        <v>-1.6578540962858632E-2</v>
      </c>
      <c r="DU7" s="1097"/>
      <c r="DV7" s="1098" t="s">
        <v>33</v>
      </c>
      <c r="DW7" s="1099">
        <v>2005</v>
      </c>
      <c r="DX7" s="1099">
        <v>2006</v>
      </c>
      <c r="DY7" s="1099">
        <v>2007</v>
      </c>
      <c r="DZ7" s="1099">
        <v>2008</v>
      </c>
      <c r="EA7" s="1099">
        <v>2009</v>
      </c>
      <c r="EB7" s="1099">
        <v>2010</v>
      </c>
      <c r="EC7" s="1099">
        <v>2011</v>
      </c>
      <c r="ED7" s="1099">
        <v>2012</v>
      </c>
      <c r="EE7" s="1099">
        <v>2013</v>
      </c>
      <c r="EF7" s="1099">
        <v>2014</v>
      </c>
      <c r="EG7" s="1099" t="s">
        <v>81</v>
      </c>
      <c r="EH7" s="1100" t="s">
        <v>241</v>
      </c>
    </row>
    <row r="8" spans="3:138" ht="15" customHeight="1" x14ac:dyDescent="0.2">
      <c r="C8" s="1059" t="s">
        <v>110</v>
      </c>
      <c r="D8" s="1063">
        <v>234.3</v>
      </c>
      <c r="E8" s="1063">
        <v>1.4</v>
      </c>
      <c r="F8" s="1063">
        <v>160.9</v>
      </c>
      <c r="G8" s="1063">
        <v>15.6</v>
      </c>
      <c r="H8" s="1063">
        <v>185.5</v>
      </c>
      <c r="I8" s="1063">
        <v>18</v>
      </c>
      <c r="J8" s="1063">
        <v>238.1</v>
      </c>
      <c r="K8" s="1063">
        <v>0</v>
      </c>
      <c r="L8" s="1063">
        <v>232.5</v>
      </c>
      <c r="M8" s="1063">
        <v>2.8</v>
      </c>
      <c r="N8" s="1063">
        <v>139</v>
      </c>
      <c r="O8" s="1063">
        <v>20.7</v>
      </c>
      <c r="P8" s="1063">
        <v>175.6</v>
      </c>
      <c r="Q8" s="1063">
        <v>14.1</v>
      </c>
      <c r="R8" s="1063">
        <v>133.5</v>
      </c>
      <c r="S8" s="1063">
        <v>24.4</v>
      </c>
      <c r="T8" s="1063">
        <v>163.69999999999999</v>
      </c>
      <c r="U8" s="1063">
        <v>15.7</v>
      </c>
      <c r="V8" s="1063">
        <v>174.6</v>
      </c>
      <c r="W8" s="1063">
        <v>4.0999999999999996</v>
      </c>
      <c r="AB8" s="246">
        <f>'4. Customer Growth'!B13</f>
        <v>2009</v>
      </c>
      <c r="AC8" s="1082">
        <f>SUM('6. WS Regression Analysis'!J58:J69)</f>
        <v>129919267.53378721</v>
      </c>
      <c r="AD8" s="275">
        <f t="shared" si="1"/>
        <v>2.1974836321048334E-3</v>
      </c>
      <c r="AE8" s="1082">
        <f>'6. WS Regression Analysis'!S69</f>
        <v>127811923.39517263</v>
      </c>
      <c r="AF8" s="275">
        <f t="shared" si="2"/>
        <v>2.5624494651324214E-3</v>
      </c>
      <c r="AG8" s="275">
        <f t="shared" si="0"/>
        <v>-1.6220412711813802E-2</v>
      </c>
      <c r="DU8" s="1101" t="s">
        <v>6</v>
      </c>
      <c r="DV8" s="1102" t="s">
        <v>124</v>
      </c>
      <c r="DW8" s="1103">
        <v>9440</v>
      </c>
      <c r="DX8" s="1103">
        <v>9857.5</v>
      </c>
      <c r="DY8" s="1103">
        <v>10273.5</v>
      </c>
      <c r="DZ8" s="1103">
        <v>10658.5</v>
      </c>
      <c r="EA8" s="1103">
        <v>10918.5</v>
      </c>
      <c r="EB8" s="1103">
        <v>11119.5</v>
      </c>
      <c r="EC8" s="1103">
        <v>11370.5</v>
      </c>
      <c r="ED8" s="1103">
        <v>11609</v>
      </c>
      <c r="EE8" s="1103">
        <v>11857</v>
      </c>
      <c r="EF8" s="1103">
        <v>12082</v>
      </c>
      <c r="EG8" s="1103">
        <v>12329</v>
      </c>
      <c r="EH8" s="1104">
        <v>12581</v>
      </c>
    </row>
    <row r="9" spans="3:138" ht="15" customHeight="1" x14ac:dyDescent="0.2">
      <c r="C9" s="1059" t="s">
        <v>136</v>
      </c>
      <c r="D9" s="1063">
        <v>18.5</v>
      </c>
      <c r="E9" s="1063">
        <v>102.4</v>
      </c>
      <c r="F9" s="1063">
        <v>46.1</v>
      </c>
      <c r="G9" s="1063">
        <v>44.9</v>
      </c>
      <c r="H9" s="1063">
        <v>45.6</v>
      </c>
      <c r="I9" s="1063">
        <v>59.8</v>
      </c>
      <c r="J9" s="1063">
        <v>35.200000000000003</v>
      </c>
      <c r="K9" s="1063">
        <v>49.6</v>
      </c>
      <c r="L9" s="1063">
        <v>98.2</v>
      </c>
      <c r="M9" s="1063">
        <v>16.899999999999999</v>
      </c>
      <c r="N9" s="1063">
        <v>51.7</v>
      </c>
      <c r="O9" s="1063">
        <v>21.9</v>
      </c>
      <c r="P9" s="1063">
        <v>58.4</v>
      </c>
      <c r="Q9" s="1063">
        <v>20.7</v>
      </c>
      <c r="R9" s="1063">
        <v>40.799999999999997</v>
      </c>
      <c r="S9" s="1063">
        <v>77.8</v>
      </c>
      <c r="T9" s="1063">
        <v>73.3</v>
      </c>
      <c r="U9" s="1063">
        <v>41</v>
      </c>
      <c r="V9" s="1063">
        <v>57.2</v>
      </c>
      <c r="W9" s="1063">
        <v>41.5</v>
      </c>
      <c r="AB9" s="246">
        <f>'4. Customer Growth'!B14</f>
        <v>2010</v>
      </c>
      <c r="AC9" s="1082">
        <f>SUM('6. WS Regression Analysis'!J70:J81)</f>
        <v>131401699.22159928</v>
      </c>
      <c r="AD9" s="275">
        <f t="shared" si="1"/>
        <v>1.1410406754537384E-2</v>
      </c>
      <c r="AE9" s="1082">
        <f>'6. WS Regression Analysis'!S81</f>
        <v>133734014.78599641</v>
      </c>
      <c r="AF9" s="275">
        <f t="shared" si="2"/>
        <v>4.6334420400776594E-2</v>
      </c>
      <c r="AG9" s="275">
        <f t="shared" si="0"/>
        <v>1.7749508402199944E-2</v>
      </c>
      <c r="DU9" s="1105"/>
      <c r="DV9" s="1106" t="s">
        <v>36</v>
      </c>
      <c r="DW9" s="1103">
        <v>74670218.300000012</v>
      </c>
      <c r="DX9" s="1103">
        <v>73494501.180000007</v>
      </c>
      <c r="DY9" s="1103">
        <v>74223886.610000014</v>
      </c>
      <c r="DZ9" s="1103">
        <v>78678925.103</v>
      </c>
      <c r="EA9" s="1103">
        <v>82719010.360000014</v>
      </c>
      <c r="EB9" s="1103">
        <v>84575463.599999994</v>
      </c>
      <c r="EC9" s="1103">
        <v>84023443</v>
      </c>
      <c r="ED9" s="1103">
        <v>82588039.052825093</v>
      </c>
      <c r="EE9" s="1103">
        <v>86276531.942645699</v>
      </c>
      <c r="EF9" s="1103">
        <v>87611189.555966705</v>
      </c>
      <c r="EG9" s="1103">
        <v>90172648.226304874</v>
      </c>
      <c r="EH9" s="1104">
        <v>91715806.315938339</v>
      </c>
    </row>
    <row r="10" spans="3:138" ht="15" customHeight="1" x14ac:dyDescent="0.2">
      <c r="C10" s="1059" t="s">
        <v>137</v>
      </c>
      <c r="D10" s="1063">
        <v>1.6</v>
      </c>
      <c r="E10" s="1063">
        <v>132.5</v>
      </c>
      <c r="F10" s="1063">
        <v>2.5</v>
      </c>
      <c r="G10" s="1063">
        <v>141.4</v>
      </c>
      <c r="H10" s="1063">
        <v>13.4</v>
      </c>
      <c r="I10" s="1063">
        <v>64.400000000000006</v>
      </c>
      <c r="J10" s="1063">
        <v>9.5</v>
      </c>
      <c r="K10" s="1063">
        <v>87.9</v>
      </c>
      <c r="L10" s="1063">
        <v>21.5</v>
      </c>
      <c r="M10" s="1063">
        <v>26.6</v>
      </c>
      <c r="N10" s="1063">
        <v>7.7</v>
      </c>
      <c r="O10" s="1063">
        <v>136</v>
      </c>
      <c r="P10" s="1063">
        <v>0.7</v>
      </c>
      <c r="Q10" s="1063">
        <v>139.9</v>
      </c>
      <c r="R10" s="1063">
        <v>0.2</v>
      </c>
      <c r="S10" s="1063">
        <v>125.7</v>
      </c>
      <c r="T10" s="1063">
        <v>6.3</v>
      </c>
      <c r="U10" s="1063">
        <v>96.7</v>
      </c>
      <c r="V10" s="1063">
        <v>29.7</v>
      </c>
      <c r="W10" s="1063">
        <v>50.3</v>
      </c>
      <c r="AB10" s="246">
        <f>'4. Customer Growth'!B15</f>
        <v>2011</v>
      </c>
      <c r="AC10" s="1082">
        <f>SUM('6. WS Regression Analysis'!J82:J93)</f>
        <v>133937001.79387802</v>
      </c>
      <c r="AD10" s="275">
        <f t="shared" si="1"/>
        <v>1.9294290616464076E-2</v>
      </c>
      <c r="AE10" s="1082">
        <f>'6. WS Regression Analysis'!S93:S93</f>
        <v>135182816.26438898</v>
      </c>
      <c r="AF10" s="275">
        <f t="shared" si="2"/>
        <v>1.0833455353232083E-2</v>
      </c>
      <c r="AG10" s="275">
        <f t="shared" si="0"/>
        <v>9.3014958810874564E-3</v>
      </c>
      <c r="DU10" s="1105"/>
      <c r="DV10" s="1106" t="s">
        <v>37</v>
      </c>
      <c r="DW10" s="1107">
        <v>0</v>
      </c>
      <c r="DX10" s="1107">
        <v>0</v>
      </c>
      <c r="DY10" s="1107">
        <v>0</v>
      </c>
      <c r="DZ10" s="1107">
        <v>0</v>
      </c>
      <c r="EA10" s="1107">
        <v>0</v>
      </c>
      <c r="EB10" s="1107">
        <v>0</v>
      </c>
      <c r="EC10" s="1107">
        <v>0</v>
      </c>
      <c r="ED10" s="1107">
        <v>0</v>
      </c>
      <c r="EE10" s="1107">
        <v>0</v>
      </c>
      <c r="EF10" s="1107">
        <v>0</v>
      </c>
      <c r="EG10" s="1107">
        <v>0</v>
      </c>
      <c r="EH10" s="1108">
        <v>0</v>
      </c>
    </row>
    <row r="11" spans="3:138" ht="15" customHeight="1" x14ac:dyDescent="0.2">
      <c r="C11" s="1059" t="s">
        <v>138</v>
      </c>
      <c r="D11" s="1063">
        <v>3.7</v>
      </c>
      <c r="E11" s="1063">
        <v>106.4</v>
      </c>
      <c r="F11" s="1063">
        <v>12.1</v>
      </c>
      <c r="G11" s="1063">
        <v>73.599999999999994</v>
      </c>
      <c r="H11" s="1063">
        <v>17.5</v>
      </c>
      <c r="I11" s="1063">
        <v>88.7</v>
      </c>
      <c r="J11" s="1063">
        <v>19.399999999999999</v>
      </c>
      <c r="K11" s="1063">
        <v>50.5</v>
      </c>
      <c r="L11" s="1063">
        <v>20</v>
      </c>
      <c r="M11" s="1063">
        <v>69.099999999999994</v>
      </c>
      <c r="N11" s="1063">
        <v>6</v>
      </c>
      <c r="O11" s="1063">
        <v>129.80000000000001</v>
      </c>
      <c r="P11" s="1063">
        <v>2.7</v>
      </c>
      <c r="Q11" s="1063">
        <v>88.2</v>
      </c>
      <c r="R11" s="1063">
        <v>4.5</v>
      </c>
      <c r="S11" s="1063">
        <v>84</v>
      </c>
      <c r="T11" s="1063">
        <v>13.8</v>
      </c>
      <c r="U11" s="1063">
        <v>63.9</v>
      </c>
      <c r="V11" s="1063">
        <v>24.1</v>
      </c>
      <c r="W11" s="1063">
        <v>45.9</v>
      </c>
      <c r="AB11" s="246">
        <f>'4. Customer Growth'!B16</f>
        <v>2012</v>
      </c>
      <c r="AC11" s="1082">
        <f>SUM('6. WS Regression Analysis'!J94:J105)</f>
        <v>135122554.14110184</v>
      </c>
      <c r="AD11" s="275">
        <f t="shared" si="1"/>
        <v>8.851567015426557E-3</v>
      </c>
      <c r="AE11" s="1082">
        <f>'6. WS Regression Analysis'!S105</f>
        <v>137553791.54448798</v>
      </c>
      <c r="AF11" s="275">
        <f t="shared" si="2"/>
        <v>1.7539028595630664E-2</v>
      </c>
      <c r="AG11" s="275">
        <f t="shared" si="0"/>
        <v>1.7992831906117793E-2</v>
      </c>
      <c r="DU11" s="1105"/>
      <c r="DV11" s="1106"/>
      <c r="DW11" s="1107"/>
      <c r="DX11" s="1107"/>
      <c r="DY11" s="1107"/>
      <c r="DZ11" s="1107"/>
      <c r="EA11" s="1107"/>
      <c r="EB11" s="1107"/>
      <c r="EC11" s="1107"/>
      <c r="ED11" s="1107"/>
      <c r="EE11" s="1107"/>
      <c r="EF11" s="1107"/>
      <c r="EG11" s="1109"/>
      <c r="EH11" s="1110"/>
    </row>
    <row r="12" spans="3:138" ht="15" customHeight="1" x14ac:dyDescent="0.2">
      <c r="C12" s="1059" t="s">
        <v>139</v>
      </c>
      <c r="D12" s="1063">
        <v>30.2</v>
      </c>
      <c r="E12" s="1063">
        <v>57.5</v>
      </c>
      <c r="F12" s="1063">
        <v>98.2</v>
      </c>
      <c r="G12" s="1063">
        <v>9.1999999999999993</v>
      </c>
      <c r="H12" s="1063">
        <v>50.4</v>
      </c>
      <c r="I12" s="1063">
        <v>40.9</v>
      </c>
      <c r="J12" s="1063">
        <v>72.7</v>
      </c>
      <c r="K12" s="1063">
        <v>21.6</v>
      </c>
      <c r="L12" s="1063">
        <v>75.8</v>
      </c>
      <c r="M12" s="1063">
        <v>10.7</v>
      </c>
      <c r="N12" s="1063">
        <v>93.2</v>
      </c>
      <c r="O12" s="1063">
        <v>26.8</v>
      </c>
      <c r="P12" s="1063">
        <v>72.3</v>
      </c>
      <c r="Q12" s="1063">
        <v>21.2</v>
      </c>
      <c r="R12" s="1063">
        <v>90.2</v>
      </c>
      <c r="S12" s="1063">
        <v>24.4</v>
      </c>
      <c r="T12" s="1063">
        <v>103.5</v>
      </c>
      <c r="U12" s="1063">
        <v>24.1</v>
      </c>
      <c r="V12" s="1063">
        <v>86.3</v>
      </c>
      <c r="W12" s="1063">
        <v>21.4</v>
      </c>
      <c r="AB12" s="246">
        <f>'4. Customer Growth'!B17</f>
        <v>2013</v>
      </c>
      <c r="AC12" s="1082">
        <f>SUM('6. WS Regression Analysis'!J106:J117)</f>
        <v>140022738.8160786</v>
      </c>
      <c r="AD12" s="275">
        <f t="shared" si="1"/>
        <v>3.6264742819024455E-2</v>
      </c>
      <c r="AE12" s="1082">
        <f>'6. WS Regression Analysis'!S117</f>
        <v>139097908.02772683</v>
      </c>
      <c r="AF12" s="275">
        <f t="shared" si="2"/>
        <v>1.1225546500035545E-2</v>
      </c>
      <c r="AG12" s="275">
        <f t="shared" si="0"/>
        <v>-6.6048614401590126E-3</v>
      </c>
      <c r="DU12" s="1101" t="s">
        <v>94</v>
      </c>
      <c r="DV12" s="1111" t="s">
        <v>124</v>
      </c>
      <c r="DW12" s="1103">
        <v>743</v>
      </c>
      <c r="DX12" s="1103">
        <v>747</v>
      </c>
      <c r="DY12" s="1103">
        <v>754</v>
      </c>
      <c r="DZ12" s="1103">
        <v>756.5</v>
      </c>
      <c r="EA12" s="1103">
        <v>767</v>
      </c>
      <c r="EB12" s="1103">
        <v>776.5</v>
      </c>
      <c r="EC12" s="1103">
        <v>781</v>
      </c>
      <c r="ED12" s="1103">
        <v>786</v>
      </c>
      <c r="EE12" s="1103">
        <v>784</v>
      </c>
      <c r="EF12" s="1103">
        <v>783</v>
      </c>
      <c r="EG12" s="1103">
        <v>786</v>
      </c>
      <c r="EH12" s="1104">
        <v>789</v>
      </c>
    </row>
    <row r="13" spans="3:138" ht="15" customHeight="1" x14ac:dyDescent="0.2">
      <c r="C13" s="1059" t="s">
        <v>142</v>
      </c>
      <c r="D13" s="1063">
        <v>214.8</v>
      </c>
      <c r="E13" s="1063">
        <v>20</v>
      </c>
      <c r="F13" s="1063">
        <v>287.7</v>
      </c>
      <c r="G13" s="1063">
        <v>0.6</v>
      </c>
      <c r="H13" s="1063">
        <v>141.9</v>
      </c>
      <c r="I13" s="1063">
        <v>22.2</v>
      </c>
      <c r="J13" s="1063">
        <v>273</v>
      </c>
      <c r="K13" s="1063">
        <v>3.7</v>
      </c>
      <c r="L13" s="1063">
        <v>296.5</v>
      </c>
      <c r="M13" s="1063">
        <v>0</v>
      </c>
      <c r="N13" s="1063">
        <v>238.8</v>
      </c>
      <c r="O13" s="1063">
        <v>0</v>
      </c>
      <c r="P13" s="1063">
        <v>223</v>
      </c>
      <c r="Q13" s="1063">
        <v>2.8</v>
      </c>
      <c r="R13" s="1063">
        <v>235.2</v>
      </c>
      <c r="S13" s="1063">
        <v>0.1</v>
      </c>
      <c r="T13" s="1063">
        <v>189.8</v>
      </c>
      <c r="U13" s="1063">
        <v>0.1</v>
      </c>
      <c r="V13" s="1063">
        <v>238.8</v>
      </c>
      <c r="W13" s="1063">
        <v>1.2</v>
      </c>
      <c r="AB13" s="246">
        <f>'4. Customer Growth'!B18</f>
        <v>2014</v>
      </c>
      <c r="AC13" s="1082">
        <f>SUM('6. WS Regression Analysis'!J118:J129)</f>
        <v>141256275.46223882</v>
      </c>
      <c r="AD13" s="275">
        <f t="shared" si="1"/>
        <v>8.8095451966589446E-3</v>
      </c>
      <c r="AE13" s="1082">
        <f>'6. WS Regression Analysis'!S129</f>
        <v>139896381.2156412</v>
      </c>
      <c r="AF13" s="275">
        <f t="shared" si="2"/>
        <v>5.7403680561120248E-3</v>
      </c>
      <c r="AG13" s="275">
        <f t="shared" si="0"/>
        <v>-9.62714217225096E-3</v>
      </c>
      <c r="DU13" s="1105"/>
      <c r="DV13" s="1106" t="s">
        <v>36</v>
      </c>
      <c r="DW13" s="1103">
        <v>14537477.4</v>
      </c>
      <c r="DX13" s="1103">
        <v>14223773.710000001</v>
      </c>
      <c r="DY13" s="1103">
        <v>14339658.07</v>
      </c>
      <c r="DZ13" s="1103">
        <v>15092313.370000001</v>
      </c>
      <c r="EA13" s="1103">
        <v>15369939.543000001</v>
      </c>
      <c r="EB13" s="1103">
        <v>17287125.199999999</v>
      </c>
      <c r="EC13" s="1103">
        <v>16948879</v>
      </c>
      <c r="ED13" s="1103">
        <v>15746949.627995308</v>
      </c>
      <c r="EE13" s="1103">
        <v>16432348.094357079</v>
      </c>
      <c r="EF13" s="1103">
        <v>16552639.278445883</v>
      </c>
      <c r="EG13" s="1103">
        <v>17770200.919710908</v>
      </c>
      <c r="EH13" s="1104">
        <v>18180618.366323322</v>
      </c>
    </row>
    <row r="14" spans="3:138" x14ac:dyDescent="0.2">
      <c r="C14" s="1059" t="s">
        <v>140</v>
      </c>
      <c r="D14" s="1063">
        <v>392.5</v>
      </c>
      <c r="E14" s="1063">
        <v>0</v>
      </c>
      <c r="F14" s="1063">
        <v>367.5</v>
      </c>
      <c r="G14" s="1063">
        <v>0</v>
      </c>
      <c r="H14" s="1063">
        <v>466.3</v>
      </c>
      <c r="I14" s="1063">
        <v>0</v>
      </c>
      <c r="J14" s="1063">
        <v>444.3</v>
      </c>
      <c r="K14" s="1063">
        <v>0</v>
      </c>
      <c r="L14" s="1063">
        <v>351.5</v>
      </c>
      <c r="M14" s="1063">
        <v>0</v>
      </c>
      <c r="N14" s="1063">
        <v>410</v>
      </c>
      <c r="O14" s="1063">
        <v>0</v>
      </c>
      <c r="P14" s="1063">
        <v>336.2</v>
      </c>
      <c r="Q14" s="1063">
        <v>0</v>
      </c>
      <c r="R14" s="1063">
        <v>446</v>
      </c>
      <c r="S14" s="1063">
        <v>0</v>
      </c>
      <c r="T14" s="1063">
        <v>476.7</v>
      </c>
      <c r="U14" s="1063">
        <v>0</v>
      </c>
      <c r="V14" s="1063">
        <v>460.7</v>
      </c>
      <c r="W14" s="1063">
        <v>0</v>
      </c>
      <c r="DU14" s="1105"/>
      <c r="DV14" s="1106" t="s">
        <v>37</v>
      </c>
      <c r="DW14" s="1107">
        <v>0</v>
      </c>
      <c r="DX14" s="1107">
        <v>0</v>
      </c>
      <c r="DY14" s="1107">
        <v>0</v>
      </c>
      <c r="DZ14" s="1107">
        <v>0</v>
      </c>
      <c r="EA14" s="1107">
        <v>0</v>
      </c>
      <c r="EB14" s="1107">
        <v>0</v>
      </c>
      <c r="EC14" s="1107">
        <v>0</v>
      </c>
      <c r="ED14" s="1107">
        <v>0</v>
      </c>
      <c r="EE14" s="1107">
        <v>0</v>
      </c>
      <c r="EF14" s="1107">
        <v>0</v>
      </c>
      <c r="EG14" s="1107">
        <v>0</v>
      </c>
      <c r="EH14" s="1108">
        <v>0</v>
      </c>
    </row>
    <row r="15" spans="3:138" ht="12.75" customHeight="1" x14ac:dyDescent="0.2">
      <c r="C15" s="1059" t="s">
        <v>141</v>
      </c>
      <c r="D15" s="1063">
        <v>658.5</v>
      </c>
      <c r="E15" s="1063">
        <v>0</v>
      </c>
      <c r="F15" s="1063">
        <v>503.7</v>
      </c>
      <c r="G15" s="1063">
        <v>0</v>
      </c>
      <c r="H15" s="1063">
        <v>654.1</v>
      </c>
      <c r="I15" s="1063">
        <v>0</v>
      </c>
      <c r="J15" s="1063">
        <v>668.4</v>
      </c>
      <c r="K15" s="1063">
        <v>0</v>
      </c>
      <c r="L15" s="1063">
        <v>619</v>
      </c>
      <c r="M15" s="1063">
        <v>0</v>
      </c>
      <c r="N15" s="1063">
        <v>668.7</v>
      </c>
      <c r="O15" s="1063">
        <v>0</v>
      </c>
      <c r="P15" s="1063">
        <v>555.29999999999995</v>
      </c>
      <c r="Q15" s="1063">
        <v>0</v>
      </c>
      <c r="R15" s="1063">
        <v>524</v>
      </c>
      <c r="S15" s="1063">
        <v>0</v>
      </c>
      <c r="T15" s="1063">
        <v>717.5</v>
      </c>
      <c r="U15" s="1063">
        <v>0</v>
      </c>
      <c r="V15" s="1063">
        <v>537.70000000000005</v>
      </c>
      <c r="W15" s="1063">
        <v>0</v>
      </c>
      <c r="AB15" s="1081" t="s">
        <v>33</v>
      </c>
      <c r="AC15" s="1081" t="s">
        <v>42</v>
      </c>
      <c r="AD15" s="1081" t="s">
        <v>622</v>
      </c>
      <c r="DU15" s="1105"/>
      <c r="DV15" s="1106"/>
      <c r="DW15" s="1107"/>
      <c r="DX15" s="1107"/>
      <c r="DY15" s="1107"/>
      <c r="DZ15" s="1107"/>
      <c r="EA15" s="1107"/>
      <c r="EB15" s="1107"/>
      <c r="EC15" s="1107"/>
      <c r="ED15" s="1107"/>
      <c r="EE15" s="1107"/>
      <c r="EF15" s="1107"/>
      <c r="EG15" s="1109"/>
      <c r="EH15" s="1110"/>
    </row>
    <row r="16" spans="3:138" x14ac:dyDescent="0.2">
      <c r="AB16" s="246">
        <v>2005</v>
      </c>
      <c r="AC16" s="1082">
        <v>116383501</v>
      </c>
      <c r="AD16" s="1082">
        <v>115881495.44093704</v>
      </c>
      <c r="DU16" s="1464" t="s">
        <v>597</v>
      </c>
      <c r="DV16" s="1111" t="s">
        <v>124</v>
      </c>
      <c r="DW16" s="1103">
        <v>42</v>
      </c>
      <c r="DX16" s="1103">
        <v>40.5</v>
      </c>
      <c r="DY16" s="1103">
        <v>36</v>
      </c>
      <c r="DZ16" s="1103">
        <v>31</v>
      </c>
      <c r="EA16" s="1103">
        <v>30</v>
      </c>
      <c r="EB16" s="1103">
        <v>31</v>
      </c>
      <c r="EC16" s="1103">
        <v>32.5</v>
      </c>
      <c r="ED16" s="1103">
        <v>35</v>
      </c>
      <c r="EE16" s="1103">
        <v>35</v>
      </c>
      <c r="EF16" s="1103">
        <v>36</v>
      </c>
      <c r="EG16" s="1103">
        <v>37</v>
      </c>
      <c r="EH16" s="1104">
        <v>37</v>
      </c>
    </row>
    <row r="17" spans="3:138" x14ac:dyDescent="0.2">
      <c r="C17" s="1061"/>
      <c r="D17" s="1065">
        <v>2005</v>
      </c>
      <c r="E17" s="1065">
        <v>2006</v>
      </c>
      <c r="F17" s="1065">
        <v>2007</v>
      </c>
      <c r="G17" s="1065">
        <v>2008</v>
      </c>
      <c r="H17" s="1065">
        <v>2009</v>
      </c>
      <c r="I17" s="1065">
        <v>2010</v>
      </c>
      <c r="J17" s="1065">
        <v>2011</v>
      </c>
      <c r="K17" s="1065">
        <v>2012</v>
      </c>
      <c r="L17" s="1065">
        <v>2013</v>
      </c>
      <c r="M17" s="1065">
        <v>2014</v>
      </c>
      <c r="AB17" s="246">
        <v>2006</v>
      </c>
      <c r="AC17" s="1082">
        <v>115191936.86133909</v>
      </c>
      <c r="AD17" s="1082">
        <v>116451759.87978788</v>
      </c>
      <c r="DU17" s="1465"/>
      <c r="DV17" s="1106" t="s">
        <v>36</v>
      </c>
      <c r="DW17" s="1103">
        <v>12388793.66</v>
      </c>
      <c r="DX17" s="1103">
        <v>12633563.929999998</v>
      </c>
      <c r="DY17" s="1103">
        <v>14970174.015999999</v>
      </c>
      <c r="DZ17" s="1103">
        <v>17386048.783999998</v>
      </c>
      <c r="EA17" s="1103">
        <v>16872487.509999998</v>
      </c>
      <c r="EB17" s="1103">
        <v>17629407.020000003</v>
      </c>
      <c r="EC17" s="1103">
        <v>17073810.420000002</v>
      </c>
      <c r="ED17" s="1103">
        <v>17613527.535856102</v>
      </c>
      <c r="EE17" s="1103">
        <v>17691775.363432009</v>
      </c>
      <c r="EF17" s="1103">
        <v>17311423.283422757</v>
      </c>
      <c r="EG17" s="1103">
        <v>17684116.15108569</v>
      </c>
      <c r="EH17" s="1104">
        <v>17982299.410991874</v>
      </c>
    </row>
    <row r="18" spans="3:138" x14ac:dyDescent="0.2">
      <c r="C18" s="1060" t="s">
        <v>132</v>
      </c>
      <c r="D18" s="1066">
        <v>10118</v>
      </c>
      <c r="E18" s="1066">
        <v>10522</v>
      </c>
      <c r="F18" s="1066">
        <v>10954</v>
      </c>
      <c r="G18" s="1066">
        <v>11324</v>
      </c>
      <c r="H18" s="1066">
        <v>11647</v>
      </c>
      <c r="I18" s="1066">
        <v>11836</v>
      </c>
      <c r="J18" s="1066">
        <v>12106</v>
      </c>
      <c r="K18" s="1066">
        <v>12398</v>
      </c>
      <c r="L18" s="1066">
        <v>12595</v>
      </c>
      <c r="M18" s="1066">
        <v>12874</v>
      </c>
      <c r="AB18" s="246">
        <v>2007</v>
      </c>
      <c r="AC18" s="1082">
        <v>125635745.20078859</v>
      </c>
      <c r="AD18" s="1082">
        <v>125376323.87638415</v>
      </c>
      <c r="DU18" s="1105"/>
      <c r="DV18" s="1106" t="s">
        <v>37</v>
      </c>
      <c r="DW18" s="1107">
        <v>0</v>
      </c>
      <c r="DX18" s="1107">
        <v>0</v>
      </c>
      <c r="DY18" s="1107">
        <v>0</v>
      </c>
      <c r="DZ18" s="1107">
        <v>0</v>
      </c>
      <c r="EA18" s="1107">
        <v>43811.69</v>
      </c>
      <c r="EB18" s="1107">
        <v>44115.7</v>
      </c>
      <c r="EC18" s="1107">
        <v>45358.5</v>
      </c>
      <c r="ED18" s="1107">
        <v>47594.97</v>
      </c>
      <c r="EE18" s="1107">
        <v>46866.61</v>
      </c>
      <c r="EF18" s="1107">
        <v>45989.17</v>
      </c>
      <c r="EG18" s="1107">
        <v>46568.748284849251</v>
      </c>
      <c r="EH18" s="1108">
        <v>47353.973910755041</v>
      </c>
    </row>
    <row r="19" spans="3:138" x14ac:dyDescent="0.2">
      <c r="C19" s="1060" t="s">
        <v>133</v>
      </c>
      <c r="D19" s="1066">
        <v>10134</v>
      </c>
      <c r="E19" s="1066">
        <v>10582</v>
      </c>
      <c r="F19" s="1066">
        <v>11000</v>
      </c>
      <c r="G19" s="1066">
        <v>11335</v>
      </c>
      <c r="H19" s="1066">
        <v>11662</v>
      </c>
      <c r="I19" s="1066">
        <v>11865</v>
      </c>
      <c r="J19" s="1066">
        <v>12114</v>
      </c>
      <c r="K19" s="1066">
        <v>12410</v>
      </c>
      <c r="L19" s="1066">
        <v>12601</v>
      </c>
      <c r="M19" s="1066">
        <v>12904</v>
      </c>
      <c r="AB19" s="246">
        <v>2008</v>
      </c>
      <c r="AC19" s="1082">
        <v>130042772.68265095</v>
      </c>
      <c r="AD19" s="1082">
        <v>127881658.69393992</v>
      </c>
      <c r="DU19" s="1105"/>
      <c r="DV19" s="1106"/>
      <c r="DW19" s="1107"/>
      <c r="DX19" s="1107"/>
      <c r="DY19" s="1107"/>
      <c r="DZ19" s="1107"/>
      <c r="EA19" s="1107"/>
      <c r="EB19" s="1107"/>
      <c r="EC19" s="1107"/>
      <c r="ED19" s="1107"/>
      <c r="EE19" s="1107"/>
      <c r="EF19" s="1107"/>
      <c r="EG19" s="1109"/>
      <c r="EH19" s="1110"/>
    </row>
    <row r="20" spans="3:138" x14ac:dyDescent="0.2">
      <c r="C20" s="1060" t="s">
        <v>134</v>
      </c>
      <c r="D20" s="1066">
        <v>10152</v>
      </c>
      <c r="E20" s="1066">
        <v>10596</v>
      </c>
      <c r="F20" s="1066">
        <v>11049</v>
      </c>
      <c r="G20" s="1066">
        <v>11344</v>
      </c>
      <c r="H20" s="1066">
        <v>11677</v>
      </c>
      <c r="I20" s="1066">
        <v>11882</v>
      </c>
      <c r="J20" s="1066">
        <v>12124</v>
      </c>
      <c r="K20" s="1066">
        <v>12424</v>
      </c>
      <c r="L20" s="1066">
        <v>12613</v>
      </c>
      <c r="M20" s="1066">
        <v>12843</v>
      </c>
      <c r="AB20" s="246">
        <v>2009</v>
      </c>
      <c r="AC20" s="1082">
        <v>130163357.44510439</v>
      </c>
      <c r="AD20" s="1082">
        <v>128183988.42099291</v>
      </c>
      <c r="DU20" s="1464" t="s">
        <v>596</v>
      </c>
      <c r="DV20" s="1106" t="s">
        <v>124</v>
      </c>
      <c r="DW20" s="1103">
        <v>1</v>
      </c>
      <c r="DX20" s="1103">
        <v>1</v>
      </c>
      <c r="DY20" s="1103">
        <v>1</v>
      </c>
      <c r="DZ20" s="1103">
        <v>1</v>
      </c>
      <c r="EA20" s="1103">
        <v>1</v>
      </c>
      <c r="EB20" s="1103">
        <v>1</v>
      </c>
      <c r="EC20" s="1103">
        <v>1</v>
      </c>
      <c r="ED20" s="1103">
        <v>1</v>
      </c>
      <c r="EE20" s="1103">
        <v>1</v>
      </c>
      <c r="EF20" s="1103">
        <v>1</v>
      </c>
      <c r="EG20" s="1103">
        <v>1</v>
      </c>
      <c r="EH20" s="1104">
        <v>1</v>
      </c>
    </row>
    <row r="21" spans="3:138" x14ac:dyDescent="0.2">
      <c r="C21" s="1060" t="s">
        <v>135</v>
      </c>
      <c r="D21" s="1066">
        <v>10212</v>
      </c>
      <c r="E21" s="1066">
        <v>10634</v>
      </c>
      <c r="F21" s="1066">
        <v>11062</v>
      </c>
      <c r="G21" s="1066">
        <v>11358</v>
      </c>
      <c r="H21" s="1066">
        <v>11686</v>
      </c>
      <c r="I21" s="1066">
        <v>11914</v>
      </c>
      <c r="J21" s="1066">
        <v>12140</v>
      </c>
      <c r="K21" s="1066">
        <v>12437</v>
      </c>
      <c r="L21" s="1066">
        <v>12620</v>
      </c>
      <c r="M21" s="1066">
        <v>12852</v>
      </c>
      <c r="AB21" s="246">
        <v>2010</v>
      </c>
      <c r="AC21" s="1082">
        <v>131775602.11210045</v>
      </c>
      <c r="AD21" s="1082">
        <v>134026130.58918963</v>
      </c>
      <c r="DU21" s="1465"/>
      <c r="DV21" s="1106" t="s">
        <v>36</v>
      </c>
      <c r="DW21" s="1103">
        <v>994198.57999999984</v>
      </c>
      <c r="DX21" s="1103">
        <v>4233263.5499999989</v>
      </c>
      <c r="DY21" s="1103">
        <v>4141943.8099999996</v>
      </c>
      <c r="DZ21" s="1103">
        <v>4099392.6199999996</v>
      </c>
      <c r="EA21" s="1103">
        <v>4143210.3299999996</v>
      </c>
      <c r="EB21" s="1103">
        <v>4263662.9799999995</v>
      </c>
      <c r="EC21" s="1103">
        <v>4201222.58</v>
      </c>
      <c r="ED21" s="1103">
        <v>3761855.8131238185</v>
      </c>
      <c r="EE21" s="1103">
        <v>3594883.73</v>
      </c>
      <c r="EF21" s="1103">
        <v>3453199.0199999996</v>
      </c>
      <c r="EG21" s="1103">
        <v>4029800.6612127172</v>
      </c>
      <c r="EH21" s="1104">
        <v>4025069.1883013262</v>
      </c>
    </row>
    <row r="22" spans="3:138" x14ac:dyDescent="0.2">
      <c r="C22" s="1060" t="s">
        <v>110</v>
      </c>
      <c r="D22" s="1066">
        <v>10233</v>
      </c>
      <c r="E22" s="1066">
        <v>10671</v>
      </c>
      <c r="F22" s="1066">
        <v>11100</v>
      </c>
      <c r="G22" s="1066">
        <v>11377</v>
      </c>
      <c r="H22" s="1066">
        <v>11699</v>
      </c>
      <c r="I22" s="1066">
        <v>11926</v>
      </c>
      <c r="J22" s="1066">
        <v>12177</v>
      </c>
      <c r="K22" s="1066">
        <v>12454</v>
      </c>
      <c r="L22" s="1066">
        <v>12635</v>
      </c>
      <c r="M22" s="1066">
        <v>12850</v>
      </c>
      <c r="AB22" s="246">
        <v>2011</v>
      </c>
      <c r="AC22" s="1082">
        <v>134161577.33601415</v>
      </c>
      <c r="AD22" s="1082">
        <v>135430755.65105194</v>
      </c>
      <c r="DU22" s="1105"/>
      <c r="DV22" s="1106" t="s">
        <v>37</v>
      </c>
      <c r="DW22" s="1107">
        <v>0</v>
      </c>
      <c r="DX22" s="1107">
        <v>0</v>
      </c>
      <c r="DY22" s="1107">
        <v>0</v>
      </c>
      <c r="DZ22" s="1107">
        <v>0</v>
      </c>
      <c r="EA22" s="1107">
        <v>7024.26</v>
      </c>
      <c r="EB22" s="1107">
        <v>7300.7999999999993</v>
      </c>
      <c r="EC22" s="1107">
        <v>7185.5999999999995</v>
      </c>
      <c r="ED22" s="1107">
        <v>6698.9100000000008</v>
      </c>
      <c r="EE22" s="1107">
        <v>6556.56</v>
      </c>
      <c r="EF22" s="1107">
        <v>6080.47</v>
      </c>
      <c r="EG22" s="1107">
        <v>7082.8718370093256</v>
      </c>
      <c r="EH22" s="1108">
        <v>7074.5556896241151</v>
      </c>
    </row>
    <row r="23" spans="3:138" x14ac:dyDescent="0.2">
      <c r="C23" s="1060" t="s">
        <v>136</v>
      </c>
      <c r="D23" s="1066">
        <v>10259</v>
      </c>
      <c r="E23" s="1066">
        <v>10710</v>
      </c>
      <c r="F23" s="1066">
        <v>11150</v>
      </c>
      <c r="G23" s="1066">
        <v>11435</v>
      </c>
      <c r="H23" s="1066">
        <v>11722</v>
      </c>
      <c r="I23" s="1066">
        <v>11954</v>
      </c>
      <c r="J23" s="1066">
        <v>12200</v>
      </c>
      <c r="K23" s="1066">
        <v>12473</v>
      </c>
      <c r="L23" s="1066">
        <v>12674</v>
      </c>
      <c r="M23" s="1066">
        <v>12862</v>
      </c>
      <c r="AB23" s="246">
        <v>2012</v>
      </c>
      <c r="AC23" s="1082">
        <v>135273490.50807804</v>
      </c>
      <c r="AD23" s="1082">
        <v>137767004.16238713</v>
      </c>
      <c r="DU23" s="1105"/>
      <c r="DV23" s="1106"/>
      <c r="DW23" s="1107"/>
      <c r="DX23" s="1107"/>
      <c r="DY23" s="1107"/>
      <c r="DZ23" s="1107"/>
      <c r="EA23" s="1107"/>
      <c r="EB23" s="1107"/>
      <c r="EC23" s="1107"/>
      <c r="ED23" s="1107"/>
      <c r="EE23" s="1107"/>
      <c r="EF23" s="1107"/>
      <c r="EG23" s="1109"/>
      <c r="EH23" s="1110"/>
    </row>
    <row r="24" spans="3:138" x14ac:dyDescent="0.2">
      <c r="C24" s="1060" t="s">
        <v>137</v>
      </c>
      <c r="D24" s="1066">
        <v>10319</v>
      </c>
      <c r="E24" s="1066">
        <v>10733</v>
      </c>
      <c r="F24" s="1066">
        <v>11184</v>
      </c>
      <c r="G24" s="1066">
        <v>11477</v>
      </c>
      <c r="H24" s="1066">
        <v>11752</v>
      </c>
      <c r="I24" s="1066">
        <v>11987</v>
      </c>
      <c r="J24" s="1066">
        <v>12230</v>
      </c>
      <c r="K24" s="1066">
        <v>12501</v>
      </c>
      <c r="L24" s="1066">
        <v>12715</v>
      </c>
      <c r="M24" s="1066">
        <v>12874</v>
      </c>
      <c r="AB24" s="246">
        <v>2013</v>
      </c>
      <c r="AC24" s="1082">
        <v>140350628.06043413</v>
      </c>
      <c r="AD24" s="1082">
        <v>139348856.14625099</v>
      </c>
      <c r="DU24" s="1101" t="s">
        <v>98</v>
      </c>
      <c r="DV24" s="1106" t="s">
        <v>124</v>
      </c>
      <c r="DW24" s="1103">
        <v>2181.5</v>
      </c>
      <c r="DX24" s="1103">
        <v>2259.5</v>
      </c>
      <c r="DY24" s="1103">
        <v>2340</v>
      </c>
      <c r="DZ24" s="1103">
        <v>2421.5</v>
      </c>
      <c r="EA24" s="1103">
        <v>2473</v>
      </c>
      <c r="EB24" s="1103">
        <v>2483</v>
      </c>
      <c r="EC24" s="1103">
        <v>2493.5</v>
      </c>
      <c r="ED24" s="1103">
        <v>2588</v>
      </c>
      <c r="EE24" s="1103">
        <v>2693.5</v>
      </c>
      <c r="EF24" s="1103">
        <v>2738</v>
      </c>
      <c r="EG24" s="1103">
        <v>2794.3146603862924</v>
      </c>
      <c r="EH24" s="1104">
        <v>2851.7875899378237</v>
      </c>
    </row>
    <row r="25" spans="3:138" x14ac:dyDescent="0.2">
      <c r="C25" s="1060" t="s">
        <v>138</v>
      </c>
      <c r="D25" s="1066">
        <v>10335</v>
      </c>
      <c r="E25" s="1066">
        <v>10740</v>
      </c>
      <c r="F25" s="1066">
        <v>11186</v>
      </c>
      <c r="G25" s="1066">
        <v>11527</v>
      </c>
      <c r="H25" s="1066">
        <v>11762</v>
      </c>
      <c r="I25" s="1066">
        <v>12012</v>
      </c>
      <c r="J25" s="1066">
        <v>12272</v>
      </c>
      <c r="K25" s="1066">
        <v>12521</v>
      </c>
      <c r="L25" s="1066">
        <v>12756</v>
      </c>
      <c r="M25" s="1066">
        <v>12938</v>
      </c>
      <c r="AB25" s="246">
        <v>2014</v>
      </c>
      <c r="AC25" s="1082">
        <v>141244140.10580468</v>
      </c>
      <c r="AD25" s="1082">
        <v>139874778.4513928</v>
      </c>
      <c r="DU25" s="1105"/>
      <c r="DV25" s="1106" t="s">
        <v>36</v>
      </c>
      <c r="DW25" s="1103">
        <v>1506679.0199999998</v>
      </c>
      <c r="DX25" s="1103">
        <v>1581464.98</v>
      </c>
      <c r="DY25" s="1103">
        <v>1649562.9100000001</v>
      </c>
      <c r="DZ25" s="1103">
        <v>1743399.895</v>
      </c>
      <c r="EA25" s="1103">
        <v>1723126.175</v>
      </c>
      <c r="EB25" s="1103">
        <v>1736181.47</v>
      </c>
      <c r="EC25" s="1103">
        <v>1695783</v>
      </c>
      <c r="ED25" s="1103">
        <v>1731441.9339870713</v>
      </c>
      <c r="EE25" s="1103">
        <v>1796174.3293246992</v>
      </c>
      <c r="EF25" s="1103">
        <v>1834663.3857539315</v>
      </c>
      <c r="EG25" s="1103">
        <v>1866113.1506940115</v>
      </c>
      <c r="EH25" s="1104">
        <v>1898102.0269078359</v>
      </c>
    </row>
    <row r="26" spans="3:138" x14ac:dyDescent="0.2">
      <c r="C26" s="1060" t="s">
        <v>139</v>
      </c>
      <c r="D26" s="1066">
        <v>10380</v>
      </c>
      <c r="E26" s="1066">
        <v>10815</v>
      </c>
      <c r="F26" s="1066">
        <v>11236</v>
      </c>
      <c r="G26" s="1066">
        <v>11549</v>
      </c>
      <c r="H26" s="1066">
        <v>11789</v>
      </c>
      <c r="I26" s="1066">
        <v>12031</v>
      </c>
      <c r="J26" s="1066">
        <v>12299</v>
      </c>
      <c r="K26" s="1066">
        <v>12538</v>
      </c>
      <c r="L26" s="1066">
        <v>12781</v>
      </c>
      <c r="M26" s="1066">
        <v>12920</v>
      </c>
      <c r="DU26" s="1105"/>
      <c r="DV26" s="1106" t="s">
        <v>37</v>
      </c>
      <c r="DW26" s="1107">
        <v>0</v>
      </c>
      <c r="DX26" s="1107">
        <v>0</v>
      </c>
      <c r="DY26" s="1107">
        <v>0</v>
      </c>
      <c r="DZ26" s="1107">
        <v>0</v>
      </c>
      <c r="EA26" s="1107">
        <v>4962.5399999999991</v>
      </c>
      <c r="EB26" s="1107">
        <v>4976.3099999999995</v>
      </c>
      <c r="EC26" s="1107">
        <v>5014.5</v>
      </c>
      <c r="ED26" s="1107">
        <v>5202.74</v>
      </c>
      <c r="EE26" s="1107">
        <v>5310.59</v>
      </c>
      <c r="EF26" s="1107">
        <v>5426.1900000000014</v>
      </c>
      <c r="EG26" s="1107">
        <v>5502.1768225941505</v>
      </c>
      <c r="EH26" s="1108">
        <v>5596.4950332659309</v>
      </c>
    </row>
    <row r="27" spans="3:138" x14ac:dyDescent="0.2">
      <c r="C27" s="1060" t="s">
        <v>142</v>
      </c>
      <c r="D27" s="1066">
        <v>10411</v>
      </c>
      <c r="E27" s="1066">
        <v>10831</v>
      </c>
      <c r="F27" s="1066">
        <v>11253</v>
      </c>
      <c r="G27" s="1066">
        <v>11596</v>
      </c>
      <c r="H27" s="1066">
        <v>11794</v>
      </c>
      <c r="I27" s="1066">
        <v>12052</v>
      </c>
      <c r="J27" s="1066">
        <v>12324</v>
      </c>
      <c r="K27" s="1066">
        <v>12557</v>
      </c>
      <c r="L27" s="1066">
        <v>12808</v>
      </c>
      <c r="M27" s="1066">
        <v>12961</v>
      </c>
      <c r="DU27" s="1105"/>
      <c r="DV27" s="1106"/>
      <c r="DW27" s="1107"/>
      <c r="DX27" s="1107"/>
      <c r="DY27" s="1107"/>
      <c r="DZ27" s="1107"/>
      <c r="EA27" s="1107"/>
      <c r="EB27" s="1107"/>
      <c r="EC27" s="1107"/>
      <c r="ED27" s="1107"/>
      <c r="EE27" s="1107"/>
      <c r="EF27" s="1107"/>
      <c r="EG27" s="1109"/>
      <c r="EH27" s="1110"/>
    </row>
    <row r="28" spans="3:138" x14ac:dyDescent="0.2">
      <c r="C28" s="1060" t="s">
        <v>140</v>
      </c>
      <c r="D28" s="1066">
        <v>10464</v>
      </c>
      <c r="E28" s="1066">
        <v>10868</v>
      </c>
      <c r="F28" s="1066">
        <v>11265</v>
      </c>
      <c r="G28" s="1066">
        <v>11631</v>
      </c>
      <c r="H28" s="1066">
        <v>11818</v>
      </c>
      <c r="I28" s="1066">
        <v>12081</v>
      </c>
      <c r="J28" s="1066">
        <v>12349</v>
      </c>
      <c r="K28" s="1066">
        <v>12571</v>
      </c>
      <c r="L28" s="1066">
        <v>12852</v>
      </c>
      <c r="M28" s="1066">
        <v>12977</v>
      </c>
      <c r="DU28" s="1101" t="s">
        <v>99</v>
      </c>
      <c r="DV28" s="1106" t="s">
        <v>124</v>
      </c>
      <c r="DW28" s="1103">
        <v>52.5</v>
      </c>
      <c r="DX28" s="1103">
        <v>46.5</v>
      </c>
      <c r="DY28" s="1103">
        <v>41.5</v>
      </c>
      <c r="DZ28" s="1103">
        <v>40</v>
      </c>
      <c r="EA28" s="1103">
        <v>32.5</v>
      </c>
      <c r="EB28" s="1103">
        <v>36.5</v>
      </c>
      <c r="EC28" s="1103">
        <v>41.5</v>
      </c>
      <c r="ED28" s="1103">
        <v>39</v>
      </c>
      <c r="EE28" s="1103">
        <v>42.5</v>
      </c>
      <c r="EF28" s="1103">
        <v>41</v>
      </c>
      <c r="EG28" s="1103">
        <v>41</v>
      </c>
      <c r="EH28" s="1104">
        <v>41</v>
      </c>
    </row>
    <row r="29" spans="3:138" x14ac:dyDescent="0.2">
      <c r="C29" s="1060" t="s">
        <v>141</v>
      </c>
      <c r="D29" s="1066">
        <v>10485</v>
      </c>
      <c r="E29" s="1066">
        <v>10902</v>
      </c>
      <c r="F29" s="1066">
        <v>11312</v>
      </c>
      <c r="G29" s="1066">
        <v>11664</v>
      </c>
      <c r="H29" s="1066">
        <v>11836</v>
      </c>
      <c r="I29" s="1066">
        <v>12096</v>
      </c>
      <c r="J29" s="1066">
        <v>12370</v>
      </c>
      <c r="K29" s="1066">
        <v>12582</v>
      </c>
      <c r="L29" s="1066">
        <v>12859</v>
      </c>
      <c r="M29" s="1066">
        <v>13010</v>
      </c>
      <c r="DU29" s="1105"/>
      <c r="DV29" s="1106" t="s">
        <v>36</v>
      </c>
      <c r="DW29" s="1103">
        <v>264617</v>
      </c>
      <c r="DX29" s="1103">
        <v>255784</v>
      </c>
      <c r="DY29" s="1103">
        <v>220922</v>
      </c>
      <c r="DZ29" s="1103">
        <v>173292</v>
      </c>
      <c r="EA29" s="1103">
        <v>255272</v>
      </c>
      <c r="EB29" s="1103">
        <v>322731</v>
      </c>
      <c r="EC29" s="1103">
        <v>310190</v>
      </c>
      <c r="ED29" s="1103">
        <v>264549.50046253472</v>
      </c>
      <c r="EE29" s="1103">
        <v>250495.81036077708</v>
      </c>
      <c r="EF29" s="1103">
        <v>248067.2539828493</v>
      </c>
      <c r="EG29" s="1103">
        <v>238220.87992424573</v>
      </c>
      <c r="EH29" s="1104">
        <v>226547.45223143164</v>
      </c>
    </row>
    <row r="30" spans="3:138" x14ac:dyDescent="0.2">
      <c r="DU30" s="1105"/>
      <c r="DV30" s="1106" t="s">
        <v>37</v>
      </c>
      <c r="DW30" s="1107">
        <v>0</v>
      </c>
      <c r="DX30" s="1107">
        <v>0</v>
      </c>
      <c r="DY30" s="1107">
        <v>0</v>
      </c>
      <c r="DZ30" s="1107">
        <v>0</v>
      </c>
      <c r="EA30" s="1107">
        <v>0</v>
      </c>
      <c r="EB30" s="1107">
        <v>0</v>
      </c>
      <c r="EC30" s="1107">
        <v>0</v>
      </c>
      <c r="ED30" s="1107">
        <v>0</v>
      </c>
      <c r="EE30" s="1107">
        <v>0</v>
      </c>
      <c r="EF30" s="1107">
        <v>0</v>
      </c>
      <c r="EG30" s="1107">
        <v>0</v>
      </c>
      <c r="EH30" s="1108">
        <v>0</v>
      </c>
    </row>
    <row r="31" spans="3:138" x14ac:dyDescent="0.2">
      <c r="C31" s="1071">
        <v>38322</v>
      </c>
      <c r="D31" s="1071">
        <v>38353</v>
      </c>
      <c r="E31" s="1071">
        <v>38384</v>
      </c>
      <c r="F31" s="1071">
        <v>38412</v>
      </c>
      <c r="G31" s="1071">
        <v>38443</v>
      </c>
      <c r="H31" s="1071">
        <v>38473</v>
      </c>
      <c r="I31" s="1071">
        <v>38504</v>
      </c>
      <c r="J31" s="1071">
        <v>38534</v>
      </c>
      <c r="K31" s="1071">
        <v>38565</v>
      </c>
      <c r="L31" s="1071">
        <v>38596</v>
      </c>
      <c r="M31" s="1071">
        <v>38626</v>
      </c>
      <c r="N31" s="1071">
        <v>38657</v>
      </c>
      <c r="O31" s="1071">
        <v>38687</v>
      </c>
      <c r="P31" s="1071">
        <v>38718</v>
      </c>
      <c r="Q31" s="1071">
        <v>38749</v>
      </c>
      <c r="R31" s="1071">
        <v>38777</v>
      </c>
      <c r="S31" s="1071">
        <v>38808</v>
      </c>
      <c r="T31" s="1071">
        <v>38838</v>
      </c>
      <c r="U31" s="1071">
        <v>38869</v>
      </c>
      <c r="V31" s="1071">
        <v>38899</v>
      </c>
      <c r="W31" s="1071">
        <v>38930</v>
      </c>
      <c r="X31" s="1071">
        <v>38961</v>
      </c>
      <c r="Y31" s="1071">
        <v>38991</v>
      </c>
      <c r="Z31" s="1071">
        <v>39022</v>
      </c>
      <c r="AA31" s="1071">
        <v>39052</v>
      </c>
      <c r="AB31" s="1071">
        <v>39083</v>
      </c>
      <c r="AC31" s="1071">
        <v>39114</v>
      </c>
      <c r="AD31" s="1071">
        <v>39142</v>
      </c>
      <c r="AE31" s="1071">
        <v>39173</v>
      </c>
      <c r="AF31" s="1071">
        <v>39203</v>
      </c>
      <c r="AG31" s="1071">
        <v>39234</v>
      </c>
      <c r="AH31" s="1071">
        <v>39264</v>
      </c>
      <c r="AI31" s="1071">
        <v>39295</v>
      </c>
      <c r="AJ31" s="1071">
        <v>39326</v>
      </c>
      <c r="AK31" s="1071">
        <v>39356</v>
      </c>
      <c r="AL31" s="1071">
        <v>39387</v>
      </c>
      <c r="AM31" s="1071">
        <v>39417</v>
      </c>
      <c r="AN31" s="1071">
        <v>39448</v>
      </c>
      <c r="AO31" s="1071">
        <v>39479</v>
      </c>
      <c r="AP31" s="1071">
        <v>39508</v>
      </c>
      <c r="AQ31" s="1071">
        <v>39539</v>
      </c>
      <c r="AR31" s="1071">
        <v>39569</v>
      </c>
      <c r="AS31" s="1071">
        <v>39600</v>
      </c>
      <c r="AT31" s="1071">
        <v>39630</v>
      </c>
      <c r="AU31" s="1071">
        <v>39661</v>
      </c>
      <c r="AV31" s="1071">
        <v>39692</v>
      </c>
      <c r="AW31" s="1071">
        <v>39722</v>
      </c>
      <c r="AX31" s="1071">
        <v>39753</v>
      </c>
      <c r="AY31" s="1071">
        <v>39783</v>
      </c>
      <c r="AZ31" s="1071">
        <v>39814</v>
      </c>
      <c r="BA31" s="1071">
        <v>39845</v>
      </c>
      <c r="BB31" s="1071">
        <v>39873</v>
      </c>
      <c r="BC31" s="1071">
        <v>39904</v>
      </c>
      <c r="BD31" s="1071">
        <v>39934</v>
      </c>
      <c r="BE31" s="1071">
        <v>39965</v>
      </c>
      <c r="BF31" s="1071">
        <v>39995</v>
      </c>
      <c r="BG31" s="1071">
        <v>40026</v>
      </c>
      <c r="BH31" s="1071">
        <v>40057</v>
      </c>
      <c r="BI31" s="1071">
        <v>40087</v>
      </c>
      <c r="BJ31" s="1071">
        <v>40118</v>
      </c>
      <c r="BK31" s="1071">
        <v>40148</v>
      </c>
      <c r="BL31" s="1071">
        <v>40179</v>
      </c>
      <c r="BM31" s="1071">
        <v>40210</v>
      </c>
      <c r="BN31" s="1071">
        <v>40238</v>
      </c>
      <c r="BO31" s="1071">
        <v>40269</v>
      </c>
      <c r="BP31" s="1071">
        <v>40299</v>
      </c>
      <c r="BQ31" s="1071">
        <v>40330</v>
      </c>
      <c r="BR31" s="1071">
        <v>40360</v>
      </c>
      <c r="BS31" s="1071">
        <v>40391</v>
      </c>
      <c r="BT31" s="1071">
        <v>40422</v>
      </c>
      <c r="BU31" s="1071">
        <v>40452</v>
      </c>
      <c r="BV31" s="1071">
        <v>40483</v>
      </c>
      <c r="BW31" s="1071">
        <v>40513</v>
      </c>
      <c r="BX31" s="1071">
        <v>40544</v>
      </c>
      <c r="BY31" s="1071">
        <v>40575</v>
      </c>
      <c r="BZ31" s="1071">
        <v>40603</v>
      </c>
      <c r="CA31" s="1071">
        <v>40634</v>
      </c>
      <c r="CB31" s="1071">
        <v>40664</v>
      </c>
      <c r="CC31" s="1071">
        <v>40695</v>
      </c>
      <c r="CD31" s="1071">
        <v>40725</v>
      </c>
      <c r="CE31" s="1071">
        <v>40756</v>
      </c>
      <c r="CF31" s="1071">
        <v>40787</v>
      </c>
      <c r="CG31" s="1071">
        <v>40817</v>
      </c>
      <c r="CH31" s="1071">
        <v>40848</v>
      </c>
      <c r="CI31" s="1071">
        <v>40878</v>
      </c>
      <c r="CJ31" s="1071">
        <v>40909</v>
      </c>
      <c r="CK31" s="1071">
        <v>40940</v>
      </c>
      <c r="CL31" s="1071">
        <v>40969</v>
      </c>
      <c r="CM31" s="1071">
        <v>41000</v>
      </c>
      <c r="CN31" s="1071">
        <v>41030</v>
      </c>
      <c r="CO31" s="1071">
        <v>41061</v>
      </c>
      <c r="CP31" s="1071">
        <v>41091</v>
      </c>
      <c r="CQ31" s="1071">
        <v>41122</v>
      </c>
      <c r="CR31" s="1071">
        <v>41153</v>
      </c>
      <c r="CS31" s="1071">
        <v>41183</v>
      </c>
      <c r="CT31" s="1071">
        <v>41214</v>
      </c>
      <c r="CU31" s="1071">
        <v>41244</v>
      </c>
      <c r="CV31" s="1071">
        <v>41275</v>
      </c>
      <c r="CW31" s="1071">
        <v>41306</v>
      </c>
      <c r="CX31" s="1071">
        <v>41334</v>
      </c>
      <c r="CY31" s="1071">
        <v>41365</v>
      </c>
      <c r="CZ31" s="1071">
        <v>41395</v>
      </c>
      <c r="DA31" s="1071">
        <v>41426</v>
      </c>
      <c r="DB31" s="1071">
        <v>41456</v>
      </c>
      <c r="DC31" s="1071">
        <v>41487</v>
      </c>
      <c r="DD31" s="1071">
        <v>41518</v>
      </c>
      <c r="DE31" s="1071">
        <v>41548</v>
      </c>
      <c r="DF31" s="1071">
        <v>41579</v>
      </c>
      <c r="DG31" s="1071">
        <v>41609</v>
      </c>
      <c r="DH31" s="1071">
        <v>41640</v>
      </c>
      <c r="DI31" s="1071">
        <v>41671</v>
      </c>
      <c r="DJ31" s="1071">
        <v>41699</v>
      </c>
      <c r="DK31" s="1071">
        <v>41730</v>
      </c>
      <c r="DL31" s="1071">
        <v>41760</v>
      </c>
      <c r="DM31" s="1071">
        <v>41791</v>
      </c>
      <c r="DN31" s="1071">
        <v>41821</v>
      </c>
      <c r="DO31" s="1071">
        <v>41852</v>
      </c>
      <c r="DP31" s="1071">
        <v>41883</v>
      </c>
      <c r="DQ31" s="1071">
        <v>41913</v>
      </c>
      <c r="DR31" s="1071">
        <v>41944</v>
      </c>
      <c r="DS31" s="1071">
        <v>41974</v>
      </c>
      <c r="DU31" s="1105"/>
      <c r="DV31" s="1106"/>
      <c r="DW31" s="1107"/>
      <c r="DX31" s="1107"/>
      <c r="DY31" s="1107"/>
      <c r="DZ31" s="1107"/>
      <c r="EA31" s="1107"/>
      <c r="EB31" s="1107"/>
      <c r="EC31" s="1107"/>
      <c r="ED31" s="1107"/>
      <c r="EE31" s="1107"/>
      <c r="EF31" s="1107"/>
      <c r="EG31" s="1109"/>
      <c r="EH31" s="1110"/>
    </row>
    <row r="32" spans="3:138" x14ac:dyDescent="0.2">
      <c r="C32" s="1061">
        <v>105.4</v>
      </c>
      <c r="D32" s="1061">
        <v>105.3</v>
      </c>
      <c r="E32" s="1061">
        <v>105.7</v>
      </c>
      <c r="F32" s="1061">
        <v>106.3</v>
      </c>
      <c r="G32" s="1061">
        <v>106.6</v>
      </c>
      <c r="H32" s="1061">
        <v>106.7</v>
      </c>
      <c r="I32" s="1061">
        <v>106.9</v>
      </c>
      <c r="J32" s="1061">
        <v>107.1</v>
      </c>
      <c r="K32" s="1061">
        <v>107.5</v>
      </c>
      <c r="L32" s="1061">
        <v>108.4</v>
      </c>
      <c r="M32" s="1061">
        <v>107.9</v>
      </c>
      <c r="N32" s="1061">
        <v>107.7</v>
      </c>
      <c r="O32" s="1061">
        <v>107.6</v>
      </c>
      <c r="P32" s="1061">
        <v>108.2</v>
      </c>
      <c r="Q32" s="1061">
        <v>108</v>
      </c>
      <c r="R32" s="1061">
        <v>108.6</v>
      </c>
      <c r="S32" s="1061">
        <v>109.2</v>
      </c>
      <c r="T32" s="1061">
        <v>109.7</v>
      </c>
      <c r="U32" s="1061">
        <v>109.5</v>
      </c>
      <c r="V32" s="1061">
        <v>109.6</v>
      </c>
      <c r="W32" s="1061">
        <v>109.8</v>
      </c>
      <c r="X32" s="1061">
        <v>109.2</v>
      </c>
      <c r="Y32" s="1061">
        <v>109</v>
      </c>
      <c r="Z32" s="1061">
        <v>109.2</v>
      </c>
      <c r="AA32" s="1061">
        <v>109.4</v>
      </c>
      <c r="AB32" s="1061">
        <v>109.4</v>
      </c>
      <c r="AC32" s="1061">
        <v>110.2</v>
      </c>
      <c r="AD32" s="1061">
        <v>111.1</v>
      </c>
      <c r="AE32" s="1061">
        <v>111.6</v>
      </c>
      <c r="AF32" s="1061">
        <v>112.1</v>
      </c>
      <c r="AG32" s="1061">
        <v>111.9</v>
      </c>
      <c r="AH32" s="1061">
        <v>112</v>
      </c>
      <c r="AI32" s="1061">
        <v>111.7</v>
      </c>
      <c r="AJ32" s="1061">
        <v>111.9</v>
      </c>
      <c r="AK32" s="1061">
        <v>111.6</v>
      </c>
      <c r="AL32" s="1061">
        <v>111.9</v>
      </c>
      <c r="AM32" s="1061">
        <v>112</v>
      </c>
      <c r="AN32" s="1061">
        <v>111.8</v>
      </c>
      <c r="AO32" s="1061">
        <v>112.2</v>
      </c>
      <c r="AP32" s="1061">
        <v>112.6</v>
      </c>
      <c r="AQ32" s="1061">
        <v>113.5</v>
      </c>
      <c r="AR32" s="1061">
        <v>114.6</v>
      </c>
      <c r="AS32" s="1061">
        <v>115.4</v>
      </c>
      <c r="AT32" s="1061">
        <v>115.8</v>
      </c>
      <c r="AU32" s="1061">
        <v>115.6</v>
      </c>
      <c r="AV32" s="1061">
        <v>115.7</v>
      </c>
      <c r="AW32" s="1061">
        <v>114.5</v>
      </c>
      <c r="AX32" s="1061">
        <v>114.1</v>
      </c>
      <c r="AY32" s="1061">
        <v>113.3</v>
      </c>
      <c r="AZ32" s="1061">
        <v>113</v>
      </c>
      <c r="BA32" s="1061">
        <v>113.8</v>
      </c>
      <c r="BB32" s="1061">
        <v>114</v>
      </c>
      <c r="BC32" s="1061">
        <v>113.9</v>
      </c>
      <c r="BD32" s="1061">
        <v>114.7</v>
      </c>
      <c r="BE32" s="1061">
        <v>115.1</v>
      </c>
      <c r="BF32" s="1061">
        <v>114.7</v>
      </c>
      <c r="BG32" s="1061">
        <v>114.7</v>
      </c>
      <c r="BH32" s="1061">
        <v>114.7</v>
      </c>
      <c r="BI32" s="1061">
        <v>114.6</v>
      </c>
      <c r="BJ32" s="1061">
        <v>115.2</v>
      </c>
      <c r="BK32" s="1061">
        <v>114.8</v>
      </c>
      <c r="BL32" s="1061">
        <v>115.1</v>
      </c>
      <c r="BM32" s="1061">
        <v>115.6</v>
      </c>
      <c r="BN32" s="1061">
        <v>115.6</v>
      </c>
      <c r="BO32" s="1061">
        <v>116</v>
      </c>
      <c r="BP32" s="1061">
        <v>116.3</v>
      </c>
      <c r="BQ32" s="1061">
        <v>116.2</v>
      </c>
      <c r="BR32" s="1061">
        <v>116.8</v>
      </c>
      <c r="BS32" s="1061">
        <v>116.7</v>
      </c>
      <c r="BT32" s="1061">
        <v>116.9</v>
      </c>
      <c r="BU32" s="1061">
        <v>117.4</v>
      </c>
      <c r="BV32" s="1061">
        <v>117.5</v>
      </c>
      <c r="BW32" s="1061">
        <v>117.5</v>
      </c>
      <c r="BX32" s="1061">
        <v>117.8</v>
      </c>
      <c r="BY32" s="1061">
        <v>118.1</v>
      </c>
      <c r="BZ32" s="1061">
        <v>119.4</v>
      </c>
      <c r="CA32" s="1061">
        <v>119.8</v>
      </c>
      <c r="CB32" s="1061">
        <v>120.6</v>
      </c>
      <c r="CC32" s="1061">
        <v>119.8</v>
      </c>
      <c r="CD32" s="1061">
        <v>120</v>
      </c>
      <c r="CE32" s="1061">
        <v>120.3</v>
      </c>
      <c r="CF32" s="1061">
        <v>120.6</v>
      </c>
      <c r="CG32" s="1061">
        <v>120.8</v>
      </c>
      <c r="CH32" s="1061">
        <v>120.9</v>
      </c>
      <c r="CI32" s="1061">
        <v>120.2</v>
      </c>
      <c r="CJ32" s="1061">
        <v>120.7</v>
      </c>
      <c r="CK32" s="1061">
        <v>121.2</v>
      </c>
      <c r="CL32" s="1061">
        <v>121.7</v>
      </c>
      <c r="CM32" s="1061">
        <v>122.2</v>
      </c>
      <c r="CN32" s="1061">
        <v>122.1</v>
      </c>
      <c r="CO32" s="1061">
        <v>121.6</v>
      </c>
      <c r="CP32" s="1061">
        <v>121.5</v>
      </c>
      <c r="CQ32" s="1061">
        <v>121.8</v>
      </c>
      <c r="CR32" s="1061">
        <v>122</v>
      </c>
      <c r="CS32" s="1061">
        <v>122.2</v>
      </c>
      <c r="CT32" s="1061">
        <v>121.9</v>
      </c>
      <c r="CU32" s="1061">
        <v>121.2</v>
      </c>
      <c r="CV32" s="1061">
        <v>121.3</v>
      </c>
      <c r="CW32" s="1061">
        <v>122.7</v>
      </c>
      <c r="CX32" s="1061">
        <v>122.9</v>
      </c>
      <c r="CY32" s="1061">
        <v>122.7</v>
      </c>
      <c r="CZ32" s="1061">
        <v>123</v>
      </c>
      <c r="DA32" s="1061">
        <v>123</v>
      </c>
      <c r="DB32" s="1061">
        <v>123.1</v>
      </c>
      <c r="DC32" s="1061">
        <v>123.1</v>
      </c>
      <c r="DD32" s="1061">
        <v>123.3</v>
      </c>
      <c r="DE32" s="1061">
        <v>123</v>
      </c>
      <c r="DF32" s="1061">
        <v>123</v>
      </c>
      <c r="DG32" s="1061">
        <v>122.7</v>
      </c>
      <c r="DH32" s="1061">
        <v>123.1</v>
      </c>
      <c r="DI32" s="1061">
        <v>124.1</v>
      </c>
      <c r="DJ32" s="1061">
        <v>124.8</v>
      </c>
      <c r="DK32" s="1061">
        <v>125.2</v>
      </c>
      <c r="DL32" s="1061">
        <v>125.8</v>
      </c>
      <c r="DM32" s="1061">
        <v>125.9</v>
      </c>
      <c r="DN32" s="1061">
        <v>125.7</v>
      </c>
      <c r="DO32" s="1061">
        <v>125.7</v>
      </c>
      <c r="DP32" s="1061">
        <v>125.8</v>
      </c>
      <c r="DQ32" s="1061">
        <v>125.9</v>
      </c>
      <c r="DR32" s="1061">
        <v>125.4</v>
      </c>
      <c r="DS32" s="1061">
        <v>124.5</v>
      </c>
      <c r="DU32" s="1112"/>
      <c r="DV32" s="1113" t="s">
        <v>124</v>
      </c>
      <c r="DW32" s="1114">
        <v>12460</v>
      </c>
      <c r="DX32" s="1114">
        <v>12952</v>
      </c>
      <c r="DY32" s="1114">
        <v>13446</v>
      </c>
      <c r="DZ32" s="1114">
        <v>13908.5</v>
      </c>
      <c r="EA32" s="1114">
        <v>14222</v>
      </c>
      <c r="EB32" s="1114">
        <v>14447.5</v>
      </c>
      <c r="EC32" s="1114">
        <v>14720</v>
      </c>
      <c r="ED32" s="1114">
        <v>15058</v>
      </c>
      <c r="EE32" s="1114">
        <v>15413</v>
      </c>
      <c r="EF32" s="1114">
        <v>15681</v>
      </c>
      <c r="EG32" s="1114">
        <v>15988.314660386292</v>
      </c>
      <c r="EH32" s="1115">
        <v>16300.787589937823</v>
      </c>
    </row>
    <row r="33" spans="3:138" x14ac:dyDescent="0.2">
      <c r="C33" s="1061">
        <v>103.3</v>
      </c>
      <c r="D33" s="1061">
        <v>102.5</v>
      </c>
      <c r="E33" s="1061">
        <v>102.5</v>
      </c>
      <c r="F33" s="1061">
        <v>102.5</v>
      </c>
      <c r="G33" s="1061">
        <v>105.3</v>
      </c>
      <c r="H33" s="1061">
        <v>105.5</v>
      </c>
      <c r="I33" s="1061">
        <v>105.5</v>
      </c>
      <c r="J33" s="1061">
        <v>106</v>
      </c>
      <c r="K33" s="1061">
        <v>106</v>
      </c>
      <c r="L33" s="1061">
        <v>106</v>
      </c>
      <c r="M33" s="1061">
        <v>106.2</v>
      </c>
      <c r="N33" s="1061">
        <v>105.9</v>
      </c>
      <c r="O33" s="1061">
        <v>105</v>
      </c>
      <c r="P33" s="1061">
        <v>107.4</v>
      </c>
      <c r="Q33" s="1061">
        <v>107.4</v>
      </c>
      <c r="R33" s="1061">
        <v>107.4</v>
      </c>
      <c r="S33" s="1061">
        <v>107.9</v>
      </c>
      <c r="T33" s="1061">
        <v>112.1</v>
      </c>
      <c r="U33" s="1061">
        <v>112.1</v>
      </c>
      <c r="V33" s="1061">
        <v>112.7</v>
      </c>
      <c r="W33" s="1061">
        <v>112.7</v>
      </c>
      <c r="X33" s="1061">
        <v>113</v>
      </c>
      <c r="Y33" s="1061">
        <v>113.6</v>
      </c>
      <c r="Z33" s="1061">
        <v>111.3</v>
      </c>
      <c r="AA33" s="1061">
        <v>112</v>
      </c>
      <c r="AB33" s="1061">
        <v>111.9</v>
      </c>
      <c r="AC33" s="1061">
        <v>111.7</v>
      </c>
      <c r="AD33" s="1061">
        <v>111.5</v>
      </c>
      <c r="AE33" s="1061">
        <v>111.5</v>
      </c>
      <c r="AF33" s="1061">
        <v>111.2</v>
      </c>
      <c r="AG33" s="1061">
        <v>113</v>
      </c>
      <c r="AH33" s="1061">
        <v>114.4</v>
      </c>
      <c r="AI33" s="1061">
        <v>115.5</v>
      </c>
      <c r="AJ33" s="1061">
        <v>115.4</v>
      </c>
      <c r="AK33" s="1061">
        <v>114.2</v>
      </c>
      <c r="AL33" s="1061">
        <v>112.4</v>
      </c>
      <c r="AM33" s="1061">
        <v>112.4</v>
      </c>
      <c r="AN33" s="1061">
        <v>110.9</v>
      </c>
      <c r="AO33" s="1061">
        <v>110.8</v>
      </c>
      <c r="AP33" s="1061">
        <v>110.7</v>
      </c>
      <c r="AQ33" s="1061">
        <v>112.5</v>
      </c>
      <c r="AR33" s="1061">
        <v>112.9</v>
      </c>
      <c r="AS33" s="1061">
        <v>112.9</v>
      </c>
      <c r="AT33" s="1061">
        <v>115.1</v>
      </c>
      <c r="AU33" s="1061">
        <v>114.6</v>
      </c>
      <c r="AV33" s="1061">
        <v>113.2</v>
      </c>
      <c r="AW33" s="1061">
        <v>113.2</v>
      </c>
      <c r="AX33" s="1061">
        <v>115.2</v>
      </c>
      <c r="AY33" s="1061">
        <v>116.3</v>
      </c>
      <c r="AZ33" s="1061">
        <v>115.1</v>
      </c>
      <c r="BA33" s="1061">
        <v>115.8</v>
      </c>
      <c r="BB33" s="1061">
        <v>114.1</v>
      </c>
      <c r="BC33" s="1061">
        <v>113.6</v>
      </c>
      <c r="BD33" s="1061">
        <v>115.6</v>
      </c>
      <c r="BE33" s="1061">
        <v>114.6</v>
      </c>
      <c r="BF33" s="1061">
        <v>114.9</v>
      </c>
      <c r="BG33" s="1061">
        <v>117.1</v>
      </c>
      <c r="BH33" s="1061">
        <v>115.8</v>
      </c>
      <c r="BI33" s="1061">
        <v>114.3</v>
      </c>
      <c r="BJ33" s="1061">
        <v>115.5</v>
      </c>
      <c r="BK33" s="1061">
        <v>116.1</v>
      </c>
      <c r="BL33" s="1061">
        <v>115.4</v>
      </c>
      <c r="BM33" s="1061">
        <v>115.1</v>
      </c>
      <c r="BN33" s="1061">
        <v>114.4</v>
      </c>
      <c r="BO33" s="1061">
        <v>115.3</v>
      </c>
      <c r="BP33" s="1061">
        <v>120.2</v>
      </c>
      <c r="BQ33" s="1061">
        <v>121.3</v>
      </c>
      <c r="BR33" s="1061">
        <v>126.2</v>
      </c>
      <c r="BS33" s="1061">
        <v>126.1</v>
      </c>
      <c r="BT33" s="1061">
        <v>124.7</v>
      </c>
      <c r="BU33" s="1061">
        <v>123.6</v>
      </c>
      <c r="BV33" s="1061">
        <v>122.3</v>
      </c>
      <c r="BW33" s="1061">
        <v>123.3</v>
      </c>
      <c r="BX33" s="1061">
        <v>122.8</v>
      </c>
      <c r="BY33" s="1061">
        <v>120.1</v>
      </c>
      <c r="BZ33" s="1061">
        <v>119.3</v>
      </c>
      <c r="CA33" s="1061">
        <v>123.4</v>
      </c>
      <c r="CB33" s="1061">
        <v>121.3</v>
      </c>
      <c r="CC33" s="1061">
        <v>121.8</v>
      </c>
      <c r="CD33" s="1061">
        <v>125.6</v>
      </c>
      <c r="CE33" s="1061">
        <v>128.30000000000001</v>
      </c>
      <c r="CF33" s="1061">
        <v>124.4</v>
      </c>
      <c r="CG33" s="1061">
        <v>128.69999999999999</v>
      </c>
      <c r="CH33" s="1061">
        <v>126.1</v>
      </c>
      <c r="CI33" s="1061">
        <v>129.9</v>
      </c>
      <c r="CJ33" s="1061">
        <v>131.80000000000001</v>
      </c>
      <c r="CK33" s="1061">
        <v>130.5</v>
      </c>
      <c r="CL33" s="1061">
        <v>125.6</v>
      </c>
      <c r="CM33" s="1061">
        <v>125.4</v>
      </c>
      <c r="CN33" s="1061">
        <v>127.8</v>
      </c>
      <c r="CO33" s="1061">
        <v>129</v>
      </c>
      <c r="CP33" s="1061">
        <v>130.30000000000001</v>
      </c>
      <c r="CQ33" s="1061">
        <v>132.6</v>
      </c>
      <c r="CR33" s="1061">
        <v>131.9</v>
      </c>
      <c r="CS33" s="1061">
        <v>130.9</v>
      </c>
      <c r="CT33" s="1061">
        <v>128.30000000000001</v>
      </c>
      <c r="CU33" s="1061">
        <v>129.19999999999999</v>
      </c>
      <c r="CV33" s="1061">
        <v>130</v>
      </c>
      <c r="CW33" s="1061">
        <v>129</v>
      </c>
      <c r="CX33" s="1061">
        <v>128.80000000000001</v>
      </c>
      <c r="CY33" s="1061">
        <v>130.69999999999999</v>
      </c>
      <c r="CZ33" s="1061">
        <v>131.69999999999999</v>
      </c>
      <c r="DA33" s="1061">
        <v>131.9</v>
      </c>
      <c r="DB33" s="1061">
        <v>134.5</v>
      </c>
      <c r="DC33" s="1061">
        <v>134.69999999999999</v>
      </c>
      <c r="DD33" s="1061">
        <v>134.4</v>
      </c>
      <c r="DE33" s="1061">
        <v>132.80000000000001</v>
      </c>
      <c r="DF33" s="1061">
        <v>134.80000000000001</v>
      </c>
      <c r="DG33" s="1061">
        <v>134.5</v>
      </c>
      <c r="DH33" s="1061">
        <v>136.1</v>
      </c>
      <c r="DI33" s="1061">
        <v>135.1</v>
      </c>
      <c r="DJ33" s="1061">
        <v>135.30000000000001</v>
      </c>
      <c r="DK33" s="1061">
        <v>136.69999999999999</v>
      </c>
      <c r="DL33" s="1061">
        <v>140.9</v>
      </c>
      <c r="DM33" s="1061">
        <v>137.4</v>
      </c>
      <c r="DN33" s="1061">
        <v>139.1</v>
      </c>
      <c r="DO33" s="1061">
        <v>139.80000000000001</v>
      </c>
      <c r="DP33" s="1061">
        <v>139.9</v>
      </c>
      <c r="DQ33" s="1061">
        <v>140.19999999999999</v>
      </c>
      <c r="DR33" s="1061">
        <v>139.69999999999999</v>
      </c>
      <c r="DS33" s="1061">
        <v>140.30000000000001</v>
      </c>
      <c r="DU33" s="1116"/>
      <c r="DV33" s="1117" t="s">
        <v>36</v>
      </c>
      <c r="DW33" s="1118">
        <v>104361983.96000001</v>
      </c>
      <c r="DX33" s="1119">
        <v>106422351.35000001</v>
      </c>
      <c r="DY33" s="1119">
        <v>109546147.41600001</v>
      </c>
      <c r="DZ33" s="1119">
        <v>117173371.772</v>
      </c>
      <c r="EA33" s="1119">
        <v>121083045.91800001</v>
      </c>
      <c r="EB33" s="1119">
        <v>125814571.27</v>
      </c>
      <c r="EC33" s="1119">
        <v>124253328</v>
      </c>
      <c r="ED33" s="1119">
        <v>121706363.46424992</v>
      </c>
      <c r="EE33" s="1119">
        <v>126042209.27012025</v>
      </c>
      <c r="EF33" s="1119">
        <v>127011181.77757211</v>
      </c>
      <c r="EG33" s="1119">
        <v>131761099.98893245</v>
      </c>
      <c r="EH33" s="1120">
        <v>134028442.76069413</v>
      </c>
    </row>
    <row r="34" spans="3:138" ht="13.5" thickBot="1" x14ac:dyDescent="0.25">
      <c r="DU34" s="1121"/>
      <c r="DV34" s="1122" t="s">
        <v>37</v>
      </c>
      <c r="DW34" s="1123">
        <v>0</v>
      </c>
      <c r="DX34" s="1123">
        <v>0</v>
      </c>
      <c r="DY34" s="1123">
        <v>0</v>
      </c>
      <c r="DZ34" s="1123">
        <v>0</v>
      </c>
      <c r="EA34" s="1123">
        <v>55798.490000000005</v>
      </c>
      <c r="EB34" s="1123">
        <v>56392.81</v>
      </c>
      <c r="EC34" s="1123">
        <v>57558.6</v>
      </c>
      <c r="ED34" s="1123">
        <v>59496.62</v>
      </c>
      <c r="EE34" s="1123">
        <v>58733.759999999995</v>
      </c>
      <c r="EF34" s="1123">
        <v>57495.83</v>
      </c>
      <c r="EG34" s="1123">
        <v>59153.796944452726</v>
      </c>
      <c r="EH34" s="1124">
        <v>60025.024633645087</v>
      </c>
    </row>
    <row r="36" spans="3:138" ht="15" customHeight="1" x14ac:dyDescent="0.2">
      <c r="C36" s="1061"/>
      <c r="D36" s="1460">
        <v>2005</v>
      </c>
      <c r="E36" s="1460"/>
      <c r="F36" s="1460">
        <v>2006</v>
      </c>
      <c r="G36" s="1460"/>
      <c r="H36" s="1460">
        <v>2007</v>
      </c>
      <c r="I36" s="1460"/>
      <c r="J36" s="1460">
        <v>2008</v>
      </c>
      <c r="K36" s="1460"/>
      <c r="L36" s="1460">
        <v>2009</v>
      </c>
      <c r="M36" s="1460"/>
      <c r="N36" s="1460">
        <v>2010</v>
      </c>
      <c r="O36" s="1460"/>
      <c r="P36" s="1460">
        <v>2011</v>
      </c>
      <c r="Q36" s="1460"/>
      <c r="R36" s="1460">
        <v>2012</v>
      </c>
      <c r="S36" s="1460"/>
      <c r="T36" s="1460">
        <v>2013</v>
      </c>
      <c r="U36" s="1460"/>
      <c r="V36" s="1460">
        <v>2014</v>
      </c>
      <c r="W36" s="1460"/>
    </row>
    <row r="37" spans="3:138" ht="15" customHeight="1" x14ac:dyDescent="0.2">
      <c r="C37" s="1061"/>
      <c r="D37" s="1072" t="s">
        <v>619</v>
      </c>
      <c r="E37" s="1072" t="s">
        <v>620</v>
      </c>
      <c r="F37" s="1072" t="s">
        <v>619</v>
      </c>
      <c r="G37" s="1072" t="s">
        <v>620</v>
      </c>
      <c r="H37" s="1072" t="s">
        <v>619</v>
      </c>
      <c r="I37" s="1072" t="s">
        <v>620</v>
      </c>
      <c r="J37" s="1072" t="s">
        <v>619</v>
      </c>
      <c r="K37" s="1072" t="s">
        <v>620</v>
      </c>
      <c r="L37" s="1072" t="s">
        <v>619</v>
      </c>
      <c r="M37" s="1072" t="s">
        <v>620</v>
      </c>
      <c r="N37" s="1072" t="s">
        <v>619</v>
      </c>
      <c r="O37" s="1072" t="s">
        <v>620</v>
      </c>
      <c r="P37" s="1072" t="s">
        <v>619</v>
      </c>
      <c r="Q37" s="1072" t="s">
        <v>620</v>
      </c>
      <c r="R37" s="1072" t="s">
        <v>619</v>
      </c>
      <c r="S37" s="1072" t="s">
        <v>620</v>
      </c>
      <c r="T37" s="1072" t="s">
        <v>619</v>
      </c>
      <c r="U37" s="1072" t="s">
        <v>620</v>
      </c>
      <c r="V37" s="1072" t="s">
        <v>619</v>
      </c>
      <c r="W37" s="1072" t="s">
        <v>620</v>
      </c>
    </row>
    <row r="38" spans="3:138" ht="15" customHeight="1" x14ac:dyDescent="0.2">
      <c r="C38" s="1064" t="s">
        <v>132</v>
      </c>
      <c r="D38" s="13">
        <v>105.3</v>
      </c>
      <c r="E38" s="13">
        <v>102.5</v>
      </c>
      <c r="F38" s="13">
        <v>108.2</v>
      </c>
      <c r="G38" s="13">
        <v>107.4</v>
      </c>
      <c r="H38" s="13">
        <v>109.4</v>
      </c>
      <c r="I38" s="13">
        <v>111.9</v>
      </c>
      <c r="J38" s="13">
        <v>111.8</v>
      </c>
      <c r="K38" s="13">
        <v>110.9</v>
      </c>
      <c r="L38" s="13">
        <v>113</v>
      </c>
      <c r="M38" s="13">
        <v>115.1</v>
      </c>
      <c r="N38" s="13">
        <v>115.1</v>
      </c>
      <c r="O38" s="13">
        <v>115.4</v>
      </c>
      <c r="P38" s="13">
        <v>117.8</v>
      </c>
      <c r="Q38" s="13">
        <v>122.8</v>
      </c>
      <c r="R38" s="13">
        <v>120.7</v>
      </c>
      <c r="S38" s="13">
        <v>131.80000000000001</v>
      </c>
      <c r="T38" s="13">
        <v>121.3</v>
      </c>
      <c r="U38" s="13">
        <v>130</v>
      </c>
      <c r="V38" s="13">
        <v>123.1</v>
      </c>
      <c r="W38" s="13">
        <v>136.1</v>
      </c>
      <c r="DU38" s="59"/>
      <c r="DV38" s="59"/>
      <c r="DW38" s="1094"/>
      <c r="DX38" s="1094"/>
      <c r="DY38" s="1094"/>
      <c r="DZ38" s="1094"/>
      <c r="EA38" s="1094"/>
      <c r="EB38" s="1094"/>
      <c r="EC38" s="1094"/>
      <c r="ED38" s="1094"/>
      <c r="EE38" s="1094"/>
      <c r="EF38" s="1094"/>
      <c r="EG38" s="1095"/>
      <c r="EH38" s="1095"/>
    </row>
    <row r="39" spans="3:138" ht="15" customHeight="1" x14ac:dyDescent="0.2">
      <c r="C39" s="1064" t="s">
        <v>133</v>
      </c>
      <c r="D39" s="13">
        <v>105.7</v>
      </c>
      <c r="E39" s="13">
        <v>102.5</v>
      </c>
      <c r="F39" s="13">
        <v>108</v>
      </c>
      <c r="G39" s="13">
        <v>107.4</v>
      </c>
      <c r="H39" s="13">
        <v>110.2</v>
      </c>
      <c r="I39" s="13">
        <v>111.7</v>
      </c>
      <c r="J39" s="13">
        <v>112.2</v>
      </c>
      <c r="K39" s="13">
        <v>110.8</v>
      </c>
      <c r="L39" s="13">
        <v>113.8</v>
      </c>
      <c r="M39" s="13">
        <v>115.8</v>
      </c>
      <c r="N39" s="13">
        <v>115.6</v>
      </c>
      <c r="O39" s="13">
        <v>115.1</v>
      </c>
      <c r="P39" s="13">
        <v>118.1</v>
      </c>
      <c r="Q39" s="13">
        <v>120.1</v>
      </c>
      <c r="R39" s="13">
        <v>121.2</v>
      </c>
      <c r="S39" s="13">
        <v>130.5</v>
      </c>
      <c r="T39" s="13">
        <v>122.7</v>
      </c>
      <c r="U39" s="13">
        <v>129</v>
      </c>
      <c r="V39" s="13">
        <v>124.1</v>
      </c>
      <c r="W39" s="13">
        <v>135.1</v>
      </c>
      <c r="DU39" s="59"/>
      <c r="DV39" s="59"/>
      <c r="DW39" s="1094"/>
      <c r="DX39" s="1094"/>
      <c r="DY39" s="1094"/>
      <c r="DZ39" s="1094"/>
      <c r="EA39" s="1094"/>
      <c r="EB39" s="1094"/>
      <c r="EC39" s="1094"/>
      <c r="ED39" s="1094"/>
      <c r="EE39" s="1094"/>
      <c r="EF39" s="1094"/>
      <c r="EG39" s="1095"/>
      <c r="EH39" s="1095"/>
    </row>
    <row r="40" spans="3:138" ht="15" customHeight="1" x14ac:dyDescent="0.2">
      <c r="C40" s="1064" t="s">
        <v>134</v>
      </c>
      <c r="D40" s="13">
        <v>106.3</v>
      </c>
      <c r="E40" s="13">
        <v>102.5</v>
      </c>
      <c r="F40" s="13">
        <v>108.6</v>
      </c>
      <c r="G40" s="13">
        <v>107.4</v>
      </c>
      <c r="H40" s="13">
        <v>111.1</v>
      </c>
      <c r="I40" s="13">
        <v>111.5</v>
      </c>
      <c r="J40" s="13">
        <v>112.6</v>
      </c>
      <c r="K40" s="13">
        <v>110.7</v>
      </c>
      <c r="L40" s="13">
        <v>114</v>
      </c>
      <c r="M40" s="13">
        <v>114.1</v>
      </c>
      <c r="N40" s="13">
        <v>115.6</v>
      </c>
      <c r="O40" s="13">
        <v>114.4</v>
      </c>
      <c r="P40" s="13">
        <v>119.4</v>
      </c>
      <c r="Q40" s="13">
        <v>119.3</v>
      </c>
      <c r="R40" s="13">
        <v>121.7</v>
      </c>
      <c r="S40" s="13">
        <v>125.6</v>
      </c>
      <c r="T40" s="13">
        <v>122.9</v>
      </c>
      <c r="U40" s="13">
        <v>128.80000000000001</v>
      </c>
      <c r="V40" s="13">
        <v>124.8</v>
      </c>
      <c r="W40" s="13">
        <v>135.30000000000001</v>
      </c>
      <c r="DU40" s="1096"/>
      <c r="DV40" s="59"/>
      <c r="DW40" s="1094"/>
      <c r="DX40" s="1094"/>
      <c r="DY40" s="1094"/>
      <c r="DZ40" s="1094"/>
      <c r="EA40" s="1094"/>
      <c r="EB40" s="1094"/>
      <c r="EC40" s="1094"/>
      <c r="ED40" s="1094"/>
      <c r="EE40" s="1094"/>
      <c r="EF40" s="1094"/>
      <c r="EG40" s="1095"/>
      <c r="EH40" s="1095"/>
    </row>
    <row r="41" spans="3:138" ht="24.75" customHeight="1" x14ac:dyDescent="0.2">
      <c r="C41" s="1064" t="s">
        <v>135</v>
      </c>
      <c r="D41" s="13">
        <v>106.6</v>
      </c>
      <c r="E41" s="13">
        <v>105.3</v>
      </c>
      <c r="F41" s="13">
        <v>109.2</v>
      </c>
      <c r="G41" s="13">
        <v>107.9</v>
      </c>
      <c r="H41" s="13">
        <v>111.6</v>
      </c>
      <c r="I41" s="13">
        <v>111.5</v>
      </c>
      <c r="J41" s="13">
        <v>113.5</v>
      </c>
      <c r="K41" s="13">
        <v>112.5</v>
      </c>
      <c r="L41" s="13">
        <v>113.9</v>
      </c>
      <c r="M41" s="13">
        <v>113.6</v>
      </c>
      <c r="N41" s="13">
        <v>116</v>
      </c>
      <c r="O41" s="13">
        <v>115.3</v>
      </c>
      <c r="P41" s="13">
        <v>119.8</v>
      </c>
      <c r="Q41" s="13">
        <v>123.4</v>
      </c>
      <c r="R41" s="13">
        <v>122.2</v>
      </c>
      <c r="S41" s="13">
        <v>125.4</v>
      </c>
      <c r="T41" s="13">
        <v>122.7</v>
      </c>
      <c r="U41" s="13">
        <v>130.69999999999999</v>
      </c>
      <c r="V41" s="13">
        <v>125.2</v>
      </c>
      <c r="W41" s="13">
        <v>136.69999999999999</v>
      </c>
      <c r="AB41" s="1081" t="s">
        <v>33</v>
      </c>
      <c r="AC41" s="1037" t="s">
        <v>115</v>
      </c>
      <c r="AD41" s="1037" t="s">
        <v>417</v>
      </c>
      <c r="AE41" s="1162" t="s">
        <v>670</v>
      </c>
      <c r="AF41" s="1163" t="s">
        <v>671</v>
      </c>
      <c r="AG41" s="1081" t="s">
        <v>669</v>
      </c>
      <c r="DU41" s="59"/>
      <c r="DV41" s="59"/>
      <c r="DW41" s="1094"/>
      <c r="DX41" s="1094"/>
      <c r="DY41" s="1094"/>
      <c r="DZ41" s="1094"/>
      <c r="EA41" s="1094"/>
      <c r="EB41" s="1094"/>
      <c r="EC41" s="1094"/>
      <c r="ED41" s="1094"/>
      <c r="EE41" s="1094"/>
      <c r="EF41" s="1094"/>
      <c r="EG41" s="1095"/>
      <c r="EH41" s="1095"/>
    </row>
    <row r="42" spans="3:138" ht="15" customHeight="1" x14ac:dyDescent="0.2">
      <c r="C42" s="1064" t="s">
        <v>110</v>
      </c>
      <c r="D42" s="13">
        <v>106.7</v>
      </c>
      <c r="E42" s="13">
        <v>105.5</v>
      </c>
      <c r="F42" s="13">
        <v>109.7</v>
      </c>
      <c r="G42" s="13">
        <v>112.1</v>
      </c>
      <c r="H42" s="13">
        <v>112.1</v>
      </c>
      <c r="I42" s="13">
        <v>111.2</v>
      </c>
      <c r="J42" s="13">
        <v>114.6</v>
      </c>
      <c r="K42" s="13">
        <v>112.9</v>
      </c>
      <c r="L42" s="13">
        <v>114.7</v>
      </c>
      <c r="M42" s="13">
        <v>115.6</v>
      </c>
      <c r="N42" s="13">
        <v>116.3</v>
      </c>
      <c r="O42" s="13">
        <v>120.2</v>
      </c>
      <c r="P42" s="13">
        <v>120.6</v>
      </c>
      <c r="Q42" s="13">
        <v>121.3</v>
      </c>
      <c r="R42" s="13">
        <v>122.1</v>
      </c>
      <c r="S42" s="13">
        <v>127.8</v>
      </c>
      <c r="T42" s="13">
        <v>123</v>
      </c>
      <c r="U42" s="13">
        <v>131.69999999999999</v>
      </c>
      <c r="V42" s="13">
        <v>125.8</v>
      </c>
      <c r="W42" s="13">
        <v>140.9</v>
      </c>
      <c r="AB42" s="246">
        <v>2005</v>
      </c>
      <c r="AG42" s="1082">
        <v>116383501</v>
      </c>
      <c r="DU42" s="59"/>
      <c r="DV42" s="59"/>
      <c r="DW42" s="1094"/>
      <c r="DX42" s="1094"/>
      <c r="DY42" s="1094"/>
      <c r="DZ42" s="1094"/>
      <c r="EA42" s="1094"/>
      <c r="EB42" s="1094"/>
      <c r="EC42" s="1094"/>
      <c r="ED42" s="1094"/>
      <c r="EE42" s="1094"/>
      <c r="EF42" s="1094"/>
      <c r="EG42" s="1095"/>
      <c r="EH42" s="1095"/>
    </row>
    <row r="43" spans="3:138" ht="15" customHeight="1" x14ac:dyDescent="0.2">
      <c r="C43" s="1064" t="s">
        <v>136</v>
      </c>
      <c r="D43" s="13">
        <v>106.9</v>
      </c>
      <c r="E43" s="13">
        <v>105.5</v>
      </c>
      <c r="F43" s="13">
        <v>109.5</v>
      </c>
      <c r="G43" s="13">
        <v>112.1</v>
      </c>
      <c r="H43" s="13">
        <v>111.9</v>
      </c>
      <c r="I43" s="13">
        <v>113</v>
      </c>
      <c r="J43" s="13">
        <v>115.4</v>
      </c>
      <c r="K43" s="13">
        <v>112.9</v>
      </c>
      <c r="L43" s="13">
        <v>115.1</v>
      </c>
      <c r="M43" s="13">
        <v>114.6</v>
      </c>
      <c r="N43" s="13">
        <v>116.2</v>
      </c>
      <c r="O43" s="13">
        <v>121.3</v>
      </c>
      <c r="P43" s="13">
        <v>119.8</v>
      </c>
      <c r="Q43" s="13">
        <v>121.8</v>
      </c>
      <c r="R43" s="13">
        <v>121.6</v>
      </c>
      <c r="S43" s="13">
        <v>129</v>
      </c>
      <c r="T43" s="13">
        <v>123</v>
      </c>
      <c r="U43" s="13">
        <v>131.9</v>
      </c>
      <c r="V43" s="13">
        <v>125.9</v>
      </c>
      <c r="W43" s="13">
        <v>137.4</v>
      </c>
      <c r="AB43" s="246">
        <v>2006</v>
      </c>
      <c r="AG43" s="1082">
        <v>115191936.86133909</v>
      </c>
      <c r="DU43" s="59"/>
      <c r="DV43" s="59"/>
      <c r="DW43" s="1094"/>
      <c r="DX43" s="1094"/>
      <c r="DY43" s="1094"/>
      <c r="DZ43" s="1094"/>
      <c r="EA43" s="1094"/>
      <c r="EB43" s="1094"/>
      <c r="EC43" s="1094"/>
      <c r="ED43" s="1094"/>
      <c r="EE43" s="1094"/>
      <c r="EF43" s="1094"/>
      <c r="EG43" s="1095"/>
      <c r="EH43" s="1095"/>
    </row>
    <row r="44" spans="3:138" ht="15" customHeight="1" x14ac:dyDescent="0.2">
      <c r="C44" s="1064" t="s">
        <v>137</v>
      </c>
      <c r="D44" s="13">
        <v>107.1</v>
      </c>
      <c r="E44" s="13">
        <v>106</v>
      </c>
      <c r="F44" s="13">
        <v>109.6</v>
      </c>
      <c r="G44" s="13">
        <v>112.7</v>
      </c>
      <c r="H44" s="13">
        <v>112</v>
      </c>
      <c r="I44" s="13">
        <v>114.4</v>
      </c>
      <c r="J44" s="13">
        <v>115.8</v>
      </c>
      <c r="K44" s="13">
        <v>115.1</v>
      </c>
      <c r="L44" s="13">
        <v>114.7</v>
      </c>
      <c r="M44" s="13">
        <v>114.9</v>
      </c>
      <c r="N44" s="13">
        <v>116.8</v>
      </c>
      <c r="O44" s="13">
        <v>126.2</v>
      </c>
      <c r="P44" s="13">
        <v>120</v>
      </c>
      <c r="Q44" s="13">
        <v>125.6</v>
      </c>
      <c r="R44" s="13">
        <v>121.5</v>
      </c>
      <c r="S44" s="13">
        <v>130.30000000000001</v>
      </c>
      <c r="T44" s="13">
        <v>123.1</v>
      </c>
      <c r="U44" s="13">
        <v>134.5</v>
      </c>
      <c r="V44" s="13">
        <v>125.7</v>
      </c>
      <c r="W44" s="13">
        <v>139.1</v>
      </c>
      <c r="AB44" s="246">
        <v>2007</v>
      </c>
      <c r="AG44" s="1082">
        <v>125635745.20078859</v>
      </c>
      <c r="DU44" s="1096"/>
      <c r="DV44" s="59"/>
      <c r="DW44" s="1094"/>
      <c r="DX44" s="1094"/>
      <c r="DY44" s="1094"/>
      <c r="DZ44" s="1094"/>
      <c r="EA44" s="1094"/>
      <c r="EB44" s="1094"/>
      <c r="EC44" s="1094"/>
      <c r="ED44" s="1094"/>
      <c r="EE44" s="1094"/>
      <c r="EF44" s="1094"/>
      <c r="EG44" s="1095"/>
      <c r="EH44" s="1095"/>
    </row>
    <row r="45" spans="3:138" ht="15" customHeight="1" x14ac:dyDescent="0.2">
      <c r="C45" s="1064" t="s">
        <v>138</v>
      </c>
      <c r="D45" s="13">
        <v>107.5</v>
      </c>
      <c r="E45" s="13">
        <v>106</v>
      </c>
      <c r="F45" s="13">
        <v>109.8</v>
      </c>
      <c r="G45" s="13">
        <v>112.7</v>
      </c>
      <c r="H45" s="13">
        <v>111.7</v>
      </c>
      <c r="I45" s="13">
        <v>115.5</v>
      </c>
      <c r="J45" s="13">
        <v>115.6</v>
      </c>
      <c r="K45" s="13">
        <v>114.6</v>
      </c>
      <c r="L45" s="13">
        <v>114.7</v>
      </c>
      <c r="M45" s="13">
        <v>117.1</v>
      </c>
      <c r="N45" s="13">
        <v>116.7</v>
      </c>
      <c r="O45" s="13">
        <v>126.1</v>
      </c>
      <c r="P45" s="13">
        <v>120.3</v>
      </c>
      <c r="Q45" s="13">
        <v>128.30000000000001</v>
      </c>
      <c r="R45" s="13">
        <v>121.8</v>
      </c>
      <c r="S45" s="13">
        <v>132.6</v>
      </c>
      <c r="T45" s="13">
        <v>123.1</v>
      </c>
      <c r="U45" s="13">
        <v>134.69999999999999</v>
      </c>
      <c r="V45" s="13">
        <v>125.7</v>
      </c>
      <c r="W45" s="13">
        <v>139.80000000000001</v>
      </c>
      <c r="AB45" s="246">
        <v>2008</v>
      </c>
      <c r="AG45" s="1082">
        <v>130042772.68265095</v>
      </c>
      <c r="DU45" s="59"/>
      <c r="DV45" s="59"/>
      <c r="DW45" s="1094"/>
      <c r="DX45" s="1094"/>
      <c r="DY45" s="1094"/>
      <c r="DZ45" s="1094"/>
      <c r="EA45" s="1094"/>
      <c r="EB45" s="1094"/>
      <c r="EC45" s="1094"/>
      <c r="ED45" s="1094"/>
      <c r="EE45" s="1094"/>
      <c r="EF45" s="1094"/>
      <c r="EG45" s="1095"/>
      <c r="EH45" s="1095"/>
    </row>
    <row r="46" spans="3:138" ht="15" customHeight="1" x14ac:dyDescent="0.2">
      <c r="C46" s="1064" t="s">
        <v>139</v>
      </c>
      <c r="D46" s="13">
        <v>108.4</v>
      </c>
      <c r="E46" s="13">
        <v>106</v>
      </c>
      <c r="F46" s="13">
        <v>109.2</v>
      </c>
      <c r="G46" s="13">
        <v>113</v>
      </c>
      <c r="H46" s="13">
        <v>111.9</v>
      </c>
      <c r="I46" s="13">
        <v>115.4</v>
      </c>
      <c r="J46" s="13">
        <v>115.7</v>
      </c>
      <c r="K46" s="13">
        <v>113.2</v>
      </c>
      <c r="L46" s="13">
        <v>114.7</v>
      </c>
      <c r="M46" s="13">
        <v>115.8</v>
      </c>
      <c r="N46" s="13">
        <v>116.9</v>
      </c>
      <c r="O46" s="13">
        <v>124.7</v>
      </c>
      <c r="P46" s="13">
        <v>120.6</v>
      </c>
      <c r="Q46" s="13">
        <v>124.4</v>
      </c>
      <c r="R46" s="13">
        <v>122</v>
      </c>
      <c r="S46" s="13">
        <v>131.9</v>
      </c>
      <c r="T46" s="13">
        <v>123.3</v>
      </c>
      <c r="U46" s="13">
        <v>134.4</v>
      </c>
      <c r="V46" s="13">
        <v>125.8</v>
      </c>
      <c r="W46" s="13">
        <v>139.9</v>
      </c>
      <c r="AB46" s="246">
        <v>2009</v>
      </c>
      <c r="AG46" s="1082">
        <v>130163357.44510439</v>
      </c>
      <c r="DU46" s="59"/>
      <c r="DV46" s="59"/>
      <c r="DW46" s="1094"/>
      <c r="DX46" s="1094"/>
      <c r="DY46" s="1094"/>
      <c r="DZ46" s="1094"/>
      <c r="EA46" s="1094"/>
      <c r="EB46" s="1094"/>
      <c r="EC46" s="1094"/>
      <c r="ED46" s="1094"/>
      <c r="EE46" s="1094"/>
      <c r="EF46" s="1094"/>
      <c r="EG46" s="1095"/>
      <c r="EH46" s="1095"/>
    </row>
    <row r="47" spans="3:138" ht="15" customHeight="1" x14ac:dyDescent="0.2">
      <c r="C47" s="1064" t="s">
        <v>142</v>
      </c>
      <c r="D47" s="13">
        <v>107.9</v>
      </c>
      <c r="E47" s="13">
        <v>106.2</v>
      </c>
      <c r="F47" s="13">
        <v>109</v>
      </c>
      <c r="G47" s="13">
        <v>113.6</v>
      </c>
      <c r="H47" s="13">
        <v>111.6</v>
      </c>
      <c r="I47" s="13">
        <v>114.2</v>
      </c>
      <c r="J47" s="13">
        <v>114.5</v>
      </c>
      <c r="K47" s="13">
        <v>113.2</v>
      </c>
      <c r="L47" s="13">
        <v>114.6</v>
      </c>
      <c r="M47" s="13">
        <v>114.3</v>
      </c>
      <c r="N47" s="13">
        <v>117.4</v>
      </c>
      <c r="O47" s="13">
        <v>123.6</v>
      </c>
      <c r="P47" s="13">
        <v>120.8</v>
      </c>
      <c r="Q47" s="13">
        <v>128.69999999999999</v>
      </c>
      <c r="R47" s="13">
        <v>122.2</v>
      </c>
      <c r="S47" s="13">
        <v>130.9</v>
      </c>
      <c r="T47" s="13">
        <v>123</v>
      </c>
      <c r="U47" s="13">
        <v>132.80000000000001</v>
      </c>
      <c r="V47" s="13">
        <v>125.9</v>
      </c>
      <c r="W47" s="13">
        <v>140.19999999999999</v>
      </c>
      <c r="AB47" s="246">
        <v>2010</v>
      </c>
      <c r="AG47" s="1082">
        <v>131775602.11210045</v>
      </c>
      <c r="DU47" s="59"/>
      <c r="DV47" s="59"/>
      <c r="DW47" s="1094"/>
      <c r="DX47" s="1094"/>
      <c r="DY47" s="1094"/>
      <c r="DZ47" s="1094"/>
      <c r="EA47" s="1094"/>
      <c r="EB47" s="1094"/>
      <c r="EC47" s="1094"/>
      <c r="ED47" s="1094"/>
      <c r="EE47" s="1094"/>
      <c r="EF47" s="1094"/>
      <c r="EG47" s="1095"/>
      <c r="EH47" s="1095"/>
    </row>
    <row r="48" spans="3:138" ht="15" customHeight="1" x14ac:dyDescent="0.2">
      <c r="C48" s="1064" t="s">
        <v>140</v>
      </c>
      <c r="D48" s="13">
        <v>107.7</v>
      </c>
      <c r="E48" s="13">
        <v>105.9</v>
      </c>
      <c r="F48" s="13">
        <v>109.2</v>
      </c>
      <c r="G48" s="13">
        <v>111.3</v>
      </c>
      <c r="H48" s="13">
        <v>111.9</v>
      </c>
      <c r="I48" s="13">
        <v>112.4</v>
      </c>
      <c r="J48" s="13">
        <v>114.1</v>
      </c>
      <c r="K48" s="13">
        <v>115.2</v>
      </c>
      <c r="L48" s="13">
        <v>115.2</v>
      </c>
      <c r="M48" s="13">
        <v>115.5</v>
      </c>
      <c r="N48" s="13">
        <v>117.5</v>
      </c>
      <c r="O48" s="13">
        <v>122.3</v>
      </c>
      <c r="P48" s="13">
        <v>120.9</v>
      </c>
      <c r="Q48" s="13">
        <v>126.1</v>
      </c>
      <c r="R48" s="13">
        <v>121.9</v>
      </c>
      <c r="S48" s="13">
        <v>128.30000000000001</v>
      </c>
      <c r="T48" s="13">
        <v>123</v>
      </c>
      <c r="U48" s="13">
        <v>134.80000000000001</v>
      </c>
      <c r="V48" s="13">
        <v>125.4</v>
      </c>
      <c r="W48" s="13">
        <v>139.69999999999999</v>
      </c>
      <c r="AB48" s="246">
        <v>2011</v>
      </c>
      <c r="AG48" s="1082">
        <v>134161577.33601415</v>
      </c>
    </row>
    <row r="49" spans="3:33" ht="15" customHeight="1" x14ac:dyDescent="0.2">
      <c r="C49" s="1064" t="s">
        <v>141</v>
      </c>
      <c r="D49" s="13">
        <v>107.6</v>
      </c>
      <c r="E49" s="13">
        <v>105</v>
      </c>
      <c r="F49" s="13">
        <v>109.4</v>
      </c>
      <c r="G49" s="13">
        <v>112</v>
      </c>
      <c r="H49" s="13">
        <v>112</v>
      </c>
      <c r="I49" s="13">
        <v>112.4</v>
      </c>
      <c r="J49" s="13">
        <v>113.3</v>
      </c>
      <c r="K49" s="13">
        <v>116.3</v>
      </c>
      <c r="L49" s="13">
        <v>114.8</v>
      </c>
      <c r="M49" s="13">
        <v>116.1</v>
      </c>
      <c r="N49" s="13">
        <v>117.5</v>
      </c>
      <c r="O49" s="13">
        <v>123.3</v>
      </c>
      <c r="P49" s="13">
        <v>120.2</v>
      </c>
      <c r="Q49" s="13">
        <v>129.9</v>
      </c>
      <c r="R49" s="13">
        <v>121.2</v>
      </c>
      <c r="S49" s="13">
        <v>129.19999999999999</v>
      </c>
      <c r="T49" s="13">
        <v>122.7</v>
      </c>
      <c r="U49" s="13">
        <v>134.5</v>
      </c>
      <c r="V49" s="13">
        <v>124.5</v>
      </c>
      <c r="W49" s="13">
        <v>140.30000000000001</v>
      </c>
      <c r="AB49" s="246">
        <v>2012</v>
      </c>
      <c r="AG49" s="1082">
        <v>135273490.50807804</v>
      </c>
    </row>
    <row r="50" spans="3:33" ht="15" customHeight="1" x14ac:dyDescent="0.2">
      <c r="C50" s="1073" t="s">
        <v>621</v>
      </c>
      <c r="D50" s="1074">
        <f>D49-D38</f>
        <v>2.2999999999999972</v>
      </c>
      <c r="E50" s="1074">
        <f t="shared" ref="E50:W50" si="3">E49-E38</f>
        <v>2.5</v>
      </c>
      <c r="F50" s="1074">
        <f t="shared" si="3"/>
        <v>1.2000000000000028</v>
      </c>
      <c r="G50" s="1074">
        <f t="shared" si="3"/>
        <v>4.5999999999999943</v>
      </c>
      <c r="H50" s="1074">
        <f t="shared" si="3"/>
        <v>2.5999999999999943</v>
      </c>
      <c r="I50" s="1074">
        <f t="shared" si="3"/>
        <v>0.5</v>
      </c>
      <c r="J50" s="1074">
        <f t="shared" si="3"/>
        <v>1.5</v>
      </c>
      <c r="K50" s="1074">
        <f t="shared" si="3"/>
        <v>5.3999999999999915</v>
      </c>
      <c r="L50" s="1074">
        <f t="shared" si="3"/>
        <v>1.7999999999999972</v>
      </c>
      <c r="M50" s="1074">
        <f t="shared" si="3"/>
        <v>1</v>
      </c>
      <c r="N50" s="1074">
        <f t="shared" si="3"/>
        <v>2.4000000000000057</v>
      </c>
      <c r="O50" s="1074">
        <f t="shared" si="3"/>
        <v>7.8999999999999915</v>
      </c>
      <c r="P50" s="1074">
        <f t="shared" si="3"/>
        <v>2.4000000000000057</v>
      </c>
      <c r="Q50" s="1074">
        <f t="shared" si="3"/>
        <v>7.1000000000000085</v>
      </c>
      <c r="R50" s="1074">
        <f t="shared" si="3"/>
        <v>0.5</v>
      </c>
      <c r="S50" s="1074">
        <f t="shared" si="3"/>
        <v>-2.6000000000000227</v>
      </c>
      <c r="T50" s="1074">
        <f t="shared" si="3"/>
        <v>1.4000000000000057</v>
      </c>
      <c r="U50" s="1074">
        <f t="shared" si="3"/>
        <v>4.5</v>
      </c>
      <c r="V50" s="1074">
        <f t="shared" si="3"/>
        <v>1.4000000000000057</v>
      </c>
      <c r="W50" s="1074">
        <f t="shared" si="3"/>
        <v>4.2000000000000171</v>
      </c>
      <c r="AB50" s="246">
        <v>2013</v>
      </c>
      <c r="AG50" s="1082">
        <v>140350628.06043413</v>
      </c>
    </row>
    <row r="51" spans="3:33" x14ac:dyDescent="0.2">
      <c r="AB51" s="246">
        <v>2014</v>
      </c>
      <c r="AG51" s="1082">
        <v>141244140.10580468</v>
      </c>
    </row>
    <row r="55" spans="3:33" ht="15" customHeight="1" x14ac:dyDescent="0.2">
      <c r="C55" s="1458"/>
      <c r="D55" s="1065">
        <v>2005</v>
      </c>
      <c r="E55" s="1065">
        <v>2006</v>
      </c>
      <c r="F55" s="1065">
        <v>2007</v>
      </c>
      <c r="G55" s="1065">
        <v>2008</v>
      </c>
      <c r="H55" s="1065">
        <v>2009</v>
      </c>
      <c r="I55" s="1065">
        <v>2010</v>
      </c>
      <c r="J55" s="1065">
        <v>2011</v>
      </c>
      <c r="K55" s="1065">
        <v>2012</v>
      </c>
      <c r="L55" s="1065">
        <v>2013</v>
      </c>
      <c r="M55" s="1065">
        <v>2014</v>
      </c>
    </row>
    <row r="56" spans="3:33" ht="15" customHeight="1" x14ac:dyDescent="0.2">
      <c r="C56" s="1467"/>
      <c r="D56" s="1075" t="s">
        <v>200</v>
      </c>
      <c r="E56" s="1075" t="s">
        <v>200</v>
      </c>
      <c r="F56" s="1075" t="s">
        <v>200</v>
      </c>
      <c r="G56" s="1075" t="s">
        <v>200</v>
      </c>
      <c r="H56" s="1075" t="s">
        <v>200</v>
      </c>
      <c r="I56" s="1075" t="s">
        <v>200</v>
      </c>
      <c r="J56" s="1075" t="s">
        <v>200</v>
      </c>
      <c r="K56" s="1075" t="s">
        <v>200</v>
      </c>
      <c r="L56" s="1075" t="s">
        <v>200</v>
      </c>
      <c r="M56" s="1075" t="s">
        <v>200</v>
      </c>
    </row>
    <row r="57" spans="3:33" ht="15" customHeight="1" x14ac:dyDescent="0.2">
      <c r="C57" s="1064" t="s">
        <v>132</v>
      </c>
      <c r="D57" s="13">
        <v>2.7999999999999972</v>
      </c>
      <c r="E57" s="13">
        <v>0.79999999999999716</v>
      </c>
      <c r="F57" s="13">
        <v>-2.5</v>
      </c>
      <c r="G57" s="13">
        <v>0.89999999999999147</v>
      </c>
      <c r="H57" s="13">
        <v>-2.0999999999999943</v>
      </c>
      <c r="I57" s="13">
        <v>-0.30000000000001137</v>
      </c>
      <c r="J57" s="13">
        <v>-5</v>
      </c>
      <c r="K57" s="13">
        <v>-11.100000000000009</v>
      </c>
      <c r="L57" s="13">
        <v>-8.7000000000000028</v>
      </c>
      <c r="M57" s="13">
        <v>-13</v>
      </c>
    </row>
    <row r="58" spans="3:33" ht="15" customHeight="1" x14ac:dyDescent="0.2">
      <c r="C58" s="1064" t="s">
        <v>133</v>
      </c>
      <c r="D58" s="13">
        <v>3.2000000000000028</v>
      </c>
      <c r="E58" s="13">
        <v>0.59999999999999432</v>
      </c>
      <c r="F58" s="13">
        <v>-1.5</v>
      </c>
      <c r="G58" s="13">
        <v>1.4000000000000057</v>
      </c>
      <c r="H58" s="13">
        <v>-2</v>
      </c>
      <c r="I58" s="13">
        <v>0.5</v>
      </c>
      <c r="J58" s="13">
        <v>-2</v>
      </c>
      <c r="K58" s="13">
        <v>-9.2999999999999972</v>
      </c>
      <c r="L58" s="13">
        <v>-6.2999999999999972</v>
      </c>
      <c r="M58" s="13">
        <v>-11</v>
      </c>
    </row>
    <row r="59" spans="3:33" ht="15" customHeight="1" x14ac:dyDescent="0.2">
      <c r="C59" s="1064" t="s">
        <v>134</v>
      </c>
      <c r="D59" s="13">
        <v>3.7999999999999972</v>
      </c>
      <c r="E59" s="13">
        <v>1.1999999999999886</v>
      </c>
      <c r="F59" s="13">
        <v>-0.40000000000000568</v>
      </c>
      <c r="G59" s="13">
        <v>1.8999999999999915</v>
      </c>
      <c r="H59" s="13">
        <v>-9.9999999999994316E-2</v>
      </c>
      <c r="I59" s="13">
        <v>1.1999999999999886</v>
      </c>
      <c r="J59" s="13">
        <v>0.10000000000000853</v>
      </c>
      <c r="K59" s="13">
        <v>-3.8999999999999915</v>
      </c>
      <c r="L59" s="13">
        <v>-5.9000000000000057</v>
      </c>
      <c r="M59" s="13">
        <v>-10.500000000000014</v>
      </c>
    </row>
    <row r="60" spans="3:33" ht="15" customHeight="1" x14ac:dyDescent="0.2">
      <c r="C60" s="1064" t="s">
        <v>135</v>
      </c>
      <c r="D60" s="13">
        <v>1.2999999999999972</v>
      </c>
      <c r="E60" s="13">
        <v>1.2999999999999972</v>
      </c>
      <c r="F60" s="13">
        <v>9.9999999999994316E-2</v>
      </c>
      <c r="G60" s="13">
        <v>1</v>
      </c>
      <c r="H60" s="13">
        <v>0.30000000000001137</v>
      </c>
      <c r="I60" s="13">
        <v>0.70000000000000284</v>
      </c>
      <c r="J60" s="13">
        <v>-3.6000000000000085</v>
      </c>
      <c r="K60" s="13">
        <v>-3.2000000000000028</v>
      </c>
      <c r="L60" s="13">
        <v>-7.9999999999999858</v>
      </c>
      <c r="M60" s="13">
        <v>-11.499999999999986</v>
      </c>
    </row>
    <row r="61" spans="3:33" ht="15" customHeight="1" x14ac:dyDescent="0.2">
      <c r="C61" s="1064" t="s">
        <v>110</v>
      </c>
      <c r="D61" s="13">
        <v>1.2000000000000028</v>
      </c>
      <c r="E61" s="13">
        <v>-2.3999999999999915</v>
      </c>
      <c r="F61" s="13">
        <v>0.89999999999999147</v>
      </c>
      <c r="G61" s="13">
        <v>1.6999999999999886</v>
      </c>
      <c r="H61" s="13">
        <v>-0.89999999999999147</v>
      </c>
      <c r="I61" s="13">
        <v>-3.9000000000000057</v>
      </c>
      <c r="J61" s="13">
        <v>-0.70000000000000284</v>
      </c>
      <c r="K61" s="13">
        <v>-5.7000000000000028</v>
      </c>
      <c r="L61" s="13">
        <v>-8.6999999999999886</v>
      </c>
      <c r="M61" s="13">
        <v>-15.100000000000009</v>
      </c>
    </row>
    <row r="62" spans="3:33" ht="15" customHeight="1" x14ac:dyDescent="0.2">
      <c r="C62" s="1064" t="s">
        <v>136</v>
      </c>
      <c r="D62" s="13">
        <v>1.4000000000000057</v>
      </c>
      <c r="E62" s="13">
        <v>-2.5999999999999943</v>
      </c>
      <c r="F62" s="13">
        <v>-1.0999999999999943</v>
      </c>
      <c r="G62" s="13">
        <v>2.5</v>
      </c>
      <c r="H62" s="13">
        <v>0.5</v>
      </c>
      <c r="I62" s="13">
        <v>-5.0999999999999943</v>
      </c>
      <c r="J62" s="13">
        <v>-2</v>
      </c>
      <c r="K62" s="13">
        <v>-7.4000000000000057</v>
      </c>
      <c r="L62" s="13">
        <v>-8.9000000000000057</v>
      </c>
      <c r="M62" s="13">
        <v>-11.5</v>
      </c>
    </row>
    <row r="63" spans="3:33" ht="15" customHeight="1" x14ac:dyDescent="0.2">
      <c r="C63" s="1064" t="s">
        <v>137</v>
      </c>
      <c r="D63" s="13">
        <v>1.0999999999999943</v>
      </c>
      <c r="E63" s="13">
        <v>-3.1000000000000085</v>
      </c>
      <c r="F63" s="13">
        <v>-2.4000000000000057</v>
      </c>
      <c r="G63" s="13">
        <v>0.70000000000000284</v>
      </c>
      <c r="H63" s="13">
        <v>-0.20000000000000284</v>
      </c>
      <c r="I63" s="13">
        <v>-9.4000000000000057</v>
      </c>
      <c r="J63" s="13">
        <v>-5.5999999999999943</v>
      </c>
      <c r="K63" s="13">
        <v>-8.8000000000000114</v>
      </c>
      <c r="L63" s="13">
        <v>-11.400000000000006</v>
      </c>
      <c r="M63" s="13">
        <v>-13.399999999999991</v>
      </c>
    </row>
    <row r="64" spans="3:33" ht="15" customHeight="1" x14ac:dyDescent="0.2">
      <c r="C64" s="1064" t="s">
        <v>138</v>
      </c>
      <c r="D64" s="13">
        <v>1.5</v>
      </c>
      <c r="E64" s="13">
        <v>-2.9000000000000057</v>
      </c>
      <c r="F64" s="13">
        <v>-3.7999999999999972</v>
      </c>
      <c r="G64" s="13">
        <v>1</v>
      </c>
      <c r="H64" s="13">
        <v>-2.3999999999999915</v>
      </c>
      <c r="I64" s="13">
        <v>-9.3999999999999915</v>
      </c>
      <c r="J64" s="13">
        <v>-8.0000000000000142</v>
      </c>
      <c r="K64" s="13">
        <v>-10.799999999999997</v>
      </c>
      <c r="L64" s="13">
        <v>-11.599999999999994</v>
      </c>
      <c r="M64" s="13">
        <v>-14.100000000000009</v>
      </c>
    </row>
    <row r="65" spans="3:123" ht="15" customHeight="1" x14ac:dyDescent="0.2">
      <c r="C65" s="1064" t="s">
        <v>139</v>
      </c>
      <c r="D65" s="13">
        <v>2.4000000000000057</v>
      </c>
      <c r="E65" s="13">
        <v>-3.7999999999999972</v>
      </c>
      <c r="F65" s="13">
        <v>-3.5</v>
      </c>
      <c r="G65" s="13">
        <v>2.5</v>
      </c>
      <c r="H65" s="13">
        <v>-1.0999999999999943</v>
      </c>
      <c r="I65" s="13">
        <v>-7.7999999999999972</v>
      </c>
      <c r="J65" s="13">
        <v>-3.8000000000000114</v>
      </c>
      <c r="K65" s="13">
        <v>-9.9000000000000057</v>
      </c>
      <c r="L65" s="13">
        <v>-11.100000000000009</v>
      </c>
      <c r="M65" s="13">
        <v>-14.100000000000009</v>
      </c>
    </row>
    <row r="66" spans="3:123" ht="15" customHeight="1" x14ac:dyDescent="0.2">
      <c r="C66" s="1064" t="s">
        <v>142</v>
      </c>
      <c r="D66" s="13">
        <v>1.7000000000000028</v>
      </c>
      <c r="E66" s="13">
        <v>-4.5999999999999943</v>
      </c>
      <c r="F66" s="13">
        <v>-2.6000000000000085</v>
      </c>
      <c r="G66" s="13">
        <v>1.2999999999999972</v>
      </c>
      <c r="H66" s="13">
        <v>0.29999999999999716</v>
      </c>
      <c r="I66" s="13">
        <v>-6.1999999999999886</v>
      </c>
      <c r="J66" s="13">
        <v>-7.8999999999999915</v>
      </c>
      <c r="K66" s="13">
        <v>-8.7000000000000028</v>
      </c>
      <c r="L66" s="13">
        <v>-9.8000000000000114</v>
      </c>
      <c r="M66" s="13">
        <v>-14.299999999999983</v>
      </c>
    </row>
    <row r="67" spans="3:123" ht="15" customHeight="1" x14ac:dyDescent="0.2">
      <c r="C67" s="1064" t="s">
        <v>140</v>
      </c>
      <c r="D67" s="13">
        <v>1.7999999999999972</v>
      </c>
      <c r="E67" s="13">
        <v>-2.0999999999999943</v>
      </c>
      <c r="F67" s="13">
        <v>-0.5</v>
      </c>
      <c r="G67" s="13">
        <v>-1.1000000000000085</v>
      </c>
      <c r="H67" s="13">
        <v>-0.29999999999999716</v>
      </c>
      <c r="I67" s="13">
        <v>-4.7999999999999972</v>
      </c>
      <c r="J67" s="13">
        <v>-5.1999999999999886</v>
      </c>
      <c r="K67" s="13">
        <v>-6.4000000000000057</v>
      </c>
      <c r="L67" s="13">
        <v>-11.800000000000011</v>
      </c>
      <c r="M67" s="13">
        <v>-14.299999999999983</v>
      </c>
    </row>
    <row r="68" spans="3:123" ht="15" customHeight="1" x14ac:dyDescent="0.2">
      <c r="C68" s="1064" t="s">
        <v>141</v>
      </c>
      <c r="D68" s="13">
        <v>2.5999999999999943</v>
      </c>
      <c r="E68" s="13">
        <v>-2.5999999999999943</v>
      </c>
      <c r="F68" s="13">
        <v>-0.40000000000000568</v>
      </c>
      <c r="G68" s="13">
        <v>-3</v>
      </c>
      <c r="H68" s="13">
        <v>-1.2999999999999972</v>
      </c>
      <c r="I68" s="13">
        <v>-5.7999999999999972</v>
      </c>
      <c r="J68" s="13">
        <v>-9.7000000000000028</v>
      </c>
      <c r="K68" s="13">
        <v>-7.9999999999999858</v>
      </c>
      <c r="L68" s="13">
        <v>-11.799999999999997</v>
      </c>
      <c r="M68" s="13">
        <v>-15.800000000000011</v>
      </c>
    </row>
    <row r="70" spans="3:123" ht="15" customHeight="1" x14ac:dyDescent="0.2">
      <c r="C70" s="1458"/>
      <c r="D70" s="1078">
        <v>2005</v>
      </c>
      <c r="E70" s="1065">
        <v>2006</v>
      </c>
      <c r="F70" s="1065">
        <v>2007</v>
      </c>
      <c r="G70" s="1065">
        <v>2008</v>
      </c>
      <c r="H70" s="1065">
        <v>2009</v>
      </c>
      <c r="I70" s="1065">
        <v>2010</v>
      </c>
      <c r="J70" s="1065">
        <v>2011</v>
      </c>
      <c r="K70" s="1065">
        <v>2012</v>
      </c>
      <c r="L70" s="1065">
        <v>2013</v>
      </c>
      <c r="M70" s="1065">
        <v>2014</v>
      </c>
    </row>
    <row r="71" spans="3:123" ht="15" customHeight="1" x14ac:dyDescent="0.2">
      <c r="C71" s="1459"/>
      <c r="D71" s="1075" t="s">
        <v>200</v>
      </c>
      <c r="E71" s="1077" t="s">
        <v>200</v>
      </c>
      <c r="F71" s="1076" t="s">
        <v>200</v>
      </c>
      <c r="G71" s="1076" t="s">
        <v>200</v>
      </c>
      <c r="H71" s="1076" t="s">
        <v>200</v>
      </c>
      <c r="I71" s="1076" t="s">
        <v>200</v>
      </c>
      <c r="J71" s="1076" t="s">
        <v>200</v>
      </c>
      <c r="K71" s="1076" t="s">
        <v>200</v>
      </c>
      <c r="L71" s="1076" t="s">
        <v>200</v>
      </c>
      <c r="M71" s="1076" t="s">
        <v>200</v>
      </c>
    </row>
    <row r="72" spans="3:123" ht="15" customHeight="1" x14ac:dyDescent="0.2">
      <c r="C72" s="265" t="s">
        <v>132</v>
      </c>
      <c r="D72" s="1079">
        <v>3.4055999999999997</v>
      </c>
      <c r="E72" s="1080">
        <v>1.9103999999999997</v>
      </c>
      <c r="F72" s="1080">
        <v>0.41519999999999957</v>
      </c>
      <c r="G72" s="1080">
        <v>-1.08</v>
      </c>
      <c r="H72" s="1080">
        <v>-2.5752000000000006</v>
      </c>
      <c r="I72" s="1080">
        <v>-4.0704000000000002</v>
      </c>
      <c r="J72" s="1080">
        <v>-5.5656000000000008</v>
      </c>
      <c r="K72" s="1080">
        <v>-7.0608000000000013</v>
      </c>
      <c r="L72" s="1080">
        <v>-8.5560000000000009</v>
      </c>
      <c r="M72" s="1080">
        <v>-10.051200000000001</v>
      </c>
      <c r="N72" s="908"/>
      <c r="O72" s="908"/>
      <c r="P72" s="908"/>
      <c r="Q72" s="908"/>
      <c r="R72" s="908"/>
      <c r="S72" s="908"/>
      <c r="T72" s="908"/>
      <c r="U72" s="908"/>
      <c r="V72" s="908"/>
      <c r="W72" s="908"/>
      <c r="X72" s="908"/>
      <c r="Y72" s="908"/>
      <c r="Z72" s="908"/>
      <c r="AA72" s="908"/>
      <c r="AB72" s="908"/>
      <c r="AC72" s="908"/>
      <c r="AD72" s="908"/>
      <c r="AE72" s="908"/>
      <c r="AF72" s="908"/>
      <c r="AG72" s="908"/>
      <c r="AH72" s="908"/>
      <c r="AI72" s="908"/>
      <c r="AJ72" s="908"/>
      <c r="AK72" s="908"/>
      <c r="AL72" s="908"/>
      <c r="AM72" s="908"/>
      <c r="AN72" s="908"/>
      <c r="AO72" s="908"/>
      <c r="AP72" s="908"/>
      <c r="AQ72" s="908"/>
      <c r="AR72" s="908"/>
      <c r="AS72" s="908"/>
      <c r="AT72" s="908"/>
      <c r="AU72" s="908"/>
      <c r="AV72" s="908"/>
      <c r="AW72" s="908"/>
      <c r="AX72" s="908"/>
      <c r="AY72" s="908"/>
      <c r="AZ72" s="908"/>
      <c r="BA72" s="908"/>
      <c r="BB72" s="908"/>
      <c r="BC72" s="908"/>
      <c r="BD72" s="908"/>
      <c r="BE72" s="908"/>
      <c r="BF72" s="908"/>
      <c r="BG72" s="908"/>
      <c r="BH72" s="908"/>
      <c r="BI72" s="908"/>
      <c r="BJ72" s="908"/>
      <c r="BK72" s="908"/>
      <c r="BL72" s="908"/>
      <c r="BM72" s="908"/>
      <c r="BN72" s="908"/>
      <c r="BO72" s="908"/>
      <c r="BP72" s="908"/>
      <c r="BQ72" s="908"/>
      <c r="BR72" s="908"/>
      <c r="BS72" s="908"/>
      <c r="BT72" s="908"/>
      <c r="BU72" s="908"/>
      <c r="BV72" s="908"/>
      <c r="BW72" s="908"/>
      <c r="BX72" s="908"/>
      <c r="BY72" s="908"/>
      <c r="BZ72" s="908"/>
      <c r="CA72" s="908"/>
      <c r="CB72" s="908"/>
      <c r="CC72" s="908"/>
      <c r="CD72" s="908"/>
      <c r="CE72" s="908"/>
      <c r="CF72" s="908"/>
      <c r="CG72" s="908"/>
      <c r="CH72" s="908"/>
      <c r="CI72" s="908"/>
      <c r="CJ72" s="908"/>
      <c r="CK72" s="908"/>
      <c r="CL72" s="908"/>
      <c r="CM72" s="908"/>
      <c r="CN72" s="908"/>
      <c r="CO72" s="908"/>
      <c r="CP72" s="908"/>
      <c r="CQ72" s="908"/>
      <c r="CR72" s="908"/>
      <c r="CS72" s="908"/>
      <c r="CT72" s="908"/>
      <c r="CU72" s="908"/>
      <c r="CV72" s="908"/>
      <c r="CW72" s="908"/>
      <c r="CX72" s="908"/>
      <c r="CY72" s="908"/>
      <c r="CZ72" s="908"/>
      <c r="DA72" s="908"/>
      <c r="DB72" s="908"/>
      <c r="DC72" s="908"/>
      <c r="DD72" s="908"/>
      <c r="DE72" s="908"/>
      <c r="DF72" s="908"/>
      <c r="DG72" s="908"/>
      <c r="DH72" s="908"/>
      <c r="DI72" s="908"/>
      <c r="DJ72" s="908"/>
      <c r="DK72" s="908"/>
      <c r="DL72" s="908"/>
      <c r="DM72" s="908"/>
      <c r="DN72" s="908"/>
      <c r="DO72" s="908"/>
      <c r="DP72" s="908"/>
      <c r="DQ72" s="908"/>
      <c r="DR72" s="908"/>
      <c r="DS72" s="908"/>
    </row>
    <row r="73" spans="3:123" ht="15" customHeight="1" x14ac:dyDescent="0.2">
      <c r="C73" s="1064" t="s">
        <v>133</v>
      </c>
      <c r="D73" s="1080">
        <v>3.2809999999999997</v>
      </c>
      <c r="E73" s="1080">
        <v>1.7857999999999998</v>
      </c>
      <c r="F73" s="1080">
        <v>0.29059999999999953</v>
      </c>
      <c r="G73" s="1080">
        <v>-1.2046000000000001</v>
      </c>
      <c r="H73" s="1080">
        <v>-2.6998000000000006</v>
      </c>
      <c r="I73" s="1080">
        <v>-4.1950000000000003</v>
      </c>
      <c r="J73" s="1080">
        <v>-5.6901999999999999</v>
      </c>
      <c r="K73" s="1080">
        <v>-7.1854000000000005</v>
      </c>
      <c r="L73" s="1080">
        <v>-8.6806000000000019</v>
      </c>
      <c r="M73" s="1080">
        <v>-10.175799999999999</v>
      </c>
    </row>
    <row r="74" spans="3:123" ht="15" customHeight="1" x14ac:dyDescent="0.2">
      <c r="C74" s="1064" t="s">
        <v>134</v>
      </c>
      <c r="D74" s="1080">
        <v>3.1563999999999997</v>
      </c>
      <c r="E74" s="1080">
        <v>1.6611999999999998</v>
      </c>
      <c r="F74" s="1080">
        <v>0.16599999999999993</v>
      </c>
      <c r="G74" s="1080">
        <v>-1.3292000000000002</v>
      </c>
      <c r="H74" s="1080">
        <v>-2.8244000000000007</v>
      </c>
      <c r="I74" s="1080">
        <v>-4.3196000000000003</v>
      </c>
      <c r="J74" s="1080">
        <v>-5.8148000000000009</v>
      </c>
      <c r="K74" s="1080">
        <v>-7.31</v>
      </c>
      <c r="L74" s="1080">
        <v>-8.8051999999999992</v>
      </c>
      <c r="M74" s="1080">
        <v>-10.3004</v>
      </c>
    </row>
    <row r="75" spans="3:123" ht="15" customHeight="1" x14ac:dyDescent="0.2">
      <c r="C75" s="1064" t="s">
        <v>135</v>
      </c>
      <c r="D75" s="1080">
        <v>3.0317999999999996</v>
      </c>
      <c r="E75" s="1080">
        <v>1.5365999999999997</v>
      </c>
      <c r="F75" s="1080">
        <v>4.1399999999999881E-2</v>
      </c>
      <c r="G75" s="1080">
        <v>-1.4538000000000002</v>
      </c>
      <c r="H75" s="1080">
        <v>-2.9490000000000007</v>
      </c>
      <c r="I75" s="1080">
        <v>-4.4442000000000004</v>
      </c>
      <c r="J75" s="1080">
        <v>-5.9394</v>
      </c>
      <c r="K75" s="1080">
        <v>-7.4346000000000005</v>
      </c>
      <c r="L75" s="1080">
        <v>-8.9298000000000002</v>
      </c>
      <c r="M75" s="1080">
        <v>-10.425000000000001</v>
      </c>
    </row>
    <row r="76" spans="3:123" ht="15" customHeight="1" x14ac:dyDescent="0.2">
      <c r="C76" s="1064" t="s">
        <v>110</v>
      </c>
      <c r="D76" s="1080">
        <v>2.9071999999999996</v>
      </c>
      <c r="E76" s="1080">
        <v>1.4119999999999999</v>
      </c>
      <c r="F76" s="1080">
        <v>-8.3200000000000163E-2</v>
      </c>
      <c r="G76" s="1080">
        <v>-1.5784000000000002</v>
      </c>
      <c r="H76" s="1080">
        <v>-3.0736000000000008</v>
      </c>
      <c r="I76" s="1080">
        <v>-4.5688000000000004</v>
      </c>
      <c r="J76" s="1080">
        <v>-6.0640000000000009</v>
      </c>
      <c r="K76" s="1080">
        <v>-7.5591999999999997</v>
      </c>
      <c r="L76" s="1080">
        <v>-9.0544000000000011</v>
      </c>
      <c r="M76" s="1080">
        <v>-10.549600000000002</v>
      </c>
    </row>
    <row r="77" spans="3:123" ht="15" customHeight="1" x14ac:dyDescent="0.2">
      <c r="C77" s="1064" t="s">
        <v>136</v>
      </c>
      <c r="D77" s="1080">
        <v>2.7825999999999995</v>
      </c>
      <c r="E77" s="1080">
        <v>1.2873999999999999</v>
      </c>
      <c r="F77" s="1080">
        <v>-0.20780000000000021</v>
      </c>
      <c r="G77" s="1080">
        <v>-1.7030000000000003</v>
      </c>
      <c r="H77" s="1080">
        <v>-3.1981999999999999</v>
      </c>
      <c r="I77" s="1080">
        <v>-4.6933999999999996</v>
      </c>
      <c r="J77" s="1080">
        <v>-6.1886000000000001</v>
      </c>
      <c r="K77" s="1080">
        <v>-7.6838000000000006</v>
      </c>
      <c r="L77" s="1080">
        <v>-9.179000000000002</v>
      </c>
      <c r="M77" s="1080">
        <v>-10.674199999999999</v>
      </c>
    </row>
    <row r="78" spans="3:123" ht="15" customHeight="1" x14ac:dyDescent="0.2">
      <c r="C78" s="1064" t="s">
        <v>137</v>
      </c>
      <c r="D78" s="1080">
        <v>2.6579999999999999</v>
      </c>
      <c r="E78" s="1080">
        <v>1.1627999999999998</v>
      </c>
      <c r="F78" s="1080">
        <v>-0.33240000000000025</v>
      </c>
      <c r="G78" s="1080">
        <v>-1.8276000000000003</v>
      </c>
      <c r="H78" s="1080">
        <v>-3.3228</v>
      </c>
      <c r="I78" s="1080">
        <v>-4.8180000000000005</v>
      </c>
      <c r="J78" s="1080">
        <v>-6.313200000000001</v>
      </c>
      <c r="K78" s="1080">
        <v>-7.8083999999999998</v>
      </c>
      <c r="L78" s="1080">
        <v>-9.3035999999999994</v>
      </c>
      <c r="M78" s="1080">
        <v>-10.7988</v>
      </c>
    </row>
    <row r="79" spans="3:123" ht="15" customHeight="1" x14ac:dyDescent="0.2">
      <c r="C79" s="1064" t="s">
        <v>138</v>
      </c>
      <c r="D79" s="1080">
        <v>2.5333999999999999</v>
      </c>
      <c r="E79" s="1080">
        <v>1.0381999999999998</v>
      </c>
      <c r="F79" s="1080">
        <v>-0.45700000000000029</v>
      </c>
      <c r="G79" s="1080">
        <v>-1.9522000000000004</v>
      </c>
      <c r="H79" s="1080">
        <v>-3.4474</v>
      </c>
      <c r="I79" s="1080">
        <v>-4.9425999999999997</v>
      </c>
      <c r="J79" s="1080">
        <v>-6.4378000000000002</v>
      </c>
      <c r="K79" s="1080">
        <v>-7.9330000000000007</v>
      </c>
      <c r="L79" s="1080">
        <v>-9.4282000000000004</v>
      </c>
      <c r="M79" s="1080">
        <v>-10.923400000000001</v>
      </c>
    </row>
    <row r="80" spans="3:123" ht="15" customHeight="1" x14ac:dyDescent="0.2">
      <c r="C80" s="1064" t="s">
        <v>139</v>
      </c>
      <c r="D80" s="1080">
        <v>2.4087999999999998</v>
      </c>
      <c r="E80" s="1080">
        <v>0.91359999999999975</v>
      </c>
      <c r="F80" s="1080">
        <v>-0.58159999999999989</v>
      </c>
      <c r="G80" s="1080">
        <v>-2.0768000000000004</v>
      </c>
      <c r="H80" s="1080">
        <v>-3.5720000000000001</v>
      </c>
      <c r="I80" s="1080">
        <v>-5.0672000000000006</v>
      </c>
      <c r="J80" s="1080">
        <v>-6.5624000000000011</v>
      </c>
      <c r="K80" s="1080">
        <v>-8.0576000000000008</v>
      </c>
      <c r="L80" s="1080">
        <v>-9.5528000000000013</v>
      </c>
      <c r="M80" s="1080">
        <v>-11.048000000000002</v>
      </c>
    </row>
    <row r="81" spans="3:29" ht="15" customHeight="1" x14ac:dyDescent="0.2">
      <c r="C81" s="1064" t="s">
        <v>142</v>
      </c>
      <c r="D81" s="1080">
        <v>2.2841999999999998</v>
      </c>
      <c r="E81" s="1080">
        <v>0.7889999999999997</v>
      </c>
      <c r="F81" s="1080">
        <v>-0.70619999999999994</v>
      </c>
      <c r="G81" s="1080">
        <v>-2.2014000000000005</v>
      </c>
      <c r="H81" s="1080">
        <v>-3.6966000000000001</v>
      </c>
      <c r="I81" s="1080">
        <v>-5.1917999999999997</v>
      </c>
      <c r="J81" s="1080">
        <v>-6.6870000000000003</v>
      </c>
      <c r="K81" s="1080">
        <v>-8.1822000000000017</v>
      </c>
      <c r="L81" s="1080">
        <v>-9.6774000000000022</v>
      </c>
      <c r="M81" s="1080">
        <v>-11.172599999999999</v>
      </c>
    </row>
    <row r="82" spans="3:29" ht="15" customHeight="1" x14ac:dyDescent="0.2">
      <c r="C82" s="1064" t="s">
        <v>140</v>
      </c>
      <c r="D82" s="1080">
        <v>2.1595999999999997</v>
      </c>
      <c r="E82" s="1080">
        <v>0.66439999999999966</v>
      </c>
      <c r="F82" s="1080">
        <v>-0.83079999999999998</v>
      </c>
      <c r="G82" s="1080">
        <v>-2.3260000000000005</v>
      </c>
      <c r="H82" s="1080">
        <v>-3.8212000000000002</v>
      </c>
      <c r="I82" s="1080">
        <v>-5.3164000000000007</v>
      </c>
      <c r="J82" s="1080">
        <v>-6.8116000000000012</v>
      </c>
      <c r="K82" s="1080">
        <v>-8.3067999999999991</v>
      </c>
      <c r="L82" s="1080">
        <v>-9.8019999999999996</v>
      </c>
      <c r="M82" s="1080">
        <v>-11.2972</v>
      </c>
    </row>
    <row r="83" spans="3:29" ht="15" customHeight="1" x14ac:dyDescent="0.2">
      <c r="C83" s="1064" t="s">
        <v>141</v>
      </c>
      <c r="D83" s="1080">
        <v>2.0349999999999997</v>
      </c>
      <c r="E83" s="1080">
        <v>0.53979999999999961</v>
      </c>
      <c r="F83" s="1080">
        <v>-0.95540000000000003</v>
      </c>
      <c r="G83" s="1080">
        <v>-2.4506000000000006</v>
      </c>
      <c r="H83" s="1080">
        <v>-3.9458000000000002</v>
      </c>
      <c r="I83" s="1080">
        <v>-5.4409999999999998</v>
      </c>
      <c r="J83" s="1080">
        <v>-6.9362000000000004</v>
      </c>
      <c r="K83" s="1080">
        <v>-8.4314</v>
      </c>
      <c r="L83" s="1080">
        <v>-9.9266000000000005</v>
      </c>
      <c r="M83" s="1080">
        <v>-11.421800000000001</v>
      </c>
    </row>
    <row r="86" spans="3:29" ht="30" customHeight="1" x14ac:dyDescent="0.2">
      <c r="C86" s="13" t="s">
        <v>1</v>
      </c>
      <c r="D86" s="246">
        <v>1996</v>
      </c>
      <c r="E86" s="246">
        <v>1997</v>
      </c>
      <c r="F86" s="246">
        <v>1998</v>
      </c>
      <c r="G86" s="246">
        <v>1999</v>
      </c>
      <c r="H86" s="246">
        <v>2000</v>
      </c>
      <c r="I86" s="246">
        <v>2001</v>
      </c>
      <c r="J86" s="246">
        <v>2002</v>
      </c>
      <c r="K86" s="246">
        <v>2003</v>
      </c>
      <c r="L86" s="246">
        <v>2004</v>
      </c>
      <c r="M86" s="246">
        <v>2005</v>
      </c>
      <c r="N86" s="246">
        <v>2006</v>
      </c>
      <c r="O86" s="246">
        <v>2007</v>
      </c>
      <c r="P86" s="246">
        <v>2008</v>
      </c>
      <c r="Q86" s="246">
        <v>2009</v>
      </c>
      <c r="R86" s="246">
        <v>2010</v>
      </c>
      <c r="S86" s="246">
        <v>2011</v>
      </c>
      <c r="T86" s="246">
        <v>2012</v>
      </c>
      <c r="U86" s="246">
        <v>2013</v>
      </c>
      <c r="V86" s="246">
        <v>2014</v>
      </c>
      <c r="W86" s="1083" t="s">
        <v>623</v>
      </c>
      <c r="X86" s="1083" t="s">
        <v>624</v>
      </c>
      <c r="Y86" s="1083" t="s">
        <v>709</v>
      </c>
    </row>
    <row r="87" spans="3:29" ht="15" customHeight="1" x14ac:dyDescent="0.2">
      <c r="C87" s="1263" t="s">
        <v>132</v>
      </c>
      <c r="D87" s="1084">
        <v>764.1</v>
      </c>
      <c r="E87" s="1084">
        <v>752.8</v>
      </c>
      <c r="F87" s="1084">
        <v>672.3</v>
      </c>
      <c r="G87" s="1084">
        <v>737.1</v>
      </c>
      <c r="H87" s="1084">
        <v>717.5</v>
      </c>
      <c r="I87" s="1084">
        <v>657.9</v>
      </c>
      <c r="J87" s="1084">
        <v>570.20000000000005</v>
      </c>
      <c r="K87" s="1084">
        <v>805.3</v>
      </c>
      <c r="L87" s="1084">
        <v>865.2</v>
      </c>
      <c r="M87" s="1084">
        <v>780.6</v>
      </c>
      <c r="N87" s="1084">
        <v>573.5</v>
      </c>
      <c r="O87" s="1084">
        <v>668.8</v>
      </c>
      <c r="P87" s="1084">
        <v>622.1</v>
      </c>
      <c r="Q87" s="1084">
        <v>816.5</v>
      </c>
      <c r="R87" s="1084">
        <v>725.8</v>
      </c>
      <c r="S87" s="1084">
        <v>777.5</v>
      </c>
      <c r="T87" s="1085">
        <v>633.70000000000005</v>
      </c>
      <c r="U87" s="1085">
        <v>638.9</v>
      </c>
      <c r="V87" s="1085">
        <v>826.1</v>
      </c>
      <c r="W87" s="1086">
        <f>AVERAGE(M87:V87)</f>
        <v>706.35</v>
      </c>
      <c r="X87" s="1086">
        <f>AVERAGE(D87:V87)</f>
        <v>716.1</v>
      </c>
      <c r="Y87" s="804">
        <f>TREND(D87:V87,$D$86:$V$86,2015)</f>
        <v>714.09824561403525</v>
      </c>
      <c r="AA87" s="908">
        <v>714.09824561403525</v>
      </c>
      <c r="AB87" s="1267">
        <v>0</v>
      </c>
      <c r="AC87" s="908"/>
    </row>
    <row r="88" spans="3:29" ht="15" customHeight="1" x14ac:dyDescent="0.2">
      <c r="C88" s="1263" t="s">
        <v>133</v>
      </c>
      <c r="D88" s="1084">
        <v>693.7</v>
      </c>
      <c r="E88" s="1084">
        <v>596.9</v>
      </c>
      <c r="F88" s="1084">
        <v>564</v>
      </c>
      <c r="G88" s="1084">
        <v>550.20000000000005</v>
      </c>
      <c r="H88" s="1084">
        <v>581.5</v>
      </c>
      <c r="I88" s="1084">
        <v>554</v>
      </c>
      <c r="J88" s="1084">
        <v>542.9</v>
      </c>
      <c r="K88" s="1084">
        <v>743.3</v>
      </c>
      <c r="L88" s="1084">
        <v>652.20000000000005</v>
      </c>
      <c r="M88" s="1084">
        <v>627.9</v>
      </c>
      <c r="N88" s="1084">
        <v>630.6</v>
      </c>
      <c r="O88" s="1084">
        <v>729.3</v>
      </c>
      <c r="P88" s="1084">
        <v>688.6</v>
      </c>
      <c r="Q88" s="1084">
        <v>620.1</v>
      </c>
      <c r="R88" s="1084">
        <v>625.29999999999995</v>
      </c>
      <c r="S88" s="1084">
        <v>645.29999999999995</v>
      </c>
      <c r="T88" s="1085">
        <v>551.6</v>
      </c>
      <c r="U88" s="1085">
        <v>647.79999999999995</v>
      </c>
      <c r="V88" s="1085">
        <v>740.1</v>
      </c>
      <c r="W88" s="1086">
        <f t="shared" ref="W88:W98" si="4">AVERAGE(M88:V88)</f>
        <v>650.66000000000008</v>
      </c>
      <c r="X88" s="1086">
        <f t="shared" ref="X88:X98" si="5">AVERAGE(D88:V88)</f>
        <v>630.80526315789473</v>
      </c>
      <c r="Y88" s="804">
        <f t="shared" ref="Y88:Y98" si="6">TREND(D88:V88,$D$86:$V$86,2015)</f>
        <v>669.04210526315819</v>
      </c>
      <c r="AA88" s="908">
        <v>669.04210526315819</v>
      </c>
      <c r="AB88" s="1267">
        <v>0</v>
      </c>
      <c r="AC88" s="908"/>
    </row>
    <row r="89" spans="3:29" ht="15" customHeight="1" x14ac:dyDescent="0.2">
      <c r="C89" s="1263" t="s">
        <v>134</v>
      </c>
      <c r="D89" s="1084">
        <v>645.5</v>
      </c>
      <c r="E89" s="1084">
        <v>611.70000000000005</v>
      </c>
      <c r="F89" s="1084">
        <v>535.6</v>
      </c>
      <c r="G89" s="1084">
        <v>565.79999999999995</v>
      </c>
      <c r="H89" s="1084">
        <v>442.2</v>
      </c>
      <c r="I89" s="1084">
        <v>528.79999999999995</v>
      </c>
      <c r="J89" s="1084">
        <v>571.5</v>
      </c>
      <c r="K89" s="1084">
        <v>611</v>
      </c>
      <c r="L89" s="1084">
        <v>525</v>
      </c>
      <c r="M89" s="1084">
        <v>646.4</v>
      </c>
      <c r="N89" s="1084">
        <v>555.29999999999995</v>
      </c>
      <c r="O89" s="1084">
        <v>559.9</v>
      </c>
      <c r="P89" s="1084">
        <v>630.20000000000005</v>
      </c>
      <c r="Q89" s="1084">
        <v>556.5</v>
      </c>
      <c r="R89" s="1084">
        <v>485</v>
      </c>
      <c r="S89" s="1084">
        <v>610.79999999999995</v>
      </c>
      <c r="T89" s="1085">
        <v>362.4</v>
      </c>
      <c r="U89" s="1085">
        <v>582.20000000000005</v>
      </c>
      <c r="V89" s="1085">
        <v>730</v>
      </c>
      <c r="W89" s="1086">
        <f t="shared" si="4"/>
        <v>571.87</v>
      </c>
      <c r="X89" s="1086">
        <f t="shared" si="5"/>
        <v>566.09473684210525</v>
      </c>
      <c r="Y89" s="804">
        <f t="shared" si="6"/>
        <v>566.28947368421052</v>
      </c>
      <c r="AA89" s="908">
        <v>566.28947368421052</v>
      </c>
      <c r="AB89" s="1267">
        <v>0.49122807017543835</v>
      </c>
      <c r="AC89" s="908"/>
    </row>
    <row r="90" spans="3:29" ht="15" customHeight="1" x14ac:dyDescent="0.2">
      <c r="C90" s="1263" t="s">
        <v>135</v>
      </c>
      <c r="D90" s="1084">
        <v>428.8</v>
      </c>
      <c r="E90" s="1084">
        <v>397.6</v>
      </c>
      <c r="F90" s="1084">
        <v>347.4</v>
      </c>
      <c r="G90" s="1084">
        <v>326.5</v>
      </c>
      <c r="H90" s="1084">
        <v>375</v>
      </c>
      <c r="I90" s="1084">
        <v>242.6</v>
      </c>
      <c r="J90" s="1084">
        <v>342.7</v>
      </c>
      <c r="K90" s="1084">
        <v>426.4</v>
      </c>
      <c r="L90" s="1084">
        <v>371.4</v>
      </c>
      <c r="M90" s="1084">
        <v>358.2</v>
      </c>
      <c r="N90" s="1084">
        <v>323.8</v>
      </c>
      <c r="O90" s="1084">
        <v>402.3</v>
      </c>
      <c r="P90" s="1084">
        <v>280.39999999999998</v>
      </c>
      <c r="Q90" s="1084">
        <v>352</v>
      </c>
      <c r="R90" s="1084">
        <v>265</v>
      </c>
      <c r="S90" s="1084">
        <v>334.7</v>
      </c>
      <c r="T90" s="1085">
        <v>377.9</v>
      </c>
      <c r="U90" s="1085">
        <v>368.7</v>
      </c>
      <c r="V90" s="1085">
        <v>389.7</v>
      </c>
      <c r="W90" s="1086">
        <f t="shared" si="4"/>
        <v>345.26999999999992</v>
      </c>
      <c r="X90" s="1086">
        <f t="shared" si="5"/>
        <v>353.21578947368414</v>
      </c>
      <c r="Y90" s="804">
        <f t="shared" si="6"/>
        <v>340.6631578947372</v>
      </c>
      <c r="AA90" s="908">
        <v>340.6631578947372</v>
      </c>
      <c r="AB90" s="1267">
        <v>0.7263157894736878</v>
      </c>
      <c r="AC90" s="908"/>
    </row>
    <row r="91" spans="3:29" ht="15" customHeight="1" x14ac:dyDescent="0.2">
      <c r="C91" s="1263" t="s">
        <v>110</v>
      </c>
      <c r="D91" s="1084">
        <v>237.5</v>
      </c>
      <c r="E91" s="1084">
        <v>291</v>
      </c>
      <c r="F91" s="1084">
        <v>94.1</v>
      </c>
      <c r="G91" s="1084">
        <v>127</v>
      </c>
      <c r="H91" s="1084">
        <v>138.5</v>
      </c>
      <c r="I91" s="1084">
        <v>129.4</v>
      </c>
      <c r="J91" s="1084">
        <v>236.5</v>
      </c>
      <c r="K91" s="1084">
        <v>231.3</v>
      </c>
      <c r="L91" s="1084">
        <v>205.5</v>
      </c>
      <c r="M91" s="1084">
        <v>234.3</v>
      </c>
      <c r="N91" s="1084">
        <v>160.9</v>
      </c>
      <c r="O91" s="1084">
        <v>185.5</v>
      </c>
      <c r="P91" s="1084">
        <v>238.1</v>
      </c>
      <c r="Q91" s="1084">
        <v>232.5</v>
      </c>
      <c r="R91" s="1084">
        <v>139</v>
      </c>
      <c r="S91" s="1084">
        <v>175.6</v>
      </c>
      <c r="T91" s="1085">
        <v>133.5</v>
      </c>
      <c r="U91" s="1085">
        <v>163.69999999999999</v>
      </c>
      <c r="V91" s="1085">
        <v>174.6</v>
      </c>
      <c r="W91" s="1086">
        <f t="shared" si="4"/>
        <v>183.77</v>
      </c>
      <c r="X91" s="1086">
        <f t="shared" si="5"/>
        <v>185.71052631578945</v>
      </c>
      <c r="Y91" s="804">
        <f t="shared" si="6"/>
        <v>172.84035087719303</v>
      </c>
      <c r="AA91" s="908">
        <v>172.84035087719303</v>
      </c>
      <c r="AB91" s="1267">
        <v>12.631578947368439</v>
      </c>
      <c r="AC91" s="908"/>
    </row>
    <row r="92" spans="3:29" ht="15" customHeight="1" x14ac:dyDescent="0.2">
      <c r="C92" s="1263" t="s">
        <v>136</v>
      </c>
      <c r="D92" s="1084">
        <v>41.1</v>
      </c>
      <c r="E92" s="1084">
        <v>39.299999999999997</v>
      </c>
      <c r="F92" s="1084">
        <v>72.900000000000006</v>
      </c>
      <c r="G92" s="1084">
        <v>31.9</v>
      </c>
      <c r="H92" s="1084">
        <v>59.4</v>
      </c>
      <c r="I92" s="1084">
        <v>63.6</v>
      </c>
      <c r="J92" s="1084">
        <v>59.7</v>
      </c>
      <c r="K92" s="1084">
        <v>70.900000000000006</v>
      </c>
      <c r="L92" s="1084">
        <v>64.2</v>
      </c>
      <c r="M92" s="1084">
        <v>18.5</v>
      </c>
      <c r="N92" s="1084">
        <v>46.1</v>
      </c>
      <c r="O92" s="1084">
        <v>45.6</v>
      </c>
      <c r="P92" s="1084">
        <v>35.200000000000003</v>
      </c>
      <c r="Q92" s="1084">
        <v>98.2</v>
      </c>
      <c r="R92" s="1084">
        <v>51.7</v>
      </c>
      <c r="S92" s="1084">
        <v>58.4</v>
      </c>
      <c r="T92" s="1085">
        <v>40.799999999999997</v>
      </c>
      <c r="U92" s="1085">
        <v>73.3</v>
      </c>
      <c r="V92" s="1085">
        <v>57.2</v>
      </c>
      <c r="W92" s="1086">
        <f t="shared" si="4"/>
        <v>52.5</v>
      </c>
      <c r="X92" s="1086">
        <f t="shared" si="5"/>
        <v>54.10526315789474</v>
      </c>
      <c r="Y92" s="804">
        <f t="shared" si="6"/>
        <v>59.524561403508869</v>
      </c>
      <c r="AA92" s="908">
        <v>59.524561403508869</v>
      </c>
      <c r="AB92" s="1267">
        <v>41.39649122807009</v>
      </c>
      <c r="AC92" s="908"/>
    </row>
    <row r="93" spans="3:29" ht="15" customHeight="1" x14ac:dyDescent="0.2">
      <c r="C93" s="1263" t="s">
        <v>137</v>
      </c>
      <c r="D93" s="1084">
        <v>17.899999999999999</v>
      </c>
      <c r="E93" s="1084">
        <v>19.3</v>
      </c>
      <c r="F93" s="1084">
        <v>5.2</v>
      </c>
      <c r="G93" s="1084">
        <v>3.1</v>
      </c>
      <c r="H93" s="1084">
        <v>30</v>
      </c>
      <c r="I93" s="1084">
        <v>19.8</v>
      </c>
      <c r="J93" s="1084">
        <v>3.8</v>
      </c>
      <c r="K93" s="1084">
        <v>4.3</v>
      </c>
      <c r="L93" s="1084">
        <v>14</v>
      </c>
      <c r="M93" s="1084">
        <v>1.6</v>
      </c>
      <c r="N93" s="1084">
        <v>2.5</v>
      </c>
      <c r="O93" s="1084">
        <v>13.4</v>
      </c>
      <c r="P93" s="1084">
        <v>9.5</v>
      </c>
      <c r="Q93" s="1084">
        <v>21.5</v>
      </c>
      <c r="R93" s="1084">
        <v>7.7</v>
      </c>
      <c r="S93" s="1084">
        <v>0.7</v>
      </c>
      <c r="T93" s="1085">
        <v>0.2</v>
      </c>
      <c r="U93" s="1085">
        <v>6.3</v>
      </c>
      <c r="V93" s="1085">
        <v>29.7</v>
      </c>
      <c r="W93" s="1086">
        <f t="shared" si="4"/>
        <v>9.31</v>
      </c>
      <c r="X93" s="1086">
        <f t="shared" si="5"/>
        <v>11.07894736842105</v>
      </c>
      <c r="Y93" s="804">
        <f t="shared" si="6"/>
        <v>8.8315789473684276</v>
      </c>
      <c r="AA93" s="908">
        <v>8.8315789473684276</v>
      </c>
      <c r="AB93" s="1267">
        <v>101.87017543859656</v>
      </c>
      <c r="AC93" s="908"/>
    </row>
    <row r="94" spans="3:29" ht="15" customHeight="1" x14ac:dyDescent="0.2">
      <c r="C94" s="1263" t="s">
        <v>138</v>
      </c>
      <c r="D94" s="1084">
        <v>6.6</v>
      </c>
      <c r="E94" s="1084">
        <v>24.5</v>
      </c>
      <c r="F94" s="1084">
        <v>7.8</v>
      </c>
      <c r="G94" s="1084">
        <v>8.6999999999999993</v>
      </c>
      <c r="H94" s="1084">
        <v>23.1</v>
      </c>
      <c r="I94" s="1084">
        <v>0.6</v>
      </c>
      <c r="J94" s="1084">
        <v>5</v>
      </c>
      <c r="K94" s="1084">
        <v>3.9</v>
      </c>
      <c r="L94" s="1084">
        <v>22.9</v>
      </c>
      <c r="M94" s="1084">
        <v>3.7</v>
      </c>
      <c r="N94" s="1084">
        <v>12.1</v>
      </c>
      <c r="O94" s="1084">
        <v>17.5</v>
      </c>
      <c r="P94" s="1084">
        <v>19.399999999999999</v>
      </c>
      <c r="Q94" s="1084">
        <v>20</v>
      </c>
      <c r="R94" s="1084">
        <v>6</v>
      </c>
      <c r="S94" s="1084">
        <v>2.7</v>
      </c>
      <c r="T94" s="1085">
        <v>4.5</v>
      </c>
      <c r="U94" s="1085">
        <v>13.8</v>
      </c>
      <c r="V94" s="1085">
        <v>24.1</v>
      </c>
      <c r="W94" s="1086">
        <f t="shared" si="4"/>
        <v>12.379999999999999</v>
      </c>
      <c r="X94" s="1086">
        <f t="shared" si="5"/>
        <v>11.942105263157893</v>
      </c>
      <c r="Y94" s="804">
        <f t="shared" si="6"/>
        <v>13.073684210526295</v>
      </c>
      <c r="AA94" s="908">
        <v>13.073684210526295</v>
      </c>
      <c r="AB94" s="1267">
        <v>82.985964912280679</v>
      </c>
      <c r="AC94" s="908"/>
    </row>
    <row r="95" spans="3:29" ht="15" customHeight="1" x14ac:dyDescent="0.2">
      <c r="C95" s="1263" t="s">
        <v>139</v>
      </c>
      <c r="D95" s="1084">
        <v>78</v>
      </c>
      <c r="E95" s="1084">
        <v>67.3</v>
      </c>
      <c r="F95" s="1084">
        <v>42.9</v>
      </c>
      <c r="G95" s="1084">
        <v>45.6</v>
      </c>
      <c r="H95" s="1084">
        <v>106.8</v>
      </c>
      <c r="I95" s="1084">
        <v>93.9</v>
      </c>
      <c r="J95" s="1084">
        <v>30.3</v>
      </c>
      <c r="K95" s="1084">
        <v>56.5</v>
      </c>
      <c r="L95" s="1084">
        <v>49.7</v>
      </c>
      <c r="M95" s="1084">
        <v>30.2</v>
      </c>
      <c r="N95" s="1084">
        <v>98.2</v>
      </c>
      <c r="O95" s="1084">
        <v>50.4</v>
      </c>
      <c r="P95" s="1084">
        <v>72.7</v>
      </c>
      <c r="Q95" s="1084">
        <v>75.8</v>
      </c>
      <c r="R95" s="1084">
        <v>93.2</v>
      </c>
      <c r="S95" s="1084">
        <v>72.3</v>
      </c>
      <c r="T95" s="1085">
        <v>90.2</v>
      </c>
      <c r="U95" s="1085">
        <v>103.5</v>
      </c>
      <c r="V95" s="1085">
        <v>86.3</v>
      </c>
      <c r="W95" s="1086">
        <f t="shared" si="4"/>
        <v>77.28</v>
      </c>
      <c r="X95" s="1086">
        <f t="shared" si="5"/>
        <v>70.726315789473688</v>
      </c>
      <c r="Y95" s="804">
        <f t="shared" si="6"/>
        <v>86.142105263158101</v>
      </c>
      <c r="AA95" s="908">
        <v>86.142105263158101</v>
      </c>
      <c r="AB95" s="1267">
        <v>24.940350877193055</v>
      </c>
      <c r="AC95" s="908"/>
    </row>
    <row r="96" spans="3:29" ht="15" customHeight="1" x14ac:dyDescent="0.2">
      <c r="C96" s="1263" t="s">
        <v>142</v>
      </c>
      <c r="D96" s="1084">
        <v>254.1</v>
      </c>
      <c r="E96" s="1084">
        <v>256.10000000000002</v>
      </c>
      <c r="F96" s="1084">
        <v>237.7</v>
      </c>
      <c r="G96" s="1084">
        <v>256.3</v>
      </c>
      <c r="H96" s="1084">
        <v>130.19999999999999</v>
      </c>
      <c r="I96" s="1084">
        <v>230.3</v>
      </c>
      <c r="J96" s="1084">
        <v>304.39999999999998</v>
      </c>
      <c r="K96" s="1084">
        <v>270.3</v>
      </c>
      <c r="L96" s="1084">
        <v>223.9</v>
      </c>
      <c r="M96" s="1084">
        <v>214.8</v>
      </c>
      <c r="N96" s="1084">
        <v>287.7</v>
      </c>
      <c r="O96" s="1084">
        <v>141.9</v>
      </c>
      <c r="P96" s="1084">
        <v>273</v>
      </c>
      <c r="Q96" s="1084">
        <v>296.5</v>
      </c>
      <c r="R96" s="1084">
        <v>238.8</v>
      </c>
      <c r="S96" s="1084">
        <v>223</v>
      </c>
      <c r="T96" s="1085">
        <v>235.2</v>
      </c>
      <c r="U96" s="1085">
        <v>189.8</v>
      </c>
      <c r="V96" s="1085">
        <v>238.8</v>
      </c>
      <c r="W96" s="1086">
        <f t="shared" si="4"/>
        <v>233.95000000000005</v>
      </c>
      <c r="X96" s="1086">
        <f t="shared" si="5"/>
        <v>236.98947368421054</v>
      </c>
      <c r="Y96" s="804">
        <f t="shared" si="6"/>
        <v>230.58947368421036</v>
      </c>
      <c r="AA96" s="908">
        <v>230.58947368421036</v>
      </c>
      <c r="AB96" s="1267">
        <v>2.8456140350876922</v>
      </c>
      <c r="AC96" s="908"/>
    </row>
    <row r="97" spans="3:29" ht="15" customHeight="1" x14ac:dyDescent="0.2">
      <c r="C97" s="1263" t="s">
        <v>140</v>
      </c>
      <c r="D97" s="1084">
        <v>507.1</v>
      </c>
      <c r="E97" s="1084">
        <v>451.8</v>
      </c>
      <c r="F97" s="1084">
        <v>400.8</v>
      </c>
      <c r="G97" s="1084">
        <v>351.6</v>
      </c>
      <c r="H97" s="1084">
        <v>177.7</v>
      </c>
      <c r="I97" s="1084">
        <v>309.8</v>
      </c>
      <c r="J97" s="1084">
        <v>375.1</v>
      </c>
      <c r="K97" s="1084">
        <v>386</v>
      </c>
      <c r="L97" s="1084">
        <v>394.8</v>
      </c>
      <c r="M97" s="1084">
        <v>392.5</v>
      </c>
      <c r="N97" s="1084">
        <v>367.5</v>
      </c>
      <c r="O97" s="1084">
        <v>466.3</v>
      </c>
      <c r="P97" s="1084">
        <v>444.3</v>
      </c>
      <c r="Q97" s="1084">
        <v>351.5</v>
      </c>
      <c r="R97" s="1084">
        <v>410</v>
      </c>
      <c r="S97" s="1084">
        <v>336.2</v>
      </c>
      <c r="T97" s="1085">
        <v>446</v>
      </c>
      <c r="U97" s="1085">
        <v>476.7</v>
      </c>
      <c r="V97" s="1085">
        <v>460.7</v>
      </c>
      <c r="W97" s="1086">
        <f t="shared" si="4"/>
        <v>415.16999999999996</v>
      </c>
      <c r="X97" s="1086">
        <f t="shared" si="5"/>
        <v>395.07368421052632</v>
      </c>
      <c r="Y97" s="804">
        <f t="shared" si="6"/>
        <v>424.45614035087692</v>
      </c>
      <c r="AA97" s="908">
        <v>424.45614035087692</v>
      </c>
      <c r="AB97" s="1267">
        <v>0</v>
      </c>
      <c r="AC97" s="908"/>
    </row>
    <row r="98" spans="3:29" ht="15" customHeight="1" x14ac:dyDescent="0.2">
      <c r="C98" s="1263" t="s">
        <v>141</v>
      </c>
      <c r="D98" s="1084">
        <v>545.1</v>
      </c>
      <c r="E98" s="1084">
        <v>584</v>
      </c>
      <c r="F98" s="1084">
        <v>523</v>
      </c>
      <c r="G98" s="1084">
        <v>583.4</v>
      </c>
      <c r="H98" s="1084">
        <v>748.6</v>
      </c>
      <c r="I98" s="1084">
        <v>496</v>
      </c>
      <c r="J98" s="1084">
        <v>613.70000000000005</v>
      </c>
      <c r="K98" s="1084">
        <v>581.79999999999995</v>
      </c>
      <c r="L98" s="1084">
        <v>664.1</v>
      </c>
      <c r="M98" s="1084">
        <v>658.5</v>
      </c>
      <c r="N98" s="1084">
        <v>503.7</v>
      </c>
      <c r="O98" s="1084">
        <v>654.1</v>
      </c>
      <c r="P98" s="1084">
        <v>668.4</v>
      </c>
      <c r="Q98" s="1084">
        <v>619</v>
      </c>
      <c r="R98" s="1084">
        <v>668.7</v>
      </c>
      <c r="S98" s="1084">
        <v>555.29999999999995</v>
      </c>
      <c r="T98" s="1085">
        <v>524</v>
      </c>
      <c r="U98" s="1085">
        <v>717.5</v>
      </c>
      <c r="V98" s="1085">
        <v>537.70000000000005</v>
      </c>
      <c r="W98" s="1086">
        <f t="shared" si="4"/>
        <v>610.69000000000005</v>
      </c>
      <c r="X98" s="1086">
        <f t="shared" si="5"/>
        <v>602.45263157894749</v>
      </c>
      <c r="Y98" s="804">
        <f t="shared" si="6"/>
        <v>621.41052631578941</v>
      </c>
      <c r="AA98" s="908">
        <v>621.41052631578941</v>
      </c>
      <c r="AB98" s="1267">
        <v>0</v>
      </c>
      <c r="AC98" s="908"/>
    </row>
    <row r="99" spans="3:29" x14ac:dyDescent="0.2">
      <c r="AA99" s="908"/>
      <c r="AB99" s="1266"/>
      <c r="AC99" s="908"/>
    </row>
    <row r="100" spans="3:29" x14ac:dyDescent="0.2">
      <c r="AA100" s="908"/>
      <c r="AB100" s="1266"/>
      <c r="AC100" s="908"/>
    </row>
    <row r="101" spans="3:29" x14ac:dyDescent="0.2">
      <c r="AA101" s="908"/>
      <c r="AB101" s="1266"/>
      <c r="AC101" s="908"/>
    </row>
    <row r="102" spans="3:29" ht="30" customHeight="1" x14ac:dyDescent="0.2">
      <c r="C102" s="13" t="s">
        <v>2</v>
      </c>
      <c r="D102" s="246">
        <v>1996</v>
      </c>
      <c r="E102" s="246">
        <v>1997</v>
      </c>
      <c r="F102" s="246">
        <v>1998</v>
      </c>
      <c r="G102" s="246">
        <v>1999</v>
      </c>
      <c r="H102" s="246">
        <v>2000</v>
      </c>
      <c r="I102" s="246">
        <v>2001</v>
      </c>
      <c r="J102" s="246">
        <v>2002</v>
      </c>
      <c r="K102" s="246">
        <v>2003</v>
      </c>
      <c r="L102" s="246">
        <v>2004</v>
      </c>
      <c r="M102" s="246">
        <v>2005</v>
      </c>
      <c r="N102" s="246">
        <v>2006</v>
      </c>
      <c r="O102" s="246">
        <v>2007</v>
      </c>
      <c r="P102" s="246">
        <v>2008</v>
      </c>
      <c r="Q102" s="246">
        <v>2009</v>
      </c>
      <c r="R102" s="246">
        <v>2010</v>
      </c>
      <c r="S102" s="246">
        <v>2011</v>
      </c>
      <c r="T102" s="246">
        <v>2012</v>
      </c>
      <c r="U102" s="246">
        <v>2013</v>
      </c>
      <c r="V102" s="246">
        <v>2014</v>
      </c>
      <c r="W102" s="1083" t="s">
        <v>623</v>
      </c>
      <c r="X102" s="1083" t="s">
        <v>624</v>
      </c>
      <c r="Y102" s="1083" t="s">
        <v>709</v>
      </c>
      <c r="AA102" s="908"/>
      <c r="AB102" s="1266"/>
      <c r="AC102" s="908"/>
    </row>
    <row r="103" spans="3:29" ht="14.25" customHeight="1" x14ac:dyDescent="0.2">
      <c r="C103" s="1263" t="s">
        <v>132</v>
      </c>
      <c r="D103" s="1087">
        <v>0</v>
      </c>
      <c r="E103" s="1087">
        <v>0</v>
      </c>
      <c r="F103" s="1087">
        <v>0</v>
      </c>
      <c r="G103" s="1087">
        <v>0</v>
      </c>
      <c r="H103" s="1087">
        <v>0</v>
      </c>
      <c r="I103" s="1087">
        <v>0</v>
      </c>
      <c r="J103" s="1087">
        <v>0</v>
      </c>
      <c r="K103" s="1087">
        <v>0</v>
      </c>
      <c r="L103" s="1087">
        <v>0</v>
      </c>
      <c r="M103" s="1087">
        <v>0</v>
      </c>
      <c r="N103" s="1087">
        <v>0</v>
      </c>
      <c r="O103" s="1087">
        <v>0</v>
      </c>
      <c r="P103" s="1087">
        <v>0</v>
      </c>
      <c r="Q103" s="1087">
        <v>0</v>
      </c>
      <c r="R103" s="1087">
        <v>0</v>
      </c>
      <c r="S103" s="1087">
        <v>0</v>
      </c>
      <c r="T103" s="1087">
        <v>0</v>
      </c>
      <c r="U103" s="1087">
        <v>0</v>
      </c>
      <c r="V103" s="1087">
        <v>0</v>
      </c>
      <c r="W103" s="1087">
        <f>AVERAGE(M103:V103)</f>
        <v>0</v>
      </c>
      <c r="X103" s="1087">
        <f>AVERAGE(D103:V103)</f>
        <v>0</v>
      </c>
      <c r="Y103" s="804">
        <f>TREND(D103:V103,$D$86:$V$86,2015)</f>
        <v>0</v>
      </c>
      <c r="AA103" s="908"/>
      <c r="AB103" s="1266"/>
      <c r="AC103" s="908"/>
    </row>
    <row r="104" spans="3:29" ht="14.25" customHeight="1" x14ac:dyDescent="0.2">
      <c r="C104" s="1263" t="s">
        <v>133</v>
      </c>
      <c r="D104" s="1087">
        <v>0</v>
      </c>
      <c r="E104" s="1087">
        <v>0</v>
      </c>
      <c r="F104" s="1087">
        <v>0</v>
      </c>
      <c r="G104" s="1087">
        <v>0</v>
      </c>
      <c r="H104" s="1087">
        <v>0</v>
      </c>
      <c r="I104" s="1087">
        <v>0</v>
      </c>
      <c r="J104" s="1087">
        <v>0</v>
      </c>
      <c r="K104" s="1087">
        <v>0</v>
      </c>
      <c r="L104" s="1087">
        <v>0</v>
      </c>
      <c r="M104" s="1087">
        <v>0</v>
      </c>
      <c r="N104" s="1087">
        <v>0</v>
      </c>
      <c r="O104" s="1087">
        <v>0</v>
      </c>
      <c r="P104" s="1087">
        <v>0</v>
      </c>
      <c r="Q104" s="1087">
        <v>0</v>
      </c>
      <c r="R104" s="1087">
        <v>0</v>
      </c>
      <c r="S104" s="1087">
        <v>0</v>
      </c>
      <c r="T104" s="1087">
        <v>0</v>
      </c>
      <c r="U104" s="1087">
        <v>0</v>
      </c>
      <c r="V104" s="1087">
        <v>0</v>
      </c>
      <c r="W104" s="1087">
        <f t="shared" ref="W104:W114" si="7">AVERAGE(M104:V104)</f>
        <v>0</v>
      </c>
      <c r="X104" s="1087">
        <f t="shared" ref="X104:X114" si="8">AVERAGE(D104:V104)</f>
        <v>0</v>
      </c>
      <c r="Y104" s="804">
        <f t="shared" ref="Y104:Y114" si="9">TREND(D104:V104,$D$86:$V$86,2015)</f>
        <v>0</v>
      </c>
      <c r="AA104" s="908"/>
      <c r="AB104" s="1266"/>
      <c r="AC104" s="908"/>
    </row>
    <row r="105" spans="3:29" ht="14.25" customHeight="1" x14ac:dyDescent="0.2">
      <c r="C105" s="1263" t="s">
        <v>134</v>
      </c>
      <c r="D105" s="1087">
        <v>0</v>
      </c>
      <c r="E105" s="1087">
        <v>0</v>
      </c>
      <c r="F105" s="1087">
        <v>0</v>
      </c>
      <c r="G105" s="1087">
        <v>0</v>
      </c>
      <c r="H105" s="1087">
        <v>0</v>
      </c>
      <c r="I105" s="1087">
        <v>0</v>
      </c>
      <c r="J105" s="1087">
        <v>0</v>
      </c>
      <c r="K105" s="1087">
        <v>0</v>
      </c>
      <c r="L105" s="1087">
        <v>0</v>
      </c>
      <c r="M105" s="1087">
        <v>0</v>
      </c>
      <c r="N105" s="1087">
        <v>0</v>
      </c>
      <c r="O105" s="1087">
        <v>0</v>
      </c>
      <c r="P105" s="1087">
        <v>0</v>
      </c>
      <c r="Q105" s="1087">
        <v>0</v>
      </c>
      <c r="R105" s="1087">
        <v>0</v>
      </c>
      <c r="S105" s="1087">
        <v>0</v>
      </c>
      <c r="T105" s="1087">
        <v>2.8</v>
      </c>
      <c r="U105" s="1087">
        <v>0</v>
      </c>
      <c r="V105" s="1087">
        <v>0</v>
      </c>
      <c r="W105" s="1087">
        <f t="shared" si="7"/>
        <v>0.27999999999999997</v>
      </c>
      <c r="X105" s="1087">
        <f t="shared" si="8"/>
        <v>0.14736842105263157</v>
      </c>
      <c r="Y105" s="804">
        <f t="shared" si="9"/>
        <v>0.49122807017543835</v>
      </c>
      <c r="AA105" s="908"/>
      <c r="AB105" s="1266"/>
      <c r="AC105" s="908"/>
    </row>
    <row r="106" spans="3:29" ht="14.25" customHeight="1" x14ac:dyDescent="0.2">
      <c r="C106" s="1263" t="s">
        <v>135</v>
      </c>
      <c r="D106" s="1087">
        <v>0</v>
      </c>
      <c r="E106" s="1087">
        <v>0</v>
      </c>
      <c r="F106" s="1087">
        <v>0</v>
      </c>
      <c r="G106" s="1087">
        <v>0</v>
      </c>
      <c r="H106" s="1087">
        <v>0</v>
      </c>
      <c r="I106" s="1087">
        <v>0</v>
      </c>
      <c r="J106" s="1087">
        <v>10.3</v>
      </c>
      <c r="K106" s="1087">
        <v>5.2</v>
      </c>
      <c r="L106" s="1087">
        <v>0</v>
      </c>
      <c r="M106" s="1087">
        <v>1.1000000000000001</v>
      </c>
      <c r="N106" s="1087">
        <v>0</v>
      </c>
      <c r="O106" s="1087">
        <v>0</v>
      </c>
      <c r="P106" s="1087">
        <v>0.9</v>
      </c>
      <c r="Q106" s="1087">
        <v>0.5</v>
      </c>
      <c r="R106" s="1087">
        <v>3</v>
      </c>
      <c r="S106" s="1087">
        <v>0</v>
      </c>
      <c r="T106" s="1087">
        <v>0</v>
      </c>
      <c r="U106" s="1087">
        <v>0</v>
      </c>
      <c r="V106" s="1087">
        <v>0</v>
      </c>
      <c r="W106" s="1087">
        <f t="shared" si="7"/>
        <v>0.55000000000000004</v>
      </c>
      <c r="X106" s="1087">
        <f t="shared" si="8"/>
        <v>1.1052631578947369</v>
      </c>
      <c r="Y106" s="804">
        <f t="shared" si="9"/>
        <v>0.7263157894736878</v>
      </c>
      <c r="AA106" s="908"/>
      <c r="AB106" s="1266"/>
      <c r="AC106" s="908"/>
    </row>
    <row r="107" spans="3:29" ht="14.25" customHeight="1" x14ac:dyDescent="0.2">
      <c r="C107" s="1263" t="s">
        <v>110</v>
      </c>
      <c r="D107" s="1087">
        <v>8.3000000000000007</v>
      </c>
      <c r="E107" s="1087">
        <v>0</v>
      </c>
      <c r="F107" s="1087">
        <v>15.2</v>
      </c>
      <c r="G107" s="1087">
        <v>28</v>
      </c>
      <c r="H107" s="1087">
        <v>11.1</v>
      </c>
      <c r="I107" s="1087">
        <v>12.2</v>
      </c>
      <c r="J107" s="1087">
        <v>2.2999999999999998</v>
      </c>
      <c r="K107" s="1087">
        <v>0</v>
      </c>
      <c r="L107" s="1087">
        <v>7.2</v>
      </c>
      <c r="M107" s="1087">
        <v>1.4</v>
      </c>
      <c r="N107" s="1087">
        <v>15.6</v>
      </c>
      <c r="O107" s="1087">
        <v>18</v>
      </c>
      <c r="P107" s="1087">
        <v>0</v>
      </c>
      <c r="Q107" s="1087">
        <v>2.8</v>
      </c>
      <c r="R107" s="1087">
        <v>20.7</v>
      </c>
      <c r="S107" s="1087">
        <v>14.1</v>
      </c>
      <c r="T107" s="1087">
        <v>24.4</v>
      </c>
      <c r="U107" s="1087">
        <v>15.7</v>
      </c>
      <c r="V107" s="1087">
        <v>4.0999999999999996</v>
      </c>
      <c r="W107" s="1087">
        <f t="shared" si="7"/>
        <v>11.68</v>
      </c>
      <c r="X107" s="1087">
        <f t="shared" si="8"/>
        <v>10.584210526315788</v>
      </c>
      <c r="Y107" s="804">
        <f t="shared" si="9"/>
        <v>12.631578947368439</v>
      </c>
      <c r="AA107" s="908"/>
      <c r="AB107" s="1266"/>
      <c r="AC107" s="908"/>
    </row>
    <row r="108" spans="3:29" ht="14.25" customHeight="1" x14ac:dyDescent="0.2">
      <c r="C108" s="1263" t="s">
        <v>136</v>
      </c>
      <c r="D108" s="1087">
        <v>19.7</v>
      </c>
      <c r="E108" s="1087">
        <v>56.6</v>
      </c>
      <c r="F108" s="1087">
        <v>58.3</v>
      </c>
      <c r="G108" s="1087">
        <v>83.4</v>
      </c>
      <c r="H108" s="1087">
        <v>33.700000000000003</v>
      </c>
      <c r="I108" s="1087">
        <v>61.5</v>
      </c>
      <c r="J108" s="1087">
        <v>61.2</v>
      </c>
      <c r="K108" s="1087">
        <v>32.299999999999997</v>
      </c>
      <c r="L108" s="1087">
        <v>25.3</v>
      </c>
      <c r="M108" s="1087">
        <v>102.4</v>
      </c>
      <c r="N108" s="1087">
        <v>44.9</v>
      </c>
      <c r="O108" s="1087">
        <v>59.8</v>
      </c>
      <c r="P108" s="1087">
        <v>49.6</v>
      </c>
      <c r="Q108" s="1087">
        <v>16.899999999999999</v>
      </c>
      <c r="R108" s="1087">
        <v>21.9</v>
      </c>
      <c r="S108" s="1087">
        <v>20.7</v>
      </c>
      <c r="T108" s="1087">
        <v>77.8</v>
      </c>
      <c r="U108" s="1087">
        <v>41</v>
      </c>
      <c r="V108" s="1087">
        <v>41.5</v>
      </c>
      <c r="W108" s="1087">
        <f t="shared" si="7"/>
        <v>47.65</v>
      </c>
      <c r="X108" s="1087">
        <f t="shared" si="8"/>
        <v>47.815789473684205</v>
      </c>
      <c r="Y108" s="804">
        <f t="shared" si="9"/>
        <v>41.39649122807009</v>
      </c>
      <c r="AA108" s="908"/>
      <c r="AB108" s="1266"/>
      <c r="AC108" s="908"/>
    </row>
    <row r="109" spans="3:29" ht="14.25" customHeight="1" x14ac:dyDescent="0.2">
      <c r="C109" s="1263" t="s">
        <v>137</v>
      </c>
      <c r="D109" s="1087">
        <v>44.6</v>
      </c>
      <c r="E109" s="1087">
        <v>84.5</v>
      </c>
      <c r="F109" s="1087">
        <v>84.7</v>
      </c>
      <c r="G109" s="1087">
        <v>152</v>
      </c>
      <c r="H109" s="1087">
        <v>51.1</v>
      </c>
      <c r="I109" s="1087">
        <v>85.2</v>
      </c>
      <c r="J109" s="1087">
        <v>153.9</v>
      </c>
      <c r="K109" s="1087">
        <v>81</v>
      </c>
      <c r="L109" s="1087">
        <v>63.9</v>
      </c>
      <c r="M109" s="1087">
        <v>132.5</v>
      </c>
      <c r="N109" s="1087">
        <v>141.4</v>
      </c>
      <c r="O109" s="1087">
        <v>64.400000000000006</v>
      </c>
      <c r="P109" s="1087">
        <v>87.9</v>
      </c>
      <c r="Q109" s="1087">
        <v>26.6</v>
      </c>
      <c r="R109" s="1087">
        <v>136</v>
      </c>
      <c r="S109" s="1087">
        <v>139.9</v>
      </c>
      <c r="T109" s="1087">
        <v>125.7</v>
      </c>
      <c r="U109" s="1087">
        <v>96.7</v>
      </c>
      <c r="V109" s="1087">
        <v>50.3</v>
      </c>
      <c r="W109" s="1087">
        <f t="shared" si="7"/>
        <v>100.14</v>
      </c>
      <c r="X109" s="1087">
        <f t="shared" si="8"/>
        <v>94.857894736842113</v>
      </c>
      <c r="Y109" s="804">
        <f t="shared" si="9"/>
        <v>101.87017543859656</v>
      </c>
      <c r="AA109" s="908"/>
      <c r="AB109" s="1266"/>
      <c r="AC109" s="908"/>
    </row>
    <row r="110" spans="3:29" ht="14.25" customHeight="1" x14ac:dyDescent="0.2">
      <c r="C110" s="1263" t="s">
        <v>138</v>
      </c>
      <c r="D110" s="1087">
        <v>65.599999999999994</v>
      </c>
      <c r="E110" s="1087">
        <v>17.8</v>
      </c>
      <c r="F110" s="1087">
        <v>81.8</v>
      </c>
      <c r="G110" s="1087">
        <v>64.5</v>
      </c>
      <c r="H110" s="1087">
        <v>53.8</v>
      </c>
      <c r="I110" s="1087">
        <v>128.4</v>
      </c>
      <c r="J110" s="1087">
        <v>102.4</v>
      </c>
      <c r="K110" s="1087">
        <v>91.4</v>
      </c>
      <c r="L110" s="1087">
        <v>54.2</v>
      </c>
      <c r="M110" s="1087">
        <v>106.4</v>
      </c>
      <c r="N110" s="1087">
        <v>73.599999999999994</v>
      </c>
      <c r="O110" s="1087">
        <v>88.7</v>
      </c>
      <c r="P110" s="1087">
        <v>50.5</v>
      </c>
      <c r="Q110" s="1087">
        <v>69.099999999999994</v>
      </c>
      <c r="R110" s="1087">
        <v>129.80000000000001</v>
      </c>
      <c r="S110" s="1087">
        <v>88.2</v>
      </c>
      <c r="T110" s="1087">
        <v>84</v>
      </c>
      <c r="U110" s="1087">
        <v>63.9</v>
      </c>
      <c r="V110" s="1087">
        <v>45.9</v>
      </c>
      <c r="W110" s="1087">
        <f t="shared" si="7"/>
        <v>80.009999999999991</v>
      </c>
      <c r="X110" s="1087">
        <f t="shared" si="8"/>
        <v>76.842105263157904</v>
      </c>
      <c r="Y110" s="804">
        <f t="shared" si="9"/>
        <v>82.985964912280679</v>
      </c>
      <c r="AA110" s="908"/>
      <c r="AB110" s="1266"/>
      <c r="AC110" s="908"/>
    </row>
    <row r="111" spans="3:29" ht="14.25" customHeight="1" x14ac:dyDescent="0.2">
      <c r="C111" s="1263" t="s">
        <v>139</v>
      </c>
      <c r="D111" s="1087">
        <v>17.2</v>
      </c>
      <c r="E111" s="1087">
        <v>9.1</v>
      </c>
      <c r="F111" s="1087">
        <v>29.5</v>
      </c>
      <c r="G111" s="1087">
        <v>42.5</v>
      </c>
      <c r="H111" s="1087">
        <v>32</v>
      </c>
      <c r="I111" s="1087">
        <v>28.1</v>
      </c>
      <c r="J111" s="1087">
        <v>81.400000000000006</v>
      </c>
      <c r="K111" s="1087">
        <v>19.7</v>
      </c>
      <c r="L111" s="1087">
        <v>49.4</v>
      </c>
      <c r="M111" s="1087">
        <v>57.5</v>
      </c>
      <c r="N111" s="1087">
        <v>9.1999999999999993</v>
      </c>
      <c r="O111" s="1087">
        <v>40.9</v>
      </c>
      <c r="P111" s="1087">
        <v>21.6</v>
      </c>
      <c r="Q111" s="1087">
        <v>10.7</v>
      </c>
      <c r="R111" s="1087">
        <v>26.8</v>
      </c>
      <c r="S111" s="1087">
        <v>21.2</v>
      </c>
      <c r="T111" s="1087">
        <v>24.4</v>
      </c>
      <c r="U111" s="1087">
        <v>24.1</v>
      </c>
      <c r="V111" s="1087">
        <v>21.4</v>
      </c>
      <c r="W111" s="1087">
        <f t="shared" si="7"/>
        <v>25.779999999999994</v>
      </c>
      <c r="X111" s="1087">
        <f t="shared" si="8"/>
        <v>29.826315789473682</v>
      </c>
      <c r="Y111" s="804">
        <f t="shared" si="9"/>
        <v>24.940350877193055</v>
      </c>
      <c r="AA111" s="908"/>
      <c r="AB111" s="1266"/>
      <c r="AC111" s="908"/>
    </row>
    <row r="112" spans="3:29" ht="14.25" customHeight="1" x14ac:dyDescent="0.2">
      <c r="C112" s="1263" t="s">
        <v>142</v>
      </c>
      <c r="D112" s="1087">
        <v>2.1</v>
      </c>
      <c r="E112" s="1087">
        <v>10.9</v>
      </c>
      <c r="F112" s="1087">
        <v>1.3</v>
      </c>
      <c r="G112" s="1087">
        <v>0</v>
      </c>
      <c r="H112" s="1087">
        <v>1.8</v>
      </c>
      <c r="I112" s="1087">
        <v>1.8</v>
      </c>
      <c r="J112" s="1087">
        <v>9.5</v>
      </c>
      <c r="K112" s="1087">
        <v>0</v>
      </c>
      <c r="L112" s="1087">
        <v>1.3</v>
      </c>
      <c r="M112" s="1087">
        <v>20</v>
      </c>
      <c r="N112" s="1087">
        <v>0.6</v>
      </c>
      <c r="O112" s="1087">
        <v>22.2</v>
      </c>
      <c r="P112" s="1087">
        <v>3.7</v>
      </c>
      <c r="Q112" s="1087">
        <v>0</v>
      </c>
      <c r="R112" s="1087">
        <v>0</v>
      </c>
      <c r="S112" s="1087">
        <v>2.8</v>
      </c>
      <c r="T112" s="1087">
        <v>0.1</v>
      </c>
      <c r="U112" s="1087">
        <v>0.1</v>
      </c>
      <c r="V112" s="1087">
        <v>1.2</v>
      </c>
      <c r="W112" s="1087">
        <f t="shared" si="7"/>
        <v>5.07</v>
      </c>
      <c r="X112" s="1087">
        <f t="shared" si="8"/>
        <v>4.1789473684210519</v>
      </c>
      <c r="Y112" s="804">
        <f t="shared" si="9"/>
        <v>2.8456140350876922</v>
      </c>
      <c r="AA112" s="908"/>
      <c r="AB112" s="1266"/>
      <c r="AC112" s="908"/>
    </row>
    <row r="113" spans="3:29" ht="14.25" customHeight="1" x14ac:dyDescent="0.2">
      <c r="C113" s="1263" t="s">
        <v>140</v>
      </c>
      <c r="D113" s="1087">
        <v>0</v>
      </c>
      <c r="E113" s="1087">
        <v>0</v>
      </c>
      <c r="F113" s="1087">
        <v>0</v>
      </c>
      <c r="G113" s="1087">
        <v>0</v>
      </c>
      <c r="H113" s="1087">
        <v>0</v>
      </c>
      <c r="I113" s="1087">
        <v>0</v>
      </c>
      <c r="J113" s="1087">
        <v>0</v>
      </c>
      <c r="K113" s="1087">
        <v>0</v>
      </c>
      <c r="L113" s="1087">
        <v>0</v>
      </c>
      <c r="M113" s="1087">
        <v>0</v>
      </c>
      <c r="N113" s="1087">
        <v>0</v>
      </c>
      <c r="O113" s="1087">
        <v>0</v>
      </c>
      <c r="P113" s="1087">
        <v>0</v>
      </c>
      <c r="Q113" s="1087">
        <v>0</v>
      </c>
      <c r="R113" s="1087">
        <v>0</v>
      </c>
      <c r="S113" s="1087">
        <v>0</v>
      </c>
      <c r="T113" s="1087">
        <v>0</v>
      </c>
      <c r="U113" s="1087">
        <v>0</v>
      </c>
      <c r="V113" s="1087">
        <v>0</v>
      </c>
      <c r="W113" s="1087">
        <f t="shared" si="7"/>
        <v>0</v>
      </c>
      <c r="X113" s="1087">
        <f t="shared" si="8"/>
        <v>0</v>
      </c>
      <c r="Y113" s="804">
        <f t="shared" si="9"/>
        <v>0</v>
      </c>
      <c r="AA113" s="908"/>
      <c r="AB113" s="1266"/>
      <c r="AC113" s="908"/>
    </row>
    <row r="114" spans="3:29" ht="14.25" customHeight="1" x14ac:dyDescent="0.2">
      <c r="C114" s="1263" t="s">
        <v>141</v>
      </c>
      <c r="D114" s="1087">
        <v>0</v>
      </c>
      <c r="E114" s="1087">
        <v>0</v>
      </c>
      <c r="F114" s="1087">
        <v>0</v>
      </c>
      <c r="G114" s="1087">
        <v>0</v>
      </c>
      <c r="H114" s="1087">
        <v>0</v>
      </c>
      <c r="I114" s="1087">
        <v>0</v>
      </c>
      <c r="J114" s="1087">
        <v>0</v>
      </c>
      <c r="K114" s="1087">
        <v>0</v>
      </c>
      <c r="L114" s="1087">
        <v>0</v>
      </c>
      <c r="M114" s="1087">
        <v>0</v>
      </c>
      <c r="N114" s="1087">
        <v>0</v>
      </c>
      <c r="O114" s="1087">
        <v>0</v>
      </c>
      <c r="P114" s="1087">
        <v>0</v>
      </c>
      <c r="Q114" s="1087">
        <v>0</v>
      </c>
      <c r="R114" s="1087">
        <v>0</v>
      </c>
      <c r="S114" s="1087">
        <v>0</v>
      </c>
      <c r="T114" s="1087">
        <v>0</v>
      </c>
      <c r="U114" s="1087">
        <v>0</v>
      </c>
      <c r="V114" s="1087">
        <v>0</v>
      </c>
      <c r="W114" s="1087">
        <f t="shared" si="7"/>
        <v>0</v>
      </c>
      <c r="X114" s="1087">
        <f t="shared" si="8"/>
        <v>0</v>
      </c>
      <c r="Y114" s="804">
        <f t="shared" si="9"/>
        <v>0</v>
      </c>
      <c r="AA114" s="908"/>
      <c r="AB114" s="1266"/>
      <c r="AC114" s="908"/>
    </row>
    <row r="115" spans="3:29" x14ac:dyDescent="0.2">
      <c r="AA115" s="908"/>
      <c r="AB115" s="1266"/>
      <c r="AC115" s="908"/>
    </row>
    <row r="116" spans="3:29" x14ac:dyDescent="0.2">
      <c r="AA116" s="908"/>
      <c r="AB116" s="1266"/>
      <c r="AC116" s="908"/>
    </row>
    <row r="117" spans="3:29" ht="51" customHeight="1" x14ac:dyDescent="0.2">
      <c r="C117" s="13" t="s">
        <v>3</v>
      </c>
      <c r="D117" s="1083" t="s">
        <v>126</v>
      </c>
      <c r="E117" s="1083" t="s">
        <v>654</v>
      </c>
      <c r="F117" s="1083" t="s">
        <v>653</v>
      </c>
      <c r="G117" s="1083" t="s">
        <v>649</v>
      </c>
      <c r="H117" s="1083" t="s">
        <v>650</v>
      </c>
      <c r="I117" s="1083" t="s">
        <v>152</v>
      </c>
      <c r="J117" s="1083" t="s">
        <v>230</v>
      </c>
      <c r="K117" s="1088" t="s">
        <v>32</v>
      </c>
      <c r="AA117" s="908"/>
      <c r="AB117" s="1266"/>
      <c r="AC117" s="908"/>
    </row>
    <row r="118" spans="3:29" ht="13.5" customHeight="1" x14ac:dyDescent="0.2">
      <c r="C118" s="1089" t="s">
        <v>625</v>
      </c>
      <c r="D118" s="1090">
        <v>13030.583359988324</v>
      </c>
      <c r="E118" s="1086">
        <v>716.1</v>
      </c>
      <c r="F118" s="1091">
        <v>0</v>
      </c>
      <c r="G118" s="1091">
        <v>0</v>
      </c>
      <c r="H118" s="1091">
        <v>-11.5464</v>
      </c>
      <c r="I118" s="1091">
        <v>31</v>
      </c>
      <c r="J118" s="1092">
        <v>14004774.877765555</v>
      </c>
      <c r="K118" s="1093">
        <f>J118</f>
        <v>14004774.877765555</v>
      </c>
      <c r="AA118" s="908"/>
      <c r="AB118" s="1266"/>
      <c r="AC118" s="908"/>
    </row>
    <row r="119" spans="3:29" ht="13.5" customHeight="1" x14ac:dyDescent="0.2">
      <c r="C119" s="1089" t="s">
        <v>626</v>
      </c>
      <c r="D119" s="1090">
        <v>13051.199285288594</v>
      </c>
      <c r="E119" s="1086">
        <v>630.80526315789473</v>
      </c>
      <c r="F119" s="1091">
        <v>0</v>
      </c>
      <c r="G119" s="1091">
        <v>0</v>
      </c>
      <c r="H119" s="1091">
        <v>-11.670999999999999</v>
      </c>
      <c r="I119" s="1091">
        <v>28.2</v>
      </c>
      <c r="J119" s="1092">
        <v>12357816.201197576</v>
      </c>
      <c r="K119" s="1093">
        <f>+J119+K118</f>
        <v>26362591.078963131</v>
      </c>
      <c r="AA119" s="908"/>
      <c r="AB119" s="1266"/>
      <c r="AC119" s="908"/>
    </row>
    <row r="120" spans="3:29" ht="13.5" customHeight="1" x14ac:dyDescent="0.2">
      <c r="C120" s="1089" t="s">
        <v>627</v>
      </c>
      <c r="D120" s="1090">
        <v>13071.847827422987</v>
      </c>
      <c r="E120" s="1086">
        <v>566.09473684210525</v>
      </c>
      <c r="F120" s="1091">
        <v>0.14736842105263157</v>
      </c>
      <c r="G120" s="1091">
        <v>1</v>
      </c>
      <c r="H120" s="1091">
        <v>-11.7956</v>
      </c>
      <c r="I120" s="1091">
        <v>31</v>
      </c>
      <c r="J120" s="1092">
        <v>12334555.633843549</v>
      </c>
      <c r="K120" s="1093">
        <f t="shared" ref="K120:K129" si="10">+J120+K119</f>
        <v>38697146.712806679</v>
      </c>
      <c r="AA120" s="908"/>
      <c r="AB120" s="1266"/>
      <c r="AC120" s="908"/>
    </row>
    <row r="121" spans="3:29" ht="13.5" customHeight="1" x14ac:dyDescent="0.2">
      <c r="C121" s="1089" t="s">
        <v>628</v>
      </c>
      <c r="D121" s="1090">
        <v>13092.529037995197</v>
      </c>
      <c r="E121" s="1086">
        <v>353.21578947368414</v>
      </c>
      <c r="F121" s="1091">
        <v>1.1052631578947369</v>
      </c>
      <c r="G121" s="1091">
        <v>1</v>
      </c>
      <c r="H121" s="1091">
        <v>-11.920199999999999</v>
      </c>
      <c r="I121" s="1091">
        <v>30</v>
      </c>
      <c r="J121" s="1092">
        <v>10787547.811623216</v>
      </c>
      <c r="K121" s="1093">
        <f t="shared" si="10"/>
        <v>49484694.524429895</v>
      </c>
      <c r="AA121" s="908"/>
      <c r="AB121" s="1266"/>
      <c r="AC121" s="908"/>
    </row>
    <row r="122" spans="3:29" ht="13.5" customHeight="1" x14ac:dyDescent="0.2">
      <c r="C122" s="1089" t="s">
        <v>629</v>
      </c>
      <c r="D122" s="1090">
        <v>13113.242968690556</v>
      </c>
      <c r="E122" s="1086">
        <v>185.71052631578945</v>
      </c>
      <c r="F122" s="1091">
        <v>10.584210526315788</v>
      </c>
      <c r="G122" s="1091">
        <v>1</v>
      </c>
      <c r="H122" s="1091">
        <v>-12.0448</v>
      </c>
      <c r="I122" s="1091">
        <v>31</v>
      </c>
      <c r="J122" s="1092">
        <v>10579541.640942913</v>
      </c>
      <c r="K122" s="1093">
        <f t="shared" si="10"/>
        <v>60064236.165372804</v>
      </c>
      <c r="AA122" s="908"/>
      <c r="AB122" s="1266"/>
      <c r="AC122" s="908"/>
    </row>
    <row r="123" spans="3:29" ht="13.5" customHeight="1" x14ac:dyDescent="0.2">
      <c r="C123" s="1089" t="s">
        <v>630</v>
      </c>
      <c r="D123" s="1090">
        <v>13133.989671276177</v>
      </c>
      <c r="E123" s="1086">
        <v>54.10526315789474</v>
      </c>
      <c r="F123" s="1091">
        <v>47.815789473684205</v>
      </c>
      <c r="G123" s="1091">
        <v>0</v>
      </c>
      <c r="H123" s="1091">
        <v>-12.1694</v>
      </c>
      <c r="I123" s="1091">
        <v>30</v>
      </c>
      <c r="J123" s="1092">
        <v>11369185.256444927</v>
      </c>
      <c r="K123" s="1093">
        <f t="shared" si="10"/>
        <v>71433421.421817735</v>
      </c>
      <c r="AA123" s="908"/>
      <c r="AB123" s="1266"/>
      <c r="AC123" s="908"/>
    </row>
    <row r="124" spans="3:29" ht="13.5" customHeight="1" x14ac:dyDescent="0.2">
      <c r="C124" s="1089" t="s">
        <v>631</v>
      </c>
      <c r="D124" s="1090">
        <v>13154.769197601065</v>
      </c>
      <c r="E124" s="1086">
        <v>11.07894736842105</v>
      </c>
      <c r="F124" s="1091">
        <v>94.857894736842113</v>
      </c>
      <c r="G124" s="1091">
        <v>0</v>
      </c>
      <c r="H124" s="1091">
        <v>-12.294</v>
      </c>
      <c r="I124" s="1091">
        <v>31</v>
      </c>
      <c r="J124" s="1092">
        <v>12882852.932880804</v>
      </c>
      <c r="K124" s="1093">
        <f t="shared" si="10"/>
        <v>84316274.354698539</v>
      </c>
      <c r="AA124" s="908"/>
      <c r="AB124" s="1266"/>
      <c r="AC124" s="908"/>
    </row>
    <row r="125" spans="3:29" ht="13.5" customHeight="1" x14ac:dyDescent="0.2">
      <c r="C125" s="1089" t="s">
        <v>632</v>
      </c>
      <c r="D125" s="1090">
        <v>13175.581599596264</v>
      </c>
      <c r="E125" s="1086">
        <v>11.942105263157893</v>
      </c>
      <c r="F125" s="1091">
        <v>76.842105263157904</v>
      </c>
      <c r="G125" s="1091">
        <v>0</v>
      </c>
      <c r="H125" s="1091">
        <v>-12.4186</v>
      </c>
      <c r="I125" s="1091">
        <v>31</v>
      </c>
      <c r="J125" s="1092">
        <v>12403387.334291343</v>
      </c>
      <c r="K125" s="1093">
        <f t="shared" si="10"/>
        <v>96719661.688989878</v>
      </c>
      <c r="AA125" s="908"/>
      <c r="AB125" s="1266"/>
      <c r="AC125" s="908"/>
    </row>
    <row r="126" spans="3:29" ht="13.5" customHeight="1" x14ac:dyDescent="0.2">
      <c r="C126" s="1089" t="s">
        <v>633</v>
      </c>
      <c r="D126" s="1090">
        <v>13196.426929274974</v>
      </c>
      <c r="E126" s="1086">
        <v>70.726315789473688</v>
      </c>
      <c r="F126" s="1091">
        <v>29.826315789473682</v>
      </c>
      <c r="G126" s="1091">
        <v>1</v>
      </c>
      <c r="H126" s="1091">
        <v>-12.543200000000001</v>
      </c>
      <c r="I126" s="1091">
        <v>30</v>
      </c>
      <c r="J126" s="1092">
        <v>10121380.274711709</v>
      </c>
      <c r="K126" s="1093">
        <f t="shared" si="10"/>
        <v>106841041.96370159</v>
      </c>
      <c r="AA126" s="908"/>
      <c r="AB126" s="1266"/>
      <c r="AC126" s="908"/>
    </row>
    <row r="127" spans="3:29" ht="13.5" customHeight="1" x14ac:dyDescent="0.2">
      <c r="C127" s="1089" t="s">
        <v>634</v>
      </c>
      <c r="D127" s="1090">
        <v>13217.30523873269</v>
      </c>
      <c r="E127" s="1086">
        <v>236.98947368421054</v>
      </c>
      <c r="F127" s="1091">
        <v>4.1789473684210519</v>
      </c>
      <c r="G127" s="1091">
        <v>1</v>
      </c>
      <c r="H127" s="1091">
        <v>-12.667799999999998</v>
      </c>
      <c r="I127" s="1091">
        <v>31</v>
      </c>
      <c r="J127" s="1092">
        <v>10760262.261717755</v>
      </c>
      <c r="K127" s="1093">
        <f t="shared" si="10"/>
        <v>117601304.22541934</v>
      </c>
      <c r="AA127" s="908"/>
      <c r="AB127" s="1266"/>
      <c r="AC127" s="908"/>
    </row>
    <row r="128" spans="3:29" ht="13.5" customHeight="1" x14ac:dyDescent="0.2">
      <c r="C128" s="1089" t="s">
        <v>635</v>
      </c>
      <c r="D128" s="1090">
        <v>13238.216580147324</v>
      </c>
      <c r="E128" s="1086">
        <v>395.07368421052632</v>
      </c>
      <c r="F128" s="1091">
        <v>0</v>
      </c>
      <c r="G128" s="1091">
        <v>1</v>
      </c>
      <c r="H128" s="1091">
        <v>-12.792399999999999</v>
      </c>
      <c r="I128" s="1091">
        <v>30</v>
      </c>
      <c r="J128" s="1092">
        <v>11095385.592276946</v>
      </c>
      <c r="K128" s="1093">
        <f t="shared" si="10"/>
        <v>128696689.81769629</v>
      </c>
      <c r="AA128" s="908"/>
      <c r="AB128" s="1266"/>
      <c r="AC128" s="908"/>
    </row>
    <row r="129" spans="3:29" ht="13.5" customHeight="1" x14ac:dyDescent="0.2">
      <c r="C129" s="1089" t="s">
        <v>636</v>
      </c>
      <c r="D129" s="1090">
        <v>13259.161005779342</v>
      </c>
      <c r="E129" s="1086">
        <v>602.45263157894749</v>
      </c>
      <c r="F129" s="1091">
        <v>0</v>
      </c>
      <c r="G129" s="1091">
        <v>0</v>
      </c>
      <c r="H129" s="1091">
        <v>-12.917</v>
      </c>
      <c r="I129" s="1091">
        <v>31</v>
      </c>
      <c r="J129" s="1092">
        <v>13556934.034343425</v>
      </c>
      <c r="K129" s="1093">
        <f t="shared" si="10"/>
        <v>142253623.85203972</v>
      </c>
      <c r="AA129" s="908"/>
      <c r="AB129" s="1266"/>
      <c r="AC129" s="908"/>
    </row>
    <row r="130" spans="3:29" ht="13.5" customHeight="1" x14ac:dyDescent="0.2">
      <c r="C130" s="1089" t="s">
        <v>637</v>
      </c>
      <c r="D130" s="1090">
        <v>13280.098260690213</v>
      </c>
      <c r="E130" s="1091">
        <v>716.1</v>
      </c>
      <c r="F130" s="1091">
        <v>0</v>
      </c>
      <c r="G130" s="1091">
        <v>0</v>
      </c>
      <c r="H130" s="1091">
        <v>-13.041600000000001</v>
      </c>
      <c r="I130" s="1091">
        <v>31</v>
      </c>
      <c r="J130" s="1092">
        <v>14193046.488053558</v>
      </c>
      <c r="K130" s="1093">
        <f>J130</f>
        <v>14193046.488053558</v>
      </c>
      <c r="AA130" s="908"/>
      <c r="AB130" s="1266"/>
      <c r="AC130" s="908"/>
    </row>
    <row r="131" spans="3:29" ht="13.5" customHeight="1" x14ac:dyDescent="0.2">
      <c r="C131" s="1089" t="s">
        <v>638</v>
      </c>
      <c r="D131" s="1090">
        <v>13301.068577168327</v>
      </c>
      <c r="E131" s="1091">
        <v>630.80526315789473</v>
      </c>
      <c r="F131" s="1091">
        <v>0</v>
      </c>
      <c r="G131" s="1091">
        <v>0</v>
      </c>
      <c r="H131" s="1091">
        <v>-13.166199999999998</v>
      </c>
      <c r="I131" s="1091">
        <v>28.2</v>
      </c>
      <c r="J131" s="1092">
        <v>12546810.15726098</v>
      </c>
      <c r="K131" s="1093">
        <f>+J131+K130</f>
        <v>26739856.645314537</v>
      </c>
      <c r="AA131" s="908"/>
      <c r="AB131" s="1266"/>
      <c r="AC131" s="908"/>
    </row>
    <row r="132" spans="3:29" ht="13.5" customHeight="1" x14ac:dyDescent="0.2">
      <c r="C132" s="1089" t="s">
        <v>639</v>
      </c>
      <c r="D132" s="1090">
        <v>13322.072007420495</v>
      </c>
      <c r="E132" s="1091">
        <v>566.09473684210525</v>
      </c>
      <c r="F132" s="1091">
        <v>0.14736842105263157</v>
      </c>
      <c r="G132" s="1091">
        <v>1</v>
      </c>
      <c r="H132" s="1091">
        <v>-13.290799999999999</v>
      </c>
      <c r="I132" s="1091">
        <v>31</v>
      </c>
      <c r="J132" s="1092">
        <v>12524272.948581321</v>
      </c>
      <c r="K132" s="1093">
        <f t="shared" ref="K132:K141" si="11">+J132+K131</f>
        <v>39264129.59389586</v>
      </c>
      <c r="AA132" s="908"/>
      <c r="AB132" s="1266"/>
      <c r="AC132" s="908"/>
    </row>
    <row r="133" spans="3:29" ht="13.5" customHeight="1" x14ac:dyDescent="0.2">
      <c r="C133" s="1089" t="s">
        <v>640</v>
      </c>
      <c r="D133" s="1090">
        <v>13343.108603735958</v>
      </c>
      <c r="E133" s="1091">
        <v>353.21578947368414</v>
      </c>
      <c r="F133" s="1091">
        <v>1.1052631578947369</v>
      </c>
      <c r="G133" s="1091">
        <v>1</v>
      </c>
      <c r="H133" s="1091">
        <v>-13.4154</v>
      </c>
      <c r="I133" s="1091">
        <v>30</v>
      </c>
      <c r="J133" s="1092">
        <v>10977989.499331672</v>
      </c>
      <c r="K133" s="1093">
        <f t="shared" si="11"/>
        <v>50242119.093227535</v>
      </c>
      <c r="AA133" s="908"/>
      <c r="AB133" s="1266"/>
      <c r="AC133" s="908"/>
    </row>
    <row r="134" spans="3:29" ht="13.5" customHeight="1" x14ac:dyDescent="0.2">
      <c r="C134" s="1089" t="s">
        <v>641</v>
      </c>
      <c r="D134" s="1090">
        <v>13364.178418486536</v>
      </c>
      <c r="E134" s="1091">
        <v>185.71052631578945</v>
      </c>
      <c r="F134" s="1091">
        <v>10.584210526315788</v>
      </c>
      <c r="G134" s="1091">
        <v>1</v>
      </c>
      <c r="H134" s="1091">
        <v>-13.540000000000001</v>
      </c>
      <c r="I134" s="1091">
        <v>31</v>
      </c>
      <c r="J134" s="1092">
        <v>10770708.717317596</v>
      </c>
      <c r="K134" s="1093">
        <f t="shared" si="11"/>
        <v>61012827.810545132</v>
      </c>
      <c r="AA134" s="908"/>
      <c r="AB134" s="1266"/>
      <c r="AC134" s="908"/>
    </row>
    <row r="135" spans="3:29" ht="13.5" customHeight="1" x14ac:dyDescent="0.2">
      <c r="C135" s="1089" t="s">
        <v>642</v>
      </c>
      <c r="D135" s="1090">
        <v>13385.281504126739</v>
      </c>
      <c r="E135" s="1091">
        <v>54.10526315789474</v>
      </c>
      <c r="F135" s="1091">
        <v>47.815789473684205</v>
      </c>
      <c r="G135" s="1091">
        <v>0</v>
      </c>
      <c r="H135" s="1091">
        <v>-13.664599999999998</v>
      </c>
      <c r="I135" s="1091">
        <v>30</v>
      </c>
      <c r="J135" s="1092">
        <v>11561078.738582496</v>
      </c>
      <c r="K135" s="1093">
        <f t="shared" si="11"/>
        <v>72573906.549127623</v>
      </c>
      <c r="AA135" s="908"/>
      <c r="AB135" s="1266"/>
      <c r="AC135" s="908"/>
    </row>
    <row r="136" spans="3:29" ht="13.5" customHeight="1" x14ac:dyDescent="0.2">
      <c r="C136" s="1089" t="s">
        <v>643</v>
      </c>
      <c r="D136" s="1090">
        <v>13406.417913193911</v>
      </c>
      <c r="E136" s="1091">
        <v>11.07894736842105</v>
      </c>
      <c r="F136" s="1091">
        <v>94.857894736842113</v>
      </c>
      <c r="G136" s="1091">
        <v>0</v>
      </c>
      <c r="H136" s="1091">
        <v>-13.789199999999999</v>
      </c>
      <c r="I136" s="1091">
        <v>31</v>
      </c>
      <c r="J136" s="1092">
        <v>13075473.839280933</v>
      </c>
      <c r="K136" s="1093">
        <f t="shared" si="11"/>
        <v>85649380.388408557</v>
      </c>
      <c r="AA136" s="908"/>
      <c r="AB136" s="1266"/>
      <c r="AC136" s="908"/>
    </row>
    <row r="137" spans="3:29" ht="13.5" customHeight="1" x14ac:dyDescent="0.2">
      <c r="C137" s="1089" t="s">
        <v>644</v>
      </c>
      <c r="D137" s="1090">
        <v>13427.587698308356</v>
      </c>
      <c r="E137" s="1091">
        <v>11.942105263157893</v>
      </c>
      <c r="F137" s="1091">
        <v>76.842105263157904</v>
      </c>
      <c r="G137" s="1091">
        <v>0</v>
      </c>
      <c r="H137" s="1091">
        <v>-13.9138</v>
      </c>
      <c r="I137" s="1091">
        <v>31</v>
      </c>
      <c r="J137" s="1092">
        <v>12596736.684858611</v>
      </c>
      <c r="K137" s="1093">
        <f t="shared" si="11"/>
        <v>98246117.073267162</v>
      </c>
      <c r="AA137" s="908"/>
      <c r="AB137" s="1266"/>
      <c r="AC137" s="908"/>
    </row>
    <row r="138" spans="3:29" ht="13.5" customHeight="1" x14ac:dyDescent="0.2">
      <c r="C138" s="1089" t="s">
        <v>645</v>
      </c>
      <c r="D138" s="1090">
        <v>13448.790912173472</v>
      </c>
      <c r="E138" s="1091">
        <v>70.726315789473688</v>
      </c>
      <c r="F138" s="1091">
        <v>29.826315789473682</v>
      </c>
      <c r="G138" s="1091">
        <v>1</v>
      </c>
      <c r="H138" s="1091">
        <v>-14.038400000000001</v>
      </c>
      <c r="I138" s="1091">
        <v>30</v>
      </c>
      <c r="J138" s="1092">
        <v>10315459.090757508</v>
      </c>
      <c r="K138" s="1093">
        <f t="shared" si="11"/>
        <v>108561576.16402467</v>
      </c>
      <c r="AA138" s="908"/>
      <c r="AB138" s="1266"/>
      <c r="AC138" s="908"/>
    </row>
    <row r="139" spans="3:29" ht="13.5" customHeight="1" x14ac:dyDescent="0.2">
      <c r="C139" s="1089" t="s">
        <v>646</v>
      </c>
      <c r="D139" s="1090">
        <v>13470.027607575876</v>
      </c>
      <c r="E139" s="1091">
        <v>236.98947368421054</v>
      </c>
      <c r="F139" s="1091">
        <v>4.1789473684210519</v>
      </c>
      <c r="G139" s="1091">
        <v>1</v>
      </c>
      <c r="H139" s="1091">
        <v>-14.162999999999998</v>
      </c>
      <c r="I139" s="1091">
        <v>31</v>
      </c>
      <c r="J139" s="1092">
        <v>10955071.565962169</v>
      </c>
      <c r="K139" s="1093">
        <f t="shared" si="11"/>
        <v>119516647.72998683</v>
      </c>
      <c r="AA139" s="908"/>
      <c r="AB139" s="1266"/>
      <c r="AC139" s="908"/>
    </row>
    <row r="140" spans="3:29" ht="13.5" customHeight="1" x14ac:dyDescent="0.2">
      <c r="C140" s="1089" t="s">
        <v>647</v>
      </c>
      <c r="D140" s="1090">
        <v>13491.29783738554</v>
      </c>
      <c r="E140" s="1091">
        <v>395.07368421052632</v>
      </c>
      <c r="F140" s="1091">
        <v>0</v>
      </c>
      <c r="G140" s="1091">
        <v>1</v>
      </c>
      <c r="H140" s="1091">
        <v>-14.287599999999999</v>
      </c>
      <c r="I140" s="1091">
        <v>30</v>
      </c>
      <c r="J140" s="1092">
        <v>11290926.408850664</v>
      </c>
      <c r="K140" s="1093">
        <f t="shared" si="11"/>
        <v>130807574.1388375</v>
      </c>
      <c r="AA140" s="908"/>
      <c r="AB140" s="1266"/>
      <c r="AC140" s="908"/>
    </row>
    <row r="141" spans="3:29" ht="13.5" customHeight="1" x14ac:dyDescent="0.2">
      <c r="C141" s="1089" t="s">
        <v>648</v>
      </c>
      <c r="D141" s="1090">
        <v>13512.601654555925</v>
      </c>
      <c r="E141" s="1091">
        <v>602.45263157894749</v>
      </c>
      <c r="F141" s="1091">
        <v>0</v>
      </c>
      <c r="G141" s="1091">
        <v>0</v>
      </c>
      <c r="H141" s="1091">
        <v>-14.4122</v>
      </c>
      <c r="I141" s="1091">
        <v>31</v>
      </c>
      <c r="J141" s="1092">
        <v>13753207.388789654</v>
      </c>
      <c r="K141" s="1093">
        <f t="shared" si="11"/>
        <v>144560781.52762717</v>
      </c>
      <c r="AA141" s="908"/>
      <c r="AB141" s="1266"/>
      <c r="AC141" s="908"/>
    </row>
    <row r="142" spans="3:29" x14ac:dyDescent="0.2">
      <c r="AA142" s="908"/>
      <c r="AB142" s="1266"/>
      <c r="AC142" s="908"/>
    </row>
    <row r="143" spans="3:29" x14ac:dyDescent="0.2">
      <c r="AA143" s="908"/>
      <c r="AB143" s="1266"/>
      <c r="AC143" s="908"/>
    </row>
    <row r="144" spans="3:29" ht="51" x14ac:dyDescent="0.2">
      <c r="C144" s="13" t="s">
        <v>3</v>
      </c>
      <c r="D144" s="1083" t="s">
        <v>126</v>
      </c>
      <c r="E144" s="1083" t="s">
        <v>651</v>
      </c>
      <c r="F144" s="1083" t="s">
        <v>652</v>
      </c>
      <c r="G144" s="1083" t="s">
        <v>649</v>
      </c>
      <c r="H144" s="1083" t="s">
        <v>650</v>
      </c>
      <c r="I144" s="1083" t="s">
        <v>152</v>
      </c>
      <c r="J144" s="1083" t="s">
        <v>230</v>
      </c>
      <c r="K144" s="1088" t="s">
        <v>32</v>
      </c>
      <c r="AA144" s="908"/>
      <c r="AB144" s="1266"/>
      <c r="AC144" s="908"/>
    </row>
    <row r="145" spans="3:29" x14ac:dyDescent="0.2">
      <c r="C145" s="1089" t="s">
        <v>625</v>
      </c>
      <c r="D145" s="1090">
        <v>13030.583359988324</v>
      </c>
      <c r="E145" s="1091">
        <v>706.35</v>
      </c>
      <c r="F145" s="1091">
        <v>0</v>
      </c>
      <c r="G145" s="1091">
        <v>0</v>
      </c>
      <c r="H145" s="1091">
        <v>-11.5464</v>
      </c>
      <c r="I145" s="1091">
        <v>31</v>
      </c>
      <c r="J145" s="1092">
        <v>13951572.967300169</v>
      </c>
      <c r="K145" s="1093">
        <f>J145</f>
        <v>13951572.967300169</v>
      </c>
      <c r="AA145" s="908"/>
      <c r="AB145" s="1266"/>
      <c r="AC145" s="908"/>
    </row>
    <row r="146" spans="3:29" x14ac:dyDescent="0.2">
      <c r="C146" s="1089" t="s">
        <v>626</v>
      </c>
      <c r="D146" s="1090">
        <v>13051.199285288594</v>
      </c>
      <c r="E146" s="1091">
        <v>650.66000000000008</v>
      </c>
      <c r="F146" s="1091">
        <v>0</v>
      </c>
      <c r="G146" s="1091">
        <v>0</v>
      </c>
      <c r="H146" s="1091">
        <v>-11.670999999999999</v>
      </c>
      <c r="I146" s="1091">
        <v>28.2</v>
      </c>
      <c r="J146" s="1092">
        <v>12466155.681380907</v>
      </c>
      <c r="K146" s="1093">
        <f>+J146+K145</f>
        <v>26417728.648681074</v>
      </c>
      <c r="AA146" s="908"/>
      <c r="AB146" s="1266"/>
      <c r="AC146" s="908"/>
    </row>
    <row r="147" spans="3:29" x14ac:dyDescent="0.2">
      <c r="C147" s="1089" t="s">
        <v>627</v>
      </c>
      <c r="D147" s="1090">
        <v>13071.847827422987</v>
      </c>
      <c r="E147" s="1091">
        <v>571.87</v>
      </c>
      <c r="F147" s="1091">
        <v>0.27999999999999997</v>
      </c>
      <c r="G147" s="1091">
        <v>1</v>
      </c>
      <c r="H147" s="1091">
        <v>-11.7956</v>
      </c>
      <c r="I147" s="1091">
        <v>31</v>
      </c>
      <c r="J147" s="1092">
        <v>12369749.249468818</v>
      </c>
      <c r="K147" s="1093">
        <f t="shared" ref="K147:K156" si="12">+J147+K146</f>
        <v>38787477.898149893</v>
      </c>
      <c r="AA147" s="908"/>
      <c r="AB147" s="1266"/>
      <c r="AC147" s="908"/>
    </row>
    <row r="148" spans="3:29" x14ac:dyDescent="0.2">
      <c r="C148" s="1089" t="s">
        <v>628</v>
      </c>
      <c r="D148" s="1090">
        <v>13092.529037995197</v>
      </c>
      <c r="E148" s="1091">
        <v>345.26999999999992</v>
      </c>
      <c r="F148" s="1091">
        <v>0.55000000000000004</v>
      </c>
      <c r="G148" s="1091">
        <v>1</v>
      </c>
      <c r="H148" s="1091">
        <v>-11.920199999999999</v>
      </c>
      <c r="I148" s="1091">
        <v>30</v>
      </c>
      <c r="J148" s="1092">
        <v>10728783.250839695</v>
      </c>
      <c r="K148" s="1093">
        <f t="shared" si="12"/>
        <v>49516261.148989588</v>
      </c>
      <c r="AA148" s="908"/>
      <c r="AB148" s="1266"/>
      <c r="AC148" s="908"/>
    </row>
    <row r="149" spans="3:29" x14ac:dyDescent="0.2">
      <c r="C149" s="1089" t="s">
        <v>629</v>
      </c>
      <c r="D149" s="1090">
        <v>13113.242968690556</v>
      </c>
      <c r="E149" s="1091">
        <v>183.77</v>
      </c>
      <c r="F149" s="1091">
        <v>11.68</v>
      </c>
      <c r="G149" s="1091">
        <v>1</v>
      </c>
      <c r="H149" s="1091">
        <v>-12.0448</v>
      </c>
      <c r="I149" s="1091">
        <v>31</v>
      </c>
      <c r="J149" s="1092">
        <v>10599359.066470239</v>
      </c>
      <c r="K149" s="1093">
        <f t="shared" si="12"/>
        <v>60115620.215459824</v>
      </c>
      <c r="AA149" s="908"/>
      <c r="AB149" s="1266"/>
      <c r="AC149" s="908"/>
    </row>
    <row r="150" spans="3:29" x14ac:dyDescent="0.2">
      <c r="C150" s="1089" t="s">
        <v>630</v>
      </c>
      <c r="D150" s="1090">
        <v>13133.989671276177</v>
      </c>
      <c r="E150" s="1091">
        <v>52.5</v>
      </c>
      <c r="F150" s="1091">
        <v>47.65</v>
      </c>
      <c r="G150" s="1091">
        <v>0</v>
      </c>
      <c r="H150" s="1091">
        <v>-12.1694</v>
      </c>
      <c r="I150" s="1091">
        <v>30</v>
      </c>
      <c r="J150" s="1092">
        <v>11355825.618964698</v>
      </c>
      <c r="K150" s="1093">
        <f t="shared" si="12"/>
        <v>71471445.834424525</v>
      </c>
      <c r="AA150" s="908"/>
      <c r="AB150" s="1266"/>
      <c r="AC150" s="908"/>
    </row>
    <row r="151" spans="3:29" x14ac:dyDescent="0.2">
      <c r="C151" s="1089" t="s">
        <v>631</v>
      </c>
      <c r="D151" s="1090">
        <v>13154.769197601065</v>
      </c>
      <c r="E151" s="1091">
        <v>9.31</v>
      </c>
      <c r="F151" s="1091">
        <v>100.14</v>
      </c>
      <c r="G151" s="1091">
        <v>0</v>
      </c>
      <c r="H151" s="1091">
        <v>-12.294</v>
      </c>
      <c r="I151" s="1091">
        <v>31</v>
      </c>
      <c r="J151" s="1092">
        <v>13019769.049813515</v>
      </c>
      <c r="K151" s="1093">
        <f t="shared" si="12"/>
        <v>84491214.884238034</v>
      </c>
      <c r="AA151" s="908"/>
      <c r="AB151" s="1266"/>
      <c r="AC151" s="908"/>
    </row>
    <row r="152" spans="3:29" x14ac:dyDescent="0.2">
      <c r="C152" s="1089" t="s">
        <v>632</v>
      </c>
      <c r="D152" s="1090">
        <v>13175.581599596264</v>
      </c>
      <c r="E152" s="1091">
        <v>12.379999999999999</v>
      </c>
      <c r="F152" s="1091">
        <v>80.009999999999991</v>
      </c>
      <c r="G152" s="1091">
        <v>0</v>
      </c>
      <c r="H152" s="1091">
        <v>-12.4186</v>
      </c>
      <c r="I152" s="1091">
        <v>31</v>
      </c>
      <c r="J152" s="1092">
        <v>12493679.921965016</v>
      </c>
      <c r="K152" s="1093">
        <f t="shared" si="12"/>
        <v>96984894.806203052</v>
      </c>
      <c r="AA152" s="908"/>
      <c r="AB152" s="1266"/>
      <c r="AC152" s="908"/>
    </row>
    <row r="153" spans="3:29" x14ac:dyDescent="0.2">
      <c r="C153" s="1089" t="s">
        <v>633</v>
      </c>
      <c r="D153" s="1090">
        <v>13196.426929274974</v>
      </c>
      <c r="E153" s="1091">
        <v>77.28</v>
      </c>
      <c r="F153" s="1091">
        <v>25.779999999999994</v>
      </c>
      <c r="G153" s="1091">
        <v>1</v>
      </c>
      <c r="H153" s="1091">
        <v>-12.543200000000001</v>
      </c>
      <c r="I153" s="1091">
        <v>30</v>
      </c>
      <c r="J153" s="1092">
        <v>10044863.434759879</v>
      </c>
      <c r="K153" s="1093">
        <f t="shared" si="12"/>
        <v>107029758.24096294</v>
      </c>
      <c r="AA153" s="908"/>
      <c r="AB153" s="1266"/>
      <c r="AC153" s="908"/>
    </row>
    <row r="154" spans="3:29" x14ac:dyDescent="0.2">
      <c r="C154" s="1089" t="s">
        <v>634</v>
      </c>
      <c r="D154" s="1090">
        <v>13217.30523873269</v>
      </c>
      <c r="E154" s="1091">
        <v>233.95000000000005</v>
      </c>
      <c r="F154" s="1091">
        <v>5.07</v>
      </c>
      <c r="G154" s="1091">
        <v>1</v>
      </c>
      <c r="H154" s="1091">
        <v>-12.667799999999998</v>
      </c>
      <c r="I154" s="1091">
        <v>31</v>
      </c>
      <c r="J154" s="1092">
        <v>10768402.098832924</v>
      </c>
      <c r="K154" s="1093">
        <f t="shared" si="12"/>
        <v>117798160.33979586</v>
      </c>
      <c r="AA154" s="908"/>
      <c r="AB154" s="1266"/>
      <c r="AC154" s="908"/>
    </row>
    <row r="155" spans="3:29" x14ac:dyDescent="0.2">
      <c r="C155" s="1089" t="s">
        <v>635</v>
      </c>
      <c r="D155" s="1090">
        <v>13238.216580147324</v>
      </c>
      <c r="E155" s="1091">
        <v>415.16999999999996</v>
      </c>
      <c r="F155" s="1091">
        <v>0</v>
      </c>
      <c r="G155" s="1091">
        <v>1</v>
      </c>
      <c r="H155" s="1091">
        <v>-12.792399999999999</v>
      </c>
      <c r="I155" s="1091">
        <v>30</v>
      </c>
      <c r="J155" s="1092">
        <v>11205043.273642655</v>
      </c>
      <c r="K155" s="1093">
        <f t="shared" si="12"/>
        <v>129003203.61343852</v>
      </c>
      <c r="AA155" s="908"/>
      <c r="AB155" s="1266"/>
      <c r="AC155" s="908"/>
    </row>
    <row r="156" spans="3:29" x14ac:dyDescent="0.2">
      <c r="C156" s="1089" t="s">
        <v>636</v>
      </c>
      <c r="D156" s="1090">
        <v>13259.161005779342</v>
      </c>
      <c r="E156" s="1091">
        <v>610.69000000000005</v>
      </c>
      <c r="F156" s="1091">
        <v>0</v>
      </c>
      <c r="G156" s="1091">
        <v>0</v>
      </c>
      <c r="H156" s="1091">
        <v>-12.917</v>
      </c>
      <c r="I156" s="1091">
        <v>31</v>
      </c>
      <c r="J156" s="1092">
        <v>13601882.109954422</v>
      </c>
      <c r="K156" s="1093">
        <f t="shared" si="12"/>
        <v>142605085.72339293</v>
      </c>
      <c r="AA156" s="908"/>
      <c r="AB156" s="1266"/>
      <c r="AC156" s="908"/>
    </row>
    <row r="157" spans="3:29" x14ac:dyDescent="0.2">
      <c r="C157" s="1089" t="s">
        <v>637</v>
      </c>
      <c r="D157" s="1090">
        <v>13280.098260690213</v>
      </c>
      <c r="E157" s="1091">
        <v>706.35</v>
      </c>
      <c r="F157" s="1091">
        <v>0</v>
      </c>
      <c r="G157" s="1091">
        <v>0</v>
      </c>
      <c r="H157" s="1091">
        <v>-13.041600000000001</v>
      </c>
      <c r="I157" s="1091">
        <v>31</v>
      </c>
      <c r="J157" s="1092">
        <v>14139844.577588174</v>
      </c>
      <c r="K157" s="1093">
        <f>J157</f>
        <v>14139844.577588174</v>
      </c>
      <c r="AA157" s="908"/>
      <c r="AB157" s="1266"/>
      <c r="AC157" s="908"/>
    </row>
    <row r="158" spans="3:29" x14ac:dyDescent="0.2">
      <c r="C158" s="1089" t="s">
        <v>638</v>
      </c>
      <c r="D158" s="1090">
        <v>13301.068577168327</v>
      </c>
      <c r="E158" s="1091">
        <v>650.66000000000008</v>
      </c>
      <c r="F158" s="1091">
        <v>0</v>
      </c>
      <c r="G158" s="1091">
        <v>0</v>
      </c>
      <c r="H158" s="1091">
        <v>-13.166199999999998</v>
      </c>
      <c r="I158" s="1091">
        <v>28.2</v>
      </c>
      <c r="J158" s="1092">
        <v>12655149.637444312</v>
      </c>
      <c r="K158" s="1093">
        <f>+J158+K157</f>
        <v>26794994.215032488</v>
      </c>
      <c r="AA158" s="908"/>
      <c r="AB158" s="1266"/>
      <c r="AC158" s="908"/>
    </row>
    <row r="159" spans="3:29" x14ac:dyDescent="0.2">
      <c r="C159" s="1089" t="s">
        <v>639</v>
      </c>
      <c r="D159" s="1090">
        <v>13322.072007420495</v>
      </c>
      <c r="E159" s="1091">
        <v>571.87</v>
      </c>
      <c r="F159" s="1091">
        <v>0.27999999999999997</v>
      </c>
      <c r="G159" s="1091">
        <v>1</v>
      </c>
      <c r="H159" s="1091">
        <v>-13.290799999999999</v>
      </c>
      <c r="I159" s="1091">
        <v>31</v>
      </c>
      <c r="J159" s="1092">
        <v>12559466.564206591</v>
      </c>
      <c r="K159" s="1093">
        <f t="shared" ref="K159:K168" si="13">+J159+K158</f>
        <v>39354460.779239081</v>
      </c>
      <c r="AA159" s="908"/>
      <c r="AB159" s="1266"/>
      <c r="AC159" s="908"/>
    </row>
    <row r="160" spans="3:29" x14ac:dyDescent="0.2">
      <c r="C160" s="1089" t="s">
        <v>640</v>
      </c>
      <c r="D160" s="1090">
        <v>13343.108603735958</v>
      </c>
      <c r="E160" s="1091">
        <v>345.26999999999992</v>
      </c>
      <c r="F160" s="1091">
        <v>0.55000000000000004</v>
      </c>
      <c r="G160" s="1091">
        <v>1</v>
      </c>
      <c r="H160" s="1091">
        <v>-13.4154</v>
      </c>
      <c r="I160" s="1091">
        <v>30</v>
      </c>
      <c r="J160" s="1092">
        <v>10919224.938548151</v>
      </c>
      <c r="K160" s="1093">
        <f t="shared" si="13"/>
        <v>50273685.717787236</v>
      </c>
      <c r="AA160" s="908"/>
      <c r="AB160" s="1266"/>
      <c r="AC160" s="908"/>
    </row>
    <row r="161" spans="3:29" x14ac:dyDescent="0.2">
      <c r="C161" s="1089" t="s">
        <v>641</v>
      </c>
      <c r="D161" s="1090">
        <v>13364.178418486536</v>
      </c>
      <c r="E161" s="1091">
        <v>183.77</v>
      </c>
      <c r="F161" s="1091">
        <v>11.68</v>
      </c>
      <c r="G161" s="1091">
        <v>1</v>
      </c>
      <c r="H161" s="1091">
        <v>-13.540000000000001</v>
      </c>
      <c r="I161" s="1091">
        <v>31</v>
      </c>
      <c r="J161" s="1092">
        <v>10790526.142844923</v>
      </c>
      <c r="K161" s="1093">
        <f t="shared" si="13"/>
        <v>61064211.860632159</v>
      </c>
      <c r="AA161" s="908"/>
      <c r="AB161" s="1266"/>
      <c r="AC161" s="908"/>
    </row>
    <row r="162" spans="3:29" x14ac:dyDescent="0.2">
      <c r="C162" s="1089" t="s">
        <v>642</v>
      </c>
      <c r="D162" s="1090">
        <v>13385.281504126739</v>
      </c>
      <c r="E162" s="1091">
        <v>52.5</v>
      </c>
      <c r="F162" s="1091">
        <v>47.65</v>
      </c>
      <c r="G162" s="1091">
        <v>0</v>
      </c>
      <c r="H162" s="1091">
        <v>-13.664599999999998</v>
      </c>
      <c r="I162" s="1091">
        <v>30</v>
      </c>
      <c r="J162" s="1092">
        <v>11547719.101102266</v>
      </c>
      <c r="K162" s="1093">
        <f t="shared" si="13"/>
        <v>72611930.961734429</v>
      </c>
      <c r="AA162" s="908"/>
      <c r="AB162" s="1266"/>
      <c r="AC162" s="908"/>
    </row>
    <row r="163" spans="3:29" x14ac:dyDescent="0.2">
      <c r="C163" s="1089" t="s">
        <v>643</v>
      </c>
      <c r="D163" s="1090">
        <v>13406.417913193911</v>
      </c>
      <c r="E163" s="1091">
        <v>9.31</v>
      </c>
      <c r="F163" s="1091">
        <v>100.14</v>
      </c>
      <c r="G163" s="1091">
        <v>0</v>
      </c>
      <c r="H163" s="1091">
        <v>-13.789199999999999</v>
      </c>
      <c r="I163" s="1091">
        <v>31</v>
      </c>
      <c r="J163" s="1092">
        <v>13212389.956213644</v>
      </c>
      <c r="K163" s="1093">
        <f t="shared" si="13"/>
        <v>85824320.917948067</v>
      </c>
      <c r="AA163" s="908"/>
      <c r="AB163" s="1266"/>
      <c r="AC163" s="908"/>
    </row>
    <row r="164" spans="3:29" x14ac:dyDescent="0.2">
      <c r="C164" s="1089" t="s">
        <v>644</v>
      </c>
      <c r="D164" s="1090">
        <v>13427.587698308356</v>
      </c>
      <c r="E164" s="1091">
        <v>12.379999999999999</v>
      </c>
      <c r="F164" s="1091">
        <v>80.009999999999991</v>
      </c>
      <c r="G164" s="1091">
        <v>0</v>
      </c>
      <c r="H164" s="1091">
        <v>-13.9138</v>
      </c>
      <c r="I164" s="1091">
        <v>31</v>
      </c>
      <c r="J164" s="1092">
        <v>12687029.272532286</v>
      </c>
      <c r="K164" s="1093">
        <f t="shared" si="13"/>
        <v>98511350.190480351</v>
      </c>
      <c r="AA164" s="908"/>
      <c r="AB164" s="1266"/>
      <c r="AC164" s="908"/>
    </row>
    <row r="165" spans="3:29" x14ac:dyDescent="0.2">
      <c r="C165" s="1089" t="s">
        <v>645</v>
      </c>
      <c r="D165" s="1090">
        <v>13448.790912173472</v>
      </c>
      <c r="E165" s="1091">
        <v>77.28</v>
      </c>
      <c r="F165" s="1091">
        <v>25.779999999999994</v>
      </c>
      <c r="G165" s="1091">
        <v>1</v>
      </c>
      <c r="H165" s="1091">
        <v>-14.038400000000001</v>
      </c>
      <c r="I165" s="1091">
        <v>30</v>
      </c>
      <c r="J165" s="1092">
        <v>10238942.250805678</v>
      </c>
      <c r="K165" s="1093">
        <f t="shared" si="13"/>
        <v>108750292.44128603</v>
      </c>
      <c r="AA165" s="908"/>
      <c r="AB165" s="1266"/>
      <c r="AC165" s="908"/>
    </row>
    <row r="166" spans="3:29" x14ac:dyDescent="0.2">
      <c r="C166" s="1089" t="s">
        <v>646</v>
      </c>
      <c r="D166" s="1090">
        <v>13470.027607575876</v>
      </c>
      <c r="E166" s="1091">
        <v>233.95000000000005</v>
      </c>
      <c r="F166" s="1091">
        <v>5.07</v>
      </c>
      <c r="G166" s="1091">
        <v>1</v>
      </c>
      <c r="H166" s="1091">
        <v>-14.162999999999998</v>
      </c>
      <c r="I166" s="1091">
        <v>31</v>
      </c>
      <c r="J166" s="1092">
        <v>10963211.403077338</v>
      </c>
      <c r="K166" s="1093">
        <f t="shared" si="13"/>
        <v>119713503.84436336</v>
      </c>
      <c r="AA166" s="908"/>
      <c r="AB166" s="1266"/>
      <c r="AC166" s="908"/>
    </row>
    <row r="167" spans="3:29" x14ac:dyDescent="0.2">
      <c r="C167" s="1089" t="s">
        <v>647</v>
      </c>
      <c r="D167" s="1090">
        <v>13491.29783738554</v>
      </c>
      <c r="E167" s="1091">
        <v>415.16999999999996</v>
      </c>
      <c r="F167" s="1091">
        <v>0</v>
      </c>
      <c r="G167" s="1091">
        <v>1</v>
      </c>
      <c r="H167" s="1091">
        <v>-14.287599999999999</v>
      </c>
      <c r="I167" s="1091">
        <v>30</v>
      </c>
      <c r="J167" s="1092">
        <v>11400584.090216376</v>
      </c>
      <c r="K167" s="1093">
        <f t="shared" si="13"/>
        <v>131114087.93457973</v>
      </c>
      <c r="AA167" s="908"/>
      <c r="AB167" s="1266"/>
      <c r="AC167" s="908"/>
    </row>
    <row r="168" spans="3:29" x14ac:dyDescent="0.2">
      <c r="C168" s="1089" t="s">
        <v>648</v>
      </c>
      <c r="D168" s="1090">
        <v>13512.601654555925</v>
      </c>
      <c r="E168" s="1091">
        <v>610.69000000000005</v>
      </c>
      <c r="F168" s="1091">
        <v>0</v>
      </c>
      <c r="G168" s="1091">
        <v>0</v>
      </c>
      <c r="H168" s="1091">
        <v>-14.4122</v>
      </c>
      <c r="I168" s="1091">
        <v>31</v>
      </c>
      <c r="J168" s="1092">
        <v>13798155.464400651</v>
      </c>
      <c r="K168" s="1093">
        <f t="shared" si="13"/>
        <v>144912243.39898038</v>
      </c>
      <c r="AA168" s="908"/>
      <c r="AB168" s="1266"/>
      <c r="AC168" s="908"/>
    </row>
    <row r="169" spans="3:29" x14ac:dyDescent="0.2">
      <c r="AA169" s="908"/>
      <c r="AB169" s="1266"/>
      <c r="AC169" s="908"/>
    </row>
    <row r="170" spans="3:29" x14ac:dyDescent="0.2">
      <c r="AA170" s="908"/>
      <c r="AB170" s="1266"/>
      <c r="AC170" s="908"/>
    </row>
    <row r="171" spans="3:29" x14ac:dyDescent="0.2">
      <c r="AA171" s="908"/>
      <c r="AB171" s="1266"/>
      <c r="AC171" s="908"/>
    </row>
    <row r="172" spans="3:29" x14ac:dyDescent="0.2">
      <c r="AA172" s="908"/>
      <c r="AB172" s="1266"/>
      <c r="AC172" s="908"/>
    </row>
    <row r="173" spans="3:29" x14ac:dyDescent="0.2">
      <c r="AA173" s="908"/>
      <c r="AB173" s="1266"/>
      <c r="AC173" s="908"/>
    </row>
    <row r="174" spans="3:29" x14ac:dyDescent="0.2">
      <c r="AA174" s="908"/>
      <c r="AB174" s="1266"/>
      <c r="AC174" s="908"/>
    </row>
    <row r="175" spans="3:29" x14ac:dyDescent="0.2">
      <c r="C175" s="1466" t="s">
        <v>6</v>
      </c>
      <c r="D175" s="1466"/>
      <c r="E175" s="1466"/>
      <c r="F175" s="1466"/>
      <c r="G175" s="1466"/>
      <c r="H175" s="1466"/>
      <c r="I175" s="1466"/>
      <c r="J175" s="139"/>
      <c r="R175" s="139"/>
      <c r="AA175" s="908"/>
      <c r="AB175" s="1266"/>
      <c r="AC175" s="908"/>
    </row>
    <row r="176" spans="3:29" ht="38.25" x14ac:dyDescent="0.2">
      <c r="C176" s="1157" t="s">
        <v>33</v>
      </c>
      <c r="D176" s="1247" t="s">
        <v>657</v>
      </c>
      <c r="E176" s="1248" t="s">
        <v>146</v>
      </c>
      <c r="F176" s="1248" t="s">
        <v>248</v>
      </c>
      <c r="G176" s="1249" t="s">
        <v>147</v>
      </c>
      <c r="H176" s="1157" t="s">
        <v>249</v>
      </c>
      <c r="I176" s="92" t="s">
        <v>38</v>
      </c>
      <c r="J176" s="140"/>
      <c r="R176" s="140"/>
      <c r="AA176" s="908"/>
      <c r="AB176" s="1266"/>
      <c r="AC176" s="908"/>
    </row>
    <row r="177" spans="3:29" x14ac:dyDescent="0.2">
      <c r="C177" s="1245">
        <v>2005</v>
      </c>
      <c r="D177" s="220">
        <v>74670218.300000012</v>
      </c>
      <c r="E177" s="220">
        <v>116383501</v>
      </c>
      <c r="F177" s="220">
        <v>115889998.29745679</v>
      </c>
      <c r="G177" s="68">
        <v>0.64158766198311912</v>
      </c>
      <c r="H177" s="220">
        <v>74353593.054892957</v>
      </c>
      <c r="I177" s="220">
        <v>7876.4399422556098</v>
      </c>
      <c r="J177" s="77"/>
      <c r="R177" s="77"/>
      <c r="AA177" s="908"/>
      <c r="AB177" s="1266"/>
      <c r="AC177" s="908"/>
    </row>
    <row r="178" spans="3:29" x14ac:dyDescent="0.2">
      <c r="C178" s="1245">
        <v>2006</v>
      </c>
      <c r="D178" s="220">
        <v>73494501.180000007</v>
      </c>
      <c r="E178" s="220">
        <v>115191936.86133909</v>
      </c>
      <c r="F178" s="220">
        <v>116451493.90984155</v>
      </c>
      <c r="G178" s="68">
        <v>0.63801775699342678</v>
      </c>
      <c r="H178" s="220">
        <v>74298120.942890808</v>
      </c>
      <c r="I178" s="220">
        <v>7537.2174428496892</v>
      </c>
      <c r="J178" s="77"/>
      <c r="R178" s="77"/>
      <c r="AA178" s="908"/>
      <c r="AB178" s="1266"/>
      <c r="AC178" s="908"/>
    </row>
    <row r="179" spans="3:29" x14ac:dyDescent="0.2">
      <c r="C179" s="1245">
        <v>2007</v>
      </c>
      <c r="D179" s="220">
        <v>74223886.610000014</v>
      </c>
      <c r="E179" s="220">
        <v>125635745.20078859</v>
      </c>
      <c r="F179" s="220">
        <v>125363222.58970767</v>
      </c>
      <c r="G179" s="68">
        <v>0.59078637605385997</v>
      </c>
      <c r="H179" s="220">
        <v>74062883.964206785</v>
      </c>
      <c r="I179" s="220">
        <v>7209.1189919897588</v>
      </c>
      <c r="J179" s="77"/>
      <c r="R179" s="77"/>
      <c r="AA179" s="908"/>
      <c r="AB179" s="1266"/>
      <c r="AC179" s="908"/>
    </row>
    <row r="180" spans="3:29" x14ac:dyDescent="0.2">
      <c r="C180" s="1245">
        <v>2008</v>
      </c>
      <c r="D180" s="220">
        <v>78678925.103</v>
      </c>
      <c r="E180" s="220">
        <v>130042772.68265095</v>
      </c>
      <c r="F180" s="220">
        <v>127869856.78050515</v>
      </c>
      <c r="G180" s="68">
        <v>0.60502343559686789</v>
      </c>
      <c r="H180" s="220">
        <v>77364260.058620676</v>
      </c>
      <c r="I180" s="220">
        <v>7258.4566363578997</v>
      </c>
      <c r="J180" s="77"/>
      <c r="R180" s="77"/>
      <c r="AA180" s="908"/>
      <c r="AB180" s="1266"/>
      <c r="AC180" s="908"/>
    </row>
    <row r="181" spans="3:29" x14ac:dyDescent="0.2">
      <c r="C181" s="1245">
        <v>2009</v>
      </c>
      <c r="D181" s="220">
        <v>82719010.360000014</v>
      </c>
      <c r="E181" s="220">
        <v>130163357.44510439</v>
      </c>
      <c r="F181" s="220">
        <v>128179255.0782803</v>
      </c>
      <c r="G181" s="68">
        <v>0.63550151120591869</v>
      </c>
      <c r="H181" s="220">
        <v>81458110.307496056</v>
      </c>
      <c r="I181" s="220">
        <v>7460.5587129638734</v>
      </c>
      <c r="J181" s="77"/>
      <c r="R181" s="77"/>
      <c r="AA181" s="908"/>
      <c r="AB181" s="1266"/>
      <c r="AC181" s="908"/>
    </row>
    <row r="182" spans="3:29" x14ac:dyDescent="0.2">
      <c r="C182" s="1245">
        <v>2010</v>
      </c>
      <c r="D182" s="220">
        <v>84575463.599999994</v>
      </c>
      <c r="E182" s="220">
        <v>131775602.11210045</v>
      </c>
      <c r="F182" s="220">
        <v>134028817.44573107</v>
      </c>
      <c r="G182" s="68">
        <v>0.64181428310266664</v>
      </c>
      <c r="H182" s="220">
        <v>86021609.384030074</v>
      </c>
      <c r="I182" s="220">
        <v>7736.1040859777931</v>
      </c>
      <c r="J182" s="77"/>
      <c r="R182" s="77"/>
      <c r="AA182" s="908"/>
      <c r="AB182" s="1266"/>
      <c r="AC182" s="908"/>
    </row>
    <row r="183" spans="3:29" x14ac:dyDescent="0.2">
      <c r="C183" s="1245">
        <v>2011</v>
      </c>
      <c r="D183" s="220">
        <v>84023443</v>
      </c>
      <c r="E183" s="220">
        <v>134161577.33601415</v>
      </c>
      <c r="F183" s="220">
        <v>135441582.79682216</v>
      </c>
      <c r="G183" s="68">
        <v>0.62628544377917705</v>
      </c>
      <c r="H183" s="220">
        <v>84825091.788061917</v>
      </c>
      <c r="I183" s="220">
        <v>7460.1021756353648</v>
      </c>
      <c r="J183" s="77"/>
      <c r="R183" s="77"/>
      <c r="AA183" s="908"/>
      <c r="AB183" s="1266"/>
      <c r="AC183" s="908"/>
    </row>
    <row r="184" spans="3:29" x14ac:dyDescent="0.2">
      <c r="C184" s="1245">
        <v>2012</v>
      </c>
      <c r="D184" s="220">
        <v>82588039.052825093</v>
      </c>
      <c r="E184" s="220">
        <v>135273490.50807804</v>
      </c>
      <c r="F184" s="220">
        <v>137784492.13640866</v>
      </c>
      <c r="G184" s="68">
        <v>0.61052641387924589</v>
      </c>
      <c r="H184" s="220">
        <v>84121071.872214735</v>
      </c>
      <c r="I184" s="220">
        <v>7246.194493256502</v>
      </c>
      <c r="J184" s="77"/>
      <c r="R184" s="77"/>
      <c r="AA184" s="908"/>
      <c r="AB184" s="1266"/>
      <c r="AC184" s="908"/>
    </row>
    <row r="185" spans="3:29" x14ac:dyDescent="0.2">
      <c r="C185" s="1245">
        <v>2013</v>
      </c>
      <c r="D185" s="220">
        <v>86276531.942645699</v>
      </c>
      <c r="E185" s="220">
        <v>140355530.39543411</v>
      </c>
      <c r="F185" s="220">
        <v>139378146.22495919</v>
      </c>
      <c r="G185" s="68">
        <v>0.61469991028905224</v>
      </c>
      <c r="H185" s="220">
        <v>85675733.980736822</v>
      </c>
      <c r="I185" s="220">
        <v>7225.7513688738145</v>
      </c>
      <c r="J185" s="77"/>
      <c r="R185" s="77"/>
      <c r="AA185" s="908"/>
      <c r="AB185" s="1266"/>
      <c r="AC185" s="908"/>
    </row>
    <row r="186" spans="3:29" x14ac:dyDescent="0.2">
      <c r="C186" s="1245">
        <v>2014</v>
      </c>
      <c r="D186" s="220">
        <v>87611189.555966705</v>
      </c>
      <c r="E186" s="220">
        <v>141322229.92430472</v>
      </c>
      <c r="F186" s="220">
        <v>139918878.20610186</v>
      </c>
      <c r="G186" s="68">
        <v>0.61993919571530376</v>
      </c>
      <c r="H186" s="220">
        <v>86741196.820478335</v>
      </c>
      <c r="I186" s="220">
        <v>7179.3740126202892</v>
      </c>
      <c r="J186" s="77"/>
      <c r="R186" s="77"/>
      <c r="AA186" s="908"/>
      <c r="AB186" s="1266"/>
      <c r="AC186" s="908"/>
    </row>
    <row r="187" spans="3:29" x14ac:dyDescent="0.2">
      <c r="C187" s="1246" t="s">
        <v>81</v>
      </c>
      <c r="D187" s="70"/>
      <c r="E187" s="70"/>
      <c r="F187" s="1244">
        <v>142382511.20873028</v>
      </c>
      <c r="G187" s="71"/>
      <c r="H187" s="1244">
        <v>90196133.093911976</v>
      </c>
      <c r="I187" s="220">
        <v>7315.7703863988945</v>
      </c>
      <c r="J187" s="77"/>
      <c r="R187" s="77"/>
      <c r="AA187" s="908"/>
      <c r="AB187" s="1266"/>
      <c r="AC187" s="908"/>
    </row>
    <row r="188" spans="3:29" x14ac:dyDescent="0.2">
      <c r="C188" s="1246" t="s">
        <v>241</v>
      </c>
      <c r="D188" s="70"/>
      <c r="E188" s="70"/>
      <c r="F188" s="1244">
        <v>144839034.99426675</v>
      </c>
      <c r="G188" s="71"/>
      <c r="H188" s="1244">
        <v>91741873.18645215</v>
      </c>
      <c r="I188" s="220">
        <v>7292.0970659289524</v>
      </c>
      <c r="J188" s="77"/>
      <c r="R188" s="77"/>
      <c r="AA188" s="908"/>
      <c r="AB188" s="1266"/>
      <c r="AC188" s="908"/>
    </row>
    <row r="189" spans="3:29" x14ac:dyDescent="0.2">
      <c r="AA189" s="908"/>
      <c r="AB189" s="1266"/>
      <c r="AC189" s="908"/>
    </row>
    <row r="190" spans="3:29" x14ac:dyDescent="0.2">
      <c r="AA190" s="908"/>
      <c r="AB190" s="1266"/>
      <c r="AC190" s="908"/>
    </row>
    <row r="191" spans="3:29" x14ac:dyDescent="0.2">
      <c r="C191" s="1466" t="s">
        <v>94</v>
      </c>
      <c r="D191" s="1466"/>
      <c r="E191" s="1466"/>
      <c r="F191" s="1466"/>
      <c r="G191" s="1466"/>
      <c r="H191" s="1466"/>
      <c r="I191" s="1466"/>
      <c r="AA191" s="908"/>
      <c r="AB191" s="1266"/>
      <c r="AC191" s="908"/>
    </row>
    <row r="192" spans="3:29" ht="51" x14ac:dyDescent="0.2">
      <c r="C192" s="1157" t="s">
        <v>33</v>
      </c>
      <c r="D192" s="1247" t="s">
        <v>658</v>
      </c>
      <c r="E192" s="1248" t="s">
        <v>146</v>
      </c>
      <c r="F192" s="1248" t="s">
        <v>248</v>
      </c>
      <c r="G192" s="1249" t="s">
        <v>147</v>
      </c>
      <c r="H192" s="1157" t="s">
        <v>249</v>
      </c>
      <c r="I192" s="92" t="s">
        <v>38</v>
      </c>
      <c r="AA192" s="908"/>
      <c r="AB192" s="1266"/>
      <c r="AC192" s="908"/>
    </row>
    <row r="193" spans="3:29" x14ac:dyDescent="0.2">
      <c r="C193" s="1245">
        <v>2005</v>
      </c>
      <c r="D193" s="220">
        <v>14537477.4</v>
      </c>
      <c r="E193" s="220">
        <v>116383501</v>
      </c>
      <c r="F193" s="220">
        <v>115889998.29745679</v>
      </c>
      <c r="G193" s="68">
        <v>0.12491012278450019</v>
      </c>
      <c r="H193" s="220">
        <v>14475833.916830845</v>
      </c>
      <c r="I193" s="220">
        <v>19482.952781737342</v>
      </c>
      <c r="AA193" s="908"/>
      <c r="AB193" s="1266"/>
      <c r="AC193" s="908"/>
    </row>
    <row r="194" spans="3:29" x14ac:dyDescent="0.2">
      <c r="C194" s="1245">
        <v>2006</v>
      </c>
      <c r="D194" s="220">
        <v>14223773.710000001</v>
      </c>
      <c r="E194" s="220">
        <v>115191936.86133909</v>
      </c>
      <c r="F194" s="220">
        <v>116451493.90984155</v>
      </c>
      <c r="G194" s="68">
        <v>0.12347890049910089</v>
      </c>
      <c r="H194" s="220">
        <v>14379302.429464977</v>
      </c>
      <c r="I194" s="220">
        <v>19249.400842657265</v>
      </c>
      <c r="AA194" s="908"/>
      <c r="AB194" s="1266"/>
      <c r="AC194" s="908"/>
    </row>
    <row r="195" spans="3:29" x14ac:dyDescent="0.2">
      <c r="C195" s="1245">
        <v>2007</v>
      </c>
      <c r="D195" s="220">
        <v>14339658.07</v>
      </c>
      <c r="E195" s="220">
        <v>125635745.20078859</v>
      </c>
      <c r="F195" s="220">
        <v>125363222.58970767</v>
      </c>
      <c r="G195" s="68">
        <v>0.11413676933330272</v>
      </c>
      <c r="H195" s="220">
        <v>14308553.219600949</v>
      </c>
      <c r="I195" s="220">
        <v>18976.861033953515</v>
      </c>
      <c r="AA195" s="908"/>
      <c r="AB195" s="1266"/>
      <c r="AC195" s="908"/>
    </row>
    <row r="196" spans="3:29" x14ac:dyDescent="0.2">
      <c r="C196" s="1245">
        <v>2008</v>
      </c>
      <c r="D196" s="220">
        <v>15092313.370000001</v>
      </c>
      <c r="E196" s="220">
        <v>130042772.68265095</v>
      </c>
      <c r="F196" s="220">
        <v>127869856.78050515</v>
      </c>
      <c r="G196" s="68">
        <v>0.11605653323641776</v>
      </c>
      <c r="H196" s="220">
        <v>14840132.283382675</v>
      </c>
      <c r="I196" s="220">
        <v>19616.83051339415</v>
      </c>
      <c r="AA196" s="908"/>
      <c r="AB196" s="1266"/>
      <c r="AC196" s="908"/>
    </row>
    <row r="197" spans="3:29" x14ac:dyDescent="0.2">
      <c r="C197" s="1245">
        <v>2009</v>
      </c>
      <c r="D197" s="220">
        <v>15369939.543000001</v>
      </c>
      <c r="E197" s="220">
        <v>130163357.44510439</v>
      </c>
      <c r="F197" s="220">
        <v>128179255.0782803</v>
      </c>
      <c r="G197" s="68">
        <v>0.11808192293658513</v>
      </c>
      <c r="H197" s="220">
        <v>15135652.920222383</v>
      </c>
      <c r="I197" s="220">
        <v>19733.576167173902</v>
      </c>
      <c r="AA197" s="908"/>
      <c r="AB197" s="1266"/>
      <c r="AC197" s="908"/>
    </row>
    <row r="198" spans="3:29" x14ac:dyDescent="0.2">
      <c r="C198" s="1245">
        <v>2010</v>
      </c>
      <c r="D198" s="220">
        <v>17287125.199999999</v>
      </c>
      <c r="E198" s="220">
        <v>131775602.11210045</v>
      </c>
      <c r="F198" s="220">
        <v>134028817.44573107</v>
      </c>
      <c r="G198" s="68">
        <v>0.13118608394059153</v>
      </c>
      <c r="H198" s="220">
        <v>17582715.695893895</v>
      </c>
      <c r="I198" s="220">
        <v>22643.54886786078</v>
      </c>
      <c r="AA198" s="908"/>
      <c r="AB198" s="1266"/>
      <c r="AC198" s="908"/>
    </row>
    <row r="199" spans="3:29" x14ac:dyDescent="0.2">
      <c r="C199" s="1245">
        <v>2011</v>
      </c>
      <c r="D199" s="220">
        <v>16948879</v>
      </c>
      <c r="E199" s="220">
        <v>134161577.33601415</v>
      </c>
      <c r="F199" s="220">
        <v>135441582.79682216</v>
      </c>
      <c r="G199" s="68">
        <v>0.12633184058018873</v>
      </c>
      <c r="H199" s="220">
        <v>17110584.445816569</v>
      </c>
      <c r="I199" s="220">
        <v>21908.558829470639</v>
      </c>
      <c r="AA199" s="908"/>
      <c r="AB199" s="1266"/>
      <c r="AC199" s="908"/>
    </row>
    <row r="200" spans="3:29" x14ac:dyDescent="0.2">
      <c r="C200" s="1245">
        <v>2012</v>
      </c>
      <c r="D200" s="220">
        <v>15746949.627995308</v>
      </c>
      <c r="E200" s="220">
        <v>135273490.50807804</v>
      </c>
      <c r="F200" s="220">
        <v>137784492.13640866</v>
      </c>
      <c r="G200" s="68">
        <v>0.11640824502162866</v>
      </c>
      <c r="H200" s="220">
        <v>16039250.920795728</v>
      </c>
      <c r="I200" s="220">
        <v>20406.171654956397</v>
      </c>
      <c r="AA200" s="908"/>
      <c r="AB200" s="1266"/>
      <c r="AC200" s="908"/>
    </row>
    <row r="201" spans="3:29" x14ac:dyDescent="0.2">
      <c r="C201" s="1245">
        <v>2013</v>
      </c>
      <c r="D201" s="220">
        <v>16432348.094357079</v>
      </c>
      <c r="E201" s="220">
        <v>140355530.39543411</v>
      </c>
      <c r="F201" s="220">
        <v>139378146.22495919</v>
      </c>
      <c r="G201" s="68">
        <v>0.11707659860684505</v>
      </c>
      <c r="H201" s="220">
        <v>16317919.280145703</v>
      </c>
      <c r="I201" s="220">
        <v>20813.672551206255</v>
      </c>
      <c r="AA201" s="908"/>
      <c r="AB201" s="1266"/>
      <c r="AC201" s="908"/>
    </row>
    <row r="202" spans="3:29" x14ac:dyDescent="0.2">
      <c r="C202" s="1245">
        <v>2014</v>
      </c>
      <c r="D202" s="220">
        <v>16552639.278445883</v>
      </c>
      <c r="E202" s="220">
        <v>141322229.92430472</v>
      </c>
      <c r="F202" s="220">
        <v>139918878.20610186</v>
      </c>
      <c r="G202" s="68">
        <v>0.11712693245296114</v>
      </c>
      <c r="H202" s="220">
        <v>16388268.996540191</v>
      </c>
      <c r="I202" s="220">
        <v>20930.100889578789</v>
      </c>
      <c r="AA202" s="908"/>
      <c r="AB202" s="1266"/>
      <c r="AC202" s="908"/>
    </row>
    <row r="203" spans="3:29" x14ac:dyDescent="0.2">
      <c r="C203" s="1246" t="s">
        <v>81</v>
      </c>
      <c r="D203" s="70"/>
      <c r="E203" s="70"/>
      <c r="F203" s="1244">
        <v>142382511.20873028</v>
      </c>
      <c r="G203" s="71"/>
      <c r="H203" s="1244">
        <v>17772195.919701692</v>
      </c>
      <c r="I203" s="220">
        <v>22610.936284607749</v>
      </c>
      <c r="AA203" s="908"/>
      <c r="AB203" s="1266"/>
      <c r="AC203" s="908"/>
    </row>
    <row r="204" spans="3:29" x14ac:dyDescent="0.2">
      <c r="C204" s="1246" t="s">
        <v>241</v>
      </c>
      <c r="D204" s="70"/>
      <c r="E204" s="70"/>
      <c r="F204" s="1244">
        <v>144839034.99426675</v>
      </c>
      <c r="G204" s="71"/>
      <c r="H204" s="1244">
        <v>18182822.155352339</v>
      </c>
      <c r="I204" s="220">
        <v>23045.401971295742</v>
      </c>
      <c r="AA204" s="908"/>
      <c r="AB204" s="1266"/>
      <c r="AC204" s="908"/>
    </row>
    <row r="205" spans="3:29" ht="13.5" thickBot="1" x14ac:dyDescent="0.25">
      <c r="AA205" s="908"/>
      <c r="AB205" s="1266"/>
      <c r="AC205" s="908"/>
    </row>
    <row r="206" spans="3:29" ht="13.5" thickBot="1" x14ac:dyDescent="0.25">
      <c r="C206" s="1461" t="s">
        <v>99</v>
      </c>
      <c r="D206" s="1462"/>
      <c r="E206" s="1462"/>
      <c r="F206" s="1462"/>
      <c r="G206" s="1462"/>
      <c r="H206" s="1462"/>
      <c r="I206" s="1463"/>
      <c r="AA206" s="908"/>
      <c r="AB206" s="1266"/>
      <c r="AC206" s="908"/>
    </row>
    <row r="207" spans="3:29" ht="64.5" thickBot="1" x14ac:dyDescent="0.25">
      <c r="C207" s="60" t="s">
        <v>33</v>
      </c>
      <c r="D207" s="783" t="s">
        <v>659</v>
      </c>
      <c r="E207" s="215" t="s">
        <v>146</v>
      </c>
      <c r="F207" s="215" t="s">
        <v>143</v>
      </c>
      <c r="G207" s="62" t="s">
        <v>147</v>
      </c>
      <c r="H207" s="61" t="s">
        <v>34</v>
      </c>
      <c r="I207" s="63" t="s">
        <v>38</v>
      </c>
      <c r="AA207" s="908"/>
      <c r="AB207" s="1266"/>
      <c r="AC207" s="908"/>
    </row>
    <row r="208" spans="3:29" x14ac:dyDescent="0.2">
      <c r="C208" s="173">
        <v>2005</v>
      </c>
      <c r="D208" s="65">
        <v>264617</v>
      </c>
      <c r="E208" s="65">
        <v>116383501</v>
      </c>
      <c r="F208" s="65">
        <v>115889998.29745679</v>
      </c>
      <c r="G208" s="66">
        <v>2.2736642026261094E-3</v>
      </c>
      <c r="H208" s="65">
        <v>263494.94057132828</v>
      </c>
      <c r="I208" s="986">
        <v>5018.9512489776816</v>
      </c>
      <c r="AA208" s="908"/>
      <c r="AB208" s="1266"/>
      <c r="AC208" s="908"/>
    </row>
    <row r="209" spans="3:29" x14ac:dyDescent="0.2">
      <c r="C209" s="173">
        <v>2006</v>
      </c>
      <c r="D209" s="65">
        <v>255784</v>
      </c>
      <c r="E209" s="220">
        <v>115191936.86133909</v>
      </c>
      <c r="F209" s="220">
        <v>116451493.90984155</v>
      </c>
      <c r="G209" s="68">
        <v>2.2205026408045983E-3</v>
      </c>
      <c r="H209" s="220">
        <v>258580.84975244376</v>
      </c>
      <c r="I209" s="986">
        <v>5560.8784892998656</v>
      </c>
      <c r="AA209" s="908"/>
      <c r="AB209" s="1266"/>
      <c r="AC209" s="908"/>
    </row>
    <row r="210" spans="3:29" x14ac:dyDescent="0.2">
      <c r="C210" s="173">
        <v>2007</v>
      </c>
      <c r="D210" s="65">
        <v>220922</v>
      </c>
      <c r="E210" s="220">
        <v>125635745.20078859</v>
      </c>
      <c r="F210" s="220">
        <v>125363222.58970767</v>
      </c>
      <c r="G210" s="68">
        <v>1.7584326789077964E-3</v>
      </c>
      <c r="H210" s="220">
        <v>220442.78733493405</v>
      </c>
      <c r="I210" s="986">
        <v>5311.8743936128685</v>
      </c>
      <c r="AA210" s="908"/>
      <c r="AB210" s="1266"/>
      <c r="AC210" s="908"/>
    </row>
    <row r="211" spans="3:29" x14ac:dyDescent="0.2">
      <c r="C211" s="173">
        <v>2008</v>
      </c>
      <c r="D211" s="65">
        <v>173292</v>
      </c>
      <c r="E211" s="220">
        <v>130042772.68265095</v>
      </c>
      <c r="F211" s="220">
        <v>127869856.78050515</v>
      </c>
      <c r="G211" s="68">
        <v>1.3325769393035937E-3</v>
      </c>
      <c r="H211" s="220">
        <v>170396.42237775444</v>
      </c>
      <c r="I211" s="986">
        <v>4259.9105594438606</v>
      </c>
      <c r="AA211" s="908"/>
      <c r="AB211" s="1266"/>
      <c r="AC211" s="908"/>
    </row>
    <row r="212" spans="3:29" x14ac:dyDescent="0.2">
      <c r="C212" s="173">
        <v>2009</v>
      </c>
      <c r="D212" s="65">
        <v>255272</v>
      </c>
      <c r="E212" s="220">
        <v>130163357.44510439</v>
      </c>
      <c r="F212" s="220">
        <v>128179255.0782803</v>
      </c>
      <c r="G212" s="68">
        <v>1.9611663759338677E-3</v>
      </c>
      <c r="H212" s="220">
        <v>251380.84515177377</v>
      </c>
      <c r="I212" s="986">
        <v>7734.7952354391928</v>
      </c>
      <c r="AA212" s="908"/>
      <c r="AB212" s="1266"/>
      <c r="AC212" s="908"/>
    </row>
    <row r="213" spans="3:29" x14ac:dyDescent="0.2">
      <c r="C213" s="173">
        <v>2010</v>
      </c>
      <c r="D213" s="65">
        <v>322731</v>
      </c>
      <c r="E213" s="220">
        <v>131775602.11210045</v>
      </c>
      <c r="F213" s="220">
        <v>134028817.44573107</v>
      </c>
      <c r="G213" s="68">
        <v>2.4490952409039674E-3</v>
      </c>
      <c r="H213" s="220">
        <v>328249.33895032661</v>
      </c>
      <c r="I213" s="986">
        <v>8993.1325739815511</v>
      </c>
      <c r="AA213" s="908"/>
      <c r="AB213" s="1266"/>
      <c r="AC213" s="908"/>
    </row>
    <row r="214" spans="3:29" x14ac:dyDescent="0.2">
      <c r="C214" s="173">
        <v>2011</v>
      </c>
      <c r="D214" s="65">
        <v>310190</v>
      </c>
      <c r="E214" s="220">
        <v>134161577.33601415</v>
      </c>
      <c r="F214" s="220">
        <v>135441582.79682216</v>
      </c>
      <c r="G214" s="68">
        <v>2.3120628585270296E-3</v>
      </c>
      <c r="H214" s="220">
        <v>313149.45308464597</v>
      </c>
      <c r="I214" s="986">
        <v>7545.7699538468905</v>
      </c>
      <c r="AA214" s="908"/>
      <c r="AB214" s="1266"/>
      <c r="AC214" s="908"/>
    </row>
    <row r="215" spans="3:29" x14ac:dyDescent="0.2">
      <c r="C215" s="173">
        <v>2012</v>
      </c>
      <c r="D215" s="65">
        <v>290375.53274615534</v>
      </c>
      <c r="E215" s="220">
        <v>135273490.50807804</v>
      </c>
      <c r="F215" s="220">
        <v>137784492.13640866</v>
      </c>
      <c r="G215" s="68">
        <v>2.1465812085984075E-3</v>
      </c>
      <c r="H215" s="220">
        <v>295765.60165628989</v>
      </c>
      <c r="I215" s="986">
        <v>7583.7333758023051</v>
      </c>
      <c r="AA215" s="908"/>
      <c r="AB215" s="1266"/>
      <c r="AC215" s="908"/>
    </row>
    <row r="216" spans="3:29" x14ac:dyDescent="0.2">
      <c r="C216" s="173">
        <v>2013</v>
      </c>
      <c r="D216" s="65">
        <v>264549.50046253472</v>
      </c>
      <c r="E216" s="220">
        <v>140355530.39543411</v>
      </c>
      <c r="F216" s="220">
        <v>139378146.22495919</v>
      </c>
      <c r="G216" s="68">
        <v>1.884852700261968E-3</v>
      </c>
      <c r="H216" s="220">
        <v>262707.27526962175</v>
      </c>
      <c r="I216" s="986">
        <v>6181.347653402865</v>
      </c>
      <c r="AA216" s="908"/>
      <c r="AB216" s="1266"/>
      <c r="AC216" s="908"/>
    </row>
    <row r="217" spans="3:29" x14ac:dyDescent="0.2">
      <c r="C217" s="173">
        <v>2014</v>
      </c>
      <c r="D217" s="65">
        <v>250495.81036077708</v>
      </c>
      <c r="E217" s="220">
        <v>141322229.92430472</v>
      </c>
      <c r="F217" s="220">
        <v>139918878.20610186</v>
      </c>
      <c r="G217" s="68">
        <v>1.772515268793509E-3</v>
      </c>
      <c r="H217" s="220">
        <v>248008.34801277489</v>
      </c>
      <c r="I217" s="986">
        <v>6048.9840978725588</v>
      </c>
      <c r="AA217" s="908"/>
      <c r="AB217" s="1266"/>
      <c r="AC217" s="908"/>
    </row>
    <row r="218" spans="3:29" x14ac:dyDescent="0.2">
      <c r="C218" s="174" t="s">
        <v>81</v>
      </c>
      <c r="D218" s="70"/>
      <c r="E218" s="70"/>
      <c r="F218" s="1070">
        <v>142382511.20873028</v>
      </c>
      <c r="G218" s="71"/>
      <c r="H218" s="1070">
        <v>238220.87992424573</v>
      </c>
      <c r="I218" s="986">
        <v>5810.2653640059934</v>
      </c>
      <c r="AA218" s="908"/>
      <c r="AB218" s="1266"/>
      <c r="AC218" s="908"/>
    </row>
    <row r="219" spans="3:29" ht="13.5" thickBot="1" x14ac:dyDescent="0.25">
      <c r="C219" s="175" t="s">
        <v>241</v>
      </c>
      <c r="D219" s="72"/>
      <c r="E219" s="72"/>
      <c r="F219" s="1068">
        <v>144839034.99426675</v>
      </c>
      <c r="G219" s="73"/>
      <c r="H219" s="1068">
        <v>226547.45223143164</v>
      </c>
      <c r="I219" s="985">
        <v>5525.547615400772</v>
      </c>
      <c r="AA219" s="908"/>
      <c r="AB219" s="1266"/>
      <c r="AC219" s="908"/>
    </row>
    <row r="220" spans="3:29" x14ac:dyDescent="0.2">
      <c r="AA220" s="908"/>
      <c r="AB220" s="1266"/>
      <c r="AC220" s="908"/>
    </row>
    <row r="221" spans="3:29" x14ac:dyDescent="0.2">
      <c r="AA221" s="908"/>
      <c r="AB221" s="1266"/>
      <c r="AC221" s="908"/>
    </row>
    <row r="222" spans="3:29" ht="13.5" thickBot="1" x14ac:dyDescent="0.25">
      <c r="AA222" s="908"/>
      <c r="AB222" s="1266"/>
      <c r="AC222" s="908"/>
    </row>
    <row r="223" spans="3:29" ht="13.5" thickBot="1" x14ac:dyDescent="0.25">
      <c r="C223" s="1461" t="s">
        <v>597</v>
      </c>
      <c r="D223" s="1462"/>
      <c r="E223" s="1462"/>
      <c r="F223" s="1462"/>
      <c r="G223" s="1462"/>
      <c r="H223" s="1462"/>
      <c r="I223" s="1462"/>
      <c r="J223" s="1462"/>
      <c r="K223" s="1463"/>
      <c r="L223" s="180"/>
      <c r="M223" s="180"/>
      <c r="W223" s="180"/>
      <c r="AA223" s="908"/>
      <c r="AB223" s="1266"/>
      <c r="AC223" s="908"/>
    </row>
    <row r="224" spans="3:29" ht="25.5" x14ac:dyDescent="0.2">
      <c r="C224" s="448" t="s">
        <v>33</v>
      </c>
      <c r="D224" s="662" t="s">
        <v>36</v>
      </c>
      <c r="E224" s="662" t="s">
        <v>230</v>
      </c>
      <c r="F224" s="446" t="s">
        <v>36</v>
      </c>
      <c r="G224" s="446" t="s">
        <v>37</v>
      </c>
      <c r="H224" s="446" t="s">
        <v>184</v>
      </c>
      <c r="I224" s="446" t="s">
        <v>182</v>
      </c>
      <c r="J224" s="446" t="s">
        <v>183</v>
      </c>
      <c r="K224" s="447" t="s">
        <v>41</v>
      </c>
      <c r="L224" s="181"/>
      <c r="M224" s="181"/>
      <c r="W224" s="59"/>
      <c r="AA224" s="908"/>
      <c r="AB224" s="1266"/>
      <c r="AC224" s="908"/>
    </row>
    <row r="225" spans="3:29" x14ac:dyDescent="0.2">
      <c r="C225" s="91" t="s">
        <v>30</v>
      </c>
      <c r="D225" s="663"/>
      <c r="E225" s="663"/>
      <c r="F225" s="835"/>
      <c r="G225" s="92"/>
      <c r="H225" s="370"/>
      <c r="I225" s="370"/>
      <c r="J225" s="220"/>
      <c r="K225" s="419"/>
      <c r="L225" s="140"/>
      <c r="M225" s="140"/>
      <c r="W225" s="59"/>
      <c r="AA225" s="908"/>
      <c r="AB225" s="1266"/>
      <c r="AC225" s="908"/>
    </row>
    <row r="226" spans="3:29" x14ac:dyDescent="0.2">
      <c r="C226" s="186">
        <v>2005</v>
      </c>
      <c r="D226" s="65">
        <v>12388793.66</v>
      </c>
      <c r="E226" s="617"/>
      <c r="F226" s="836">
        <v>12388793.66</v>
      </c>
      <c r="G226" s="65">
        <v>0</v>
      </c>
      <c r="H226" s="65">
        <v>42</v>
      </c>
      <c r="I226" s="418">
        <v>0</v>
      </c>
      <c r="J226" s="421">
        <v>0</v>
      </c>
      <c r="K226" s="382">
        <v>0</v>
      </c>
      <c r="L226" s="178"/>
      <c r="M226" s="178"/>
      <c r="W226" s="59"/>
      <c r="AA226" s="908"/>
      <c r="AB226" s="1266"/>
      <c r="AC226" s="908"/>
    </row>
    <row r="227" spans="3:29" x14ac:dyDescent="0.2">
      <c r="C227" s="186">
        <v>2006</v>
      </c>
      <c r="D227" s="65">
        <v>12633563.929999998</v>
      </c>
      <c r="E227" s="617"/>
      <c r="F227" s="836">
        <v>12633563.929999998</v>
      </c>
      <c r="G227" s="65">
        <v>0</v>
      </c>
      <c r="H227" s="65">
        <v>40.5</v>
      </c>
      <c r="I227" s="418">
        <v>0</v>
      </c>
      <c r="J227" s="421">
        <v>0</v>
      </c>
      <c r="K227" s="382">
        <v>0</v>
      </c>
      <c r="L227" s="178"/>
      <c r="M227" s="178"/>
      <c r="W227" s="59"/>
      <c r="AA227" s="908"/>
      <c r="AB227" s="1266"/>
      <c r="AC227" s="908"/>
    </row>
    <row r="228" spans="3:29" x14ac:dyDescent="0.2">
      <c r="C228" s="186">
        <v>2007</v>
      </c>
      <c r="D228" s="65">
        <v>14970174.015999999</v>
      </c>
      <c r="E228" s="617"/>
      <c r="F228" s="836">
        <v>14970174.015999999</v>
      </c>
      <c r="G228" s="65">
        <v>0</v>
      </c>
      <c r="H228" s="65">
        <v>36</v>
      </c>
      <c r="I228" s="418">
        <v>0</v>
      </c>
      <c r="J228" s="421">
        <v>0</v>
      </c>
      <c r="K228" s="382">
        <v>0</v>
      </c>
      <c r="L228" s="178"/>
      <c r="M228" s="178"/>
      <c r="W228" s="59"/>
      <c r="AA228" s="908"/>
      <c r="AB228" s="1266"/>
      <c r="AC228" s="908"/>
    </row>
    <row r="229" spans="3:29" x14ac:dyDescent="0.2">
      <c r="C229" s="186">
        <v>2008</v>
      </c>
      <c r="D229" s="65">
        <v>17386048.783999998</v>
      </c>
      <c r="E229" s="617"/>
      <c r="F229" s="836">
        <v>17386048.783999998</v>
      </c>
      <c r="G229" s="65">
        <v>0</v>
      </c>
      <c r="H229" s="65">
        <v>31</v>
      </c>
      <c r="I229" s="418">
        <v>0</v>
      </c>
      <c r="J229" s="421">
        <v>0</v>
      </c>
      <c r="K229" s="382">
        <v>0</v>
      </c>
      <c r="L229" s="178"/>
      <c r="M229" s="178"/>
      <c r="W229" s="59"/>
      <c r="AA229" s="908"/>
      <c r="AB229" s="1266"/>
      <c r="AC229" s="908"/>
    </row>
    <row r="230" spans="3:29" x14ac:dyDescent="0.2">
      <c r="C230" s="186">
        <v>2009</v>
      </c>
      <c r="D230" s="65">
        <v>16872487.509999998</v>
      </c>
      <c r="E230" s="617"/>
      <c r="F230" s="836">
        <v>16872487.509999998</v>
      </c>
      <c r="G230" s="65">
        <v>43811.69</v>
      </c>
      <c r="H230" s="65">
        <v>30</v>
      </c>
      <c r="I230" s="418">
        <v>562416.25033333327</v>
      </c>
      <c r="J230" s="421">
        <v>1460.3896666666667</v>
      </c>
      <c r="K230" s="382">
        <v>2.5966349048433825E-3</v>
      </c>
      <c r="L230" s="178"/>
      <c r="M230" s="178"/>
      <c r="W230" s="59"/>
      <c r="AA230" s="908"/>
      <c r="AB230" s="1266"/>
      <c r="AC230" s="908"/>
    </row>
    <row r="231" spans="3:29" x14ac:dyDescent="0.2">
      <c r="C231" s="186">
        <v>2010</v>
      </c>
      <c r="D231" s="65">
        <v>17629407.020000003</v>
      </c>
      <c r="E231" s="617"/>
      <c r="F231" s="836">
        <v>17629407.020000003</v>
      </c>
      <c r="G231" s="65">
        <v>44115.7</v>
      </c>
      <c r="H231" s="65">
        <v>31</v>
      </c>
      <c r="I231" s="418">
        <v>568690.54903225822</v>
      </c>
      <c r="J231" s="421">
        <v>1423.0870967741935</v>
      </c>
      <c r="K231" s="382">
        <v>2.5023927322088673E-3</v>
      </c>
      <c r="L231" s="178"/>
      <c r="M231" s="178"/>
      <c r="W231" s="59"/>
      <c r="AA231" s="908"/>
      <c r="AB231" s="1266"/>
      <c r="AC231" s="908"/>
    </row>
    <row r="232" spans="3:29" x14ac:dyDescent="0.2">
      <c r="C232" s="186">
        <v>2011</v>
      </c>
      <c r="D232" s="65">
        <v>17073810.420000002</v>
      </c>
      <c r="E232" s="617"/>
      <c r="F232" s="836">
        <v>17073810.420000002</v>
      </c>
      <c r="G232" s="65">
        <v>45358.5</v>
      </c>
      <c r="H232" s="65">
        <v>32.5</v>
      </c>
      <c r="I232" s="418">
        <v>525348.01292307698</v>
      </c>
      <c r="J232" s="421">
        <v>1395.6461538461538</v>
      </c>
      <c r="K232" s="382">
        <v>2.6566126063381694E-3</v>
      </c>
      <c r="L232" s="178"/>
      <c r="M232" s="178"/>
      <c r="W232" s="59"/>
      <c r="AA232" s="908"/>
      <c r="AB232" s="1266"/>
      <c r="AC232" s="908"/>
    </row>
    <row r="233" spans="3:29" x14ac:dyDescent="0.2">
      <c r="C233" s="186">
        <v>2012</v>
      </c>
      <c r="D233" s="65">
        <v>17613527.535856102</v>
      </c>
      <c r="E233" s="617"/>
      <c r="F233" s="836">
        <v>17613527.535856102</v>
      </c>
      <c r="G233" s="65">
        <v>47594.97</v>
      </c>
      <c r="H233" s="65">
        <v>35</v>
      </c>
      <c r="I233" s="418">
        <v>503243.64388160291</v>
      </c>
      <c r="J233" s="421">
        <v>1359.8562857142858</v>
      </c>
      <c r="K233" s="382">
        <v>2.7021827344414833E-3</v>
      </c>
      <c r="L233" s="178"/>
      <c r="M233" s="178"/>
      <c r="W233" s="59"/>
      <c r="AA233" s="908"/>
      <c r="AB233" s="1266"/>
      <c r="AC233" s="908"/>
    </row>
    <row r="234" spans="3:29" x14ac:dyDescent="0.2">
      <c r="C234" s="186">
        <v>2013</v>
      </c>
      <c r="D234" s="65">
        <v>17691775.363432009</v>
      </c>
      <c r="E234" s="617"/>
      <c r="F234" s="836">
        <v>17691775.363432009</v>
      </c>
      <c r="G234" s="65">
        <v>46866.61</v>
      </c>
      <c r="H234" s="65">
        <v>35</v>
      </c>
      <c r="I234" s="418">
        <v>505479.29609805741</v>
      </c>
      <c r="J234" s="421">
        <v>1339.046</v>
      </c>
      <c r="K234" s="382">
        <v>2.6490620097331147E-3</v>
      </c>
      <c r="L234" s="178"/>
      <c r="M234" s="178"/>
      <c r="W234" s="59"/>
      <c r="AA234" s="908"/>
      <c r="AB234" s="1266"/>
      <c r="AC234" s="908"/>
    </row>
    <row r="235" spans="3:29" x14ac:dyDescent="0.2">
      <c r="C235" s="186">
        <v>2014</v>
      </c>
      <c r="D235" s="65">
        <v>17311423.283422757</v>
      </c>
      <c r="E235" s="617"/>
      <c r="F235" s="836">
        <v>17311423.283422757</v>
      </c>
      <c r="G235" s="65">
        <v>45989.17</v>
      </c>
      <c r="H235" s="65">
        <v>36</v>
      </c>
      <c r="I235" s="418">
        <v>480872.86898396548</v>
      </c>
      <c r="J235" s="421">
        <v>1277.4769444444444</v>
      </c>
      <c r="K235" s="382">
        <v>2.6565793723060749E-3</v>
      </c>
      <c r="L235" s="178"/>
      <c r="M235" s="178"/>
      <c r="W235" s="59"/>
      <c r="AA235" s="908"/>
      <c r="AB235" s="1266"/>
      <c r="AC235" s="908"/>
    </row>
    <row r="236" spans="3:29" x14ac:dyDescent="0.2">
      <c r="C236" s="186" t="s">
        <v>81</v>
      </c>
      <c r="D236" s="1070">
        <v>17684116.15108569</v>
      </c>
      <c r="E236" s="617"/>
      <c r="F236" s="836">
        <v>17684116.15108569</v>
      </c>
      <c r="G236" s="1070">
        <v>46568.748284849251</v>
      </c>
      <c r="H236" s="220">
        <v>37</v>
      </c>
      <c r="I236" s="418">
        <v>477949.08516447811</v>
      </c>
      <c r="J236" s="421">
        <v>1258.6148185094391</v>
      </c>
      <c r="K236" s="419"/>
      <c r="L236" s="75"/>
      <c r="M236" s="75"/>
      <c r="W236" s="59"/>
      <c r="AA236" s="908"/>
      <c r="AB236" s="1266"/>
      <c r="AC236" s="908"/>
    </row>
    <row r="237" spans="3:29" x14ac:dyDescent="0.2">
      <c r="C237" s="186" t="s">
        <v>241</v>
      </c>
      <c r="D237" s="1070">
        <v>17982299.410991874</v>
      </c>
      <c r="E237" s="617"/>
      <c r="F237" s="836">
        <v>17982299.410991874</v>
      </c>
      <c r="G237" s="1070">
        <v>47353.973910755041</v>
      </c>
      <c r="H237" s="220">
        <v>37</v>
      </c>
      <c r="I237" s="418">
        <v>486008.09218896955</v>
      </c>
      <c r="J237" s="421">
        <v>1279.8371327231093</v>
      </c>
      <c r="K237" s="419"/>
      <c r="L237" s="75"/>
      <c r="M237" s="75"/>
      <c r="W237" s="59"/>
      <c r="AA237" s="908"/>
      <c r="AB237" s="1266"/>
      <c r="AC237" s="908"/>
    </row>
    <row r="238" spans="3:29" x14ac:dyDescent="0.2">
      <c r="C238" s="69"/>
      <c r="D238" s="664"/>
      <c r="E238" s="664"/>
      <c r="F238" s="220"/>
      <c r="G238" s="1070"/>
      <c r="H238" s="1069"/>
      <c r="I238" s="1069"/>
      <c r="J238" s="1070"/>
      <c r="K238" s="419"/>
      <c r="L238" s="75"/>
      <c r="M238" s="75"/>
      <c r="W238" s="59"/>
      <c r="AA238" s="908"/>
      <c r="AB238" s="1266"/>
      <c r="AC238" s="908"/>
    </row>
    <row r="239" spans="3:29" x14ac:dyDescent="0.2">
      <c r="C239" s="230" t="s">
        <v>160</v>
      </c>
      <c r="D239" s="665"/>
      <c r="E239" s="665"/>
      <c r="F239" s="1063">
        <v>5</v>
      </c>
      <c r="G239" s="185"/>
      <c r="H239" s="371"/>
      <c r="I239" s="377">
        <v>516726.87418379216</v>
      </c>
      <c r="J239" s="425">
        <v>1359.0224961558156</v>
      </c>
      <c r="K239" s="350">
        <v>2.6333658910055414E-3</v>
      </c>
      <c r="L239" s="179"/>
      <c r="M239" s="179"/>
      <c r="W239" s="59"/>
      <c r="AA239" s="908"/>
      <c r="AB239" s="1266"/>
      <c r="AC239" s="908"/>
    </row>
    <row r="240" spans="3:29" ht="13.5" thickBot="1" x14ac:dyDescent="0.25">
      <c r="C240" s="188"/>
      <c r="D240" s="666"/>
      <c r="E240" s="666"/>
      <c r="F240" s="189"/>
      <c r="G240" s="189"/>
      <c r="H240" s="372"/>
      <c r="I240" s="372"/>
      <c r="J240" s="189"/>
      <c r="K240" s="423"/>
      <c r="L240" s="51"/>
      <c r="M240" s="51"/>
      <c r="W240" s="1"/>
      <c r="AA240" s="908"/>
      <c r="AB240" s="1266"/>
      <c r="AC240" s="908"/>
    </row>
    <row r="241" spans="3:29" ht="13.5" thickBot="1" x14ac:dyDescent="0.25">
      <c r="AA241" s="908"/>
      <c r="AB241" s="1266"/>
      <c r="AC241" s="908"/>
    </row>
    <row r="242" spans="3:29" ht="13.5" thickBot="1" x14ac:dyDescent="0.25">
      <c r="C242" s="1461" t="s">
        <v>596</v>
      </c>
      <c r="D242" s="1462"/>
      <c r="E242" s="1462"/>
      <c r="F242" s="1462"/>
      <c r="G242" s="1462"/>
      <c r="H242" s="1462"/>
      <c r="I242" s="1462"/>
      <c r="J242" s="1462"/>
      <c r="K242" s="1463"/>
      <c r="AA242" s="908"/>
      <c r="AB242" s="1266"/>
      <c r="AC242" s="908"/>
    </row>
    <row r="243" spans="3:29" ht="25.5" x14ac:dyDescent="0.2">
      <c r="C243" s="448" t="s">
        <v>33</v>
      </c>
      <c r="D243" s="662" t="s">
        <v>36</v>
      </c>
      <c r="E243" s="662" t="s">
        <v>230</v>
      </c>
      <c r="F243" s="446" t="s">
        <v>36</v>
      </c>
      <c r="G243" s="446" t="s">
        <v>37</v>
      </c>
      <c r="H243" s="446" t="s">
        <v>184</v>
      </c>
      <c r="I243" s="446" t="s">
        <v>182</v>
      </c>
      <c r="J243" s="446" t="s">
        <v>183</v>
      </c>
      <c r="K243" s="447" t="s">
        <v>41</v>
      </c>
      <c r="AA243" s="908"/>
      <c r="AB243" s="1266"/>
      <c r="AC243" s="908"/>
    </row>
    <row r="244" spans="3:29" x14ac:dyDescent="0.2">
      <c r="C244" s="91" t="s">
        <v>30</v>
      </c>
      <c r="D244" s="663"/>
      <c r="E244" s="663"/>
      <c r="F244" s="92"/>
      <c r="G244" s="92"/>
      <c r="H244" s="92"/>
      <c r="I244" s="92"/>
      <c r="J244" s="92"/>
      <c r="K244" s="93"/>
      <c r="AA244" s="908"/>
      <c r="AB244" s="1266"/>
      <c r="AC244" s="908"/>
    </row>
    <row r="245" spans="3:29" x14ac:dyDescent="0.2">
      <c r="C245" s="186">
        <v>2005</v>
      </c>
      <c r="D245" s="65">
        <v>994198.57999999984</v>
      </c>
      <c r="E245" s="617"/>
      <c r="F245" s="65">
        <v>994198.57999999984</v>
      </c>
      <c r="G245" s="220">
        <v>0</v>
      </c>
      <c r="H245" s="220">
        <v>1</v>
      </c>
      <c r="I245" s="418">
        <v>0</v>
      </c>
      <c r="J245" s="421">
        <v>0</v>
      </c>
      <c r="K245" s="382">
        <v>0</v>
      </c>
      <c r="AA245" s="908"/>
      <c r="AB245" s="1266"/>
      <c r="AC245" s="908"/>
    </row>
    <row r="246" spans="3:29" x14ac:dyDescent="0.2">
      <c r="C246" s="186">
        <v>2006</v>
      </c>
      <c r="D246" s="65">
        <v>4233263.5499999989</v>
      </c>
      <c r="E246" s="617"/>
      <c r="F246" s="65">
        <v>4233263.5499999989</v>
      </c>
      <c r="G246" s="220">
        <v>0</v>
      </c>
      <c r="H246" s="220">
        <v>1</v>
      </c>
      <c r="I246" s="418">
        <v>0</v>
      </c>
      <c r="J246" s="421">
        <v>0</v>
      </c>
      <c r="K246" s="382">
        <v>0</v>
      </c>
      <c r="AA246" s="908"/>
      <c r="AB246" s="1266"/>
      <c r="AC246" s="908"/>
    </row>
    <row r="247" spans="3:29" x14ac:dyDescent="0.2">
      <c r="C247" s="186">
        <v>2007</v>
      </c>
      <c r="D247" s="65">
        <v>4141943.8099999996</v>
      </c>
      <c r="E247" s="617"/>
      <c r="F247" s="65">
        <v>4141943.8099999996</v>
      </c>
      <c r="G247" s="220">
        <v>0</v>
      </c>
      <c r="H247" s="220">
        <v>1</v>
      </c>
      <c r="I247" s="418">
        <v>0</v>
      </c>
      <c r="J247" s="421">
        <v>0</v>
      </c>
      <c r="K247" s="382">
        <v>0</v>
      </c>
      <c r="AA247" s="908"/>
      <c r="AB247" s="1266"/>
      <c r="AC247" s="908"/>
    </row>
    <row r="248" spans="3:29" x14ac:dyDescent="0.2">
      <c r="C248" s="186">
        <v>2008</v>
      </c>
      <c r="D248" s="65">
        <v>4099392.6199999996</v>
      </c>
      <c r="E248" s="617"/>
      <c r="F248" s="65">
        <v>4099392.6199999996</v>
      </c>
      <c r="G248" s="220">
        <v>0</v>
      </c>
      <c r="H248" s="220">
        <v>1</v>
      </c>
      <c r="I248" s="418">
        <v>0</v>
      </c>
      <c r="J248" s="421">
        <v>0</v>
      </c>
      <c r="K248" s="382">
        <v>0</v>
      </c>
      <c r="AA248" s="908"/>
      <c r="AB248" s="1266"/>
      <c r="AC248" s="908"/>
    </row>
    <row r="249" spans="3:29" x14ac:dyDescent="0.2">
      <c r="C249" s="186">
        <v>2009</v>
      </c>
      <c r="D249" s="65">
        <v>4143210.3299999996</v>
      </c>
      <c r="E249" s="617"/>
      <c r="F249" s="65">
        <v>4143210.3299999996</v>
      </c>
      <c r="G249" s="220">
        <v>7024.26</v>
      </c>
      <c r="H249" s="220">
        <v>1</v>
      </c>
      <c r="I249" s="418">
        <v>4143210.3299999996</v>
      </c>
      <c r="J249" s="421">
        <v>7024.26</v>
      </c>
      <c r="K249" s="382">
        <v>1.6953665009808955E-3</v>
      </c>
      <c r="AA249" s="908"/>
      <c r="AB249" s="1266"/>
      <c r="AC249" s="908"/>
    </row>
    <row r="250" spans="3:29" x14ac:dyDescent="0.2">
      <c r="C250" s="186">
        <v>2010</v>
      </c>
      <c r="D250" s="65">
        <v>4263662.9799999995</v>
      </c>
      <c r="E250" s="617"/>
      <c r="F250" s="65">
        <v>4263662.9799999995</v>
      </c>
      <c r="G250" s="220">
        <v>7300.7999999999993</v>
      </c>
      <c r="H250" s="220">
        <v>1</v>
      </c>
      <c r="I250" s="418">
        <v>4263662.9799999995</v>
      </c>
      <c r="J250" s="421">
        <v>7300.7999999999993</v>
      </c>
      <c r="K250" s="382">
        <v>1.7123304619165748E-3</v>
      </c>
      <c r="AA250" s="908"/>
      <c r="AB250" s="1266"/>
      <c r="AC250" s="908"/>
    </row>
    <row r="251" spans="3:29" x14ac:dyDescent="0.2">
      <c r="C251" s="186">
        <v>2011</v>
      </c>
      <c r="D251" s="65">
        <v>4201222.58</v>
      </c>
      <c r="E251" s="617"/>
      <c r="F251" s="65">
        <v>4201222.58</v>
      </c>
      <c r="G251" s="220">
        <v>7185.5999999999995</v>
      </c>
      <c r="H251" s="220">
        <v>1</v>
      </c>
      <c r="I251" s="418">
        <v>4201222.58</v>
      </c>
      <c r="J251" s="421">
        <v>7185.5999999999995</v>
      </c>
      <c r="K251" s="382">
        <v>1.7103592735617447E-3</v>
      </c>
      <c r="AA251" s="908"/>
      <c r="AB251" s="1266"/>
      <c r="AC251" s="908"/>
    </row>
    <row r="252" spans="3:29" x14ac:dyDescent="0.2">
      <c r="C252" s="186">
        <v>2012</v>
      </c>
      <c r="D252" s="65">
        <v>3761855.8131238185</v>
      </c>
      <c r="E252" s="617"/>
      <c r="F252" s="65">
        <v>3761855.8131238185</v>
      </c>
      <c r="G252" s="220">
        <v>6698.9100000000008</v>
      </c>
      <c r="H252" s="220">
        <v>1</v>
      </c>
      <c r="I252" s="418">
        <v>3761855.8131238185</v>
      </c>
      <c r="J252" s="421">
        <v>6698.9100000000008</v>
      </c>
      <c r="K252" s="382">
        <v>1.7807460819284494E-3</v>
      </c>
      <c r="AA252" s="908"/>
      <c r="AB252" s="1266"/>
      <c r="AC252" s="908"/>
    </row>
    <row r="253" spans="3:29" x14ac:dyDescent="0.2">
      <c r="C253" s="186">
        <v>2013</v>
      </c>
      <c r="D253" s="65">
        <v>3594883.73</v>
      </c>
      <c r="E253" s="617"/>
      <c r="F253" s="65">
        <v>3594883.73</v>
      </c>
      <c r="G253" s="220">
        <v>6556.56</v>
      </c>
      <c r="H253" s="220">
        <v>1</v>
      </c>
      <c r="I253" s="418">
        <v>3594883.73</v>
      </c>
      <c r="J253" s="421">
        <v>6556.56</v>
      </c>
      <c r="K253" s="382">
        <v>1.8238587093329999E-3</v>
      </c>
      <c r="AA253" s="908"/>
      <c r="AB253" s="1266"/>
      <c r="AC253" s="908"/>
    </row>
    <row r="254" spans="3:29" x14ac:dyDescent="0.2">
      <c r="C254" s="186">
        <v>2014</v>
      </c>
      <c r="D254" s="65">
        <v>3453199.0199999996</v>
      </c>
      <c r="E254" s="617"/>
      <c r="F254" s="65">
        <v>3453199.0199999996</v>
      </c>
      <c r="G254" s="220">
        <v>6080.47</v>
      </c>
      <c r="H254" s="220">
        <v>1</v>
      </c>
      <c r="I254" s="418">
        <v>3453199.0199999996</v>
      </c>
      <c r="J254" s="421">
        <v>6080.47</v>
      </c>
      <c r="K254" s="382">
        <v>1.7608223461154581E-3</v>
      </c>
      <c r="AA254" s="908"/>
      <c r="AB254" s="1266"/>
      <c r="AC254" s="908"/>
    </row>
    <row r="255" spans="3:29" x14ac:dyDescent="0.2">
      <c r="C255" s="186" t="s">
        <v>81</v>
      </c>
      <c r="D255" s="1070">
        <v>4029800.6612127172</v>
      </c>
      <c r="E255" s="617"/>
      <c r="F255" s="671">
        <v>4029800.6612127172</v>
      </c>
      <c r="G255" s="1070">
        <v>7082.8718370093256</v>
      </c>
      <c r="H255" s="220">
        <v>1</v>
      </c>
      <c r="I255" s="418">
        <v>4029800.6612127172</v>
      </c>
      <c r="J255" s="421">
        <v>7082.8718370093256</v>
      </c>
      <c r="K255" s="80"/>
      <c r="AA255" s="908"/>
      <c r="AB255" s="1266"/>
      <c r="AC255" s="908"/>
    </row>
    <row r="256" spans="3:29" x14ac:dyDescent="0.2">
      <c r="C256" s="186" t="s">
        <v>241</v>
      </c>
      <c r="D256" s="1070">
        <v>4025069.1883013262</v>
      </c>
      <c r="E256" s="617"/>
      <c r="F256" s="671">
        <v>4025069.1883013262</v>
      </c>
      <c r="G256" s="1070">
        <v>7074.5556896241151</v>
      </c>
      <c r="H256" s="220">
        <v>1</v>
      </c>
      <c r="I256" s="418">
        <v>4025069.1883013262</v>
      </c>
      <c r="J256" s="421">
        <v>7074.5556896241151</v>
      </c>
      <c r="K256" s="80"/>
      <c r="AA256" s="908"/>
      <c r="AB256" s="1266"/>
      <c r="AC256" s="908"/>
    </row>
    <row r="257" spans="3:29" x14ac:dyDescent="0.2">
      <c r="C257" s="230" t="s">
        <v>160</v>
      </c>
      <c r="D257" s="665"/>
      <c r="E257" s="670"/>
      <c r="F257" s="1063">
        <v>5</v>
      </c>
      <c r="G257" s="185"/>
      <c r="H257" s="185"/>
      <c r="I257" s="377">
        <v>3854964.8246247633</v>
      </c>
      <c r="J257" s="424">
        <v>6764.4679999999989</v>
      </c>
      <c r="K257" s="187">
        <v>1.7576233745710452E-3</v>
      </c>
      <c r="AA257" s="908"/>
      <c r="AB257" s="1266"/>
      <c r="AC257" s="908"/>
    </row>
    <row r="258" spans="3:29" x14ac:dyDescent="0.2">
      <c r="AA258" s="908"/>
      <c r="AB258" s="1266"/>
      <c r="AC258" s="908"/>
    </row>
    <row r="259" spans="3:29" ht="13.5" thickBot="1" x14ac:dyDescent="0.25">
      <c r="AA259" s="908"/>
      <c r="AB259" s="1266"/>
      <c r="AC259" s="908"/>
    </row>
    <row r="260" spans="3:29" ht="13.5" thickBot="1" x14ac:dyDescent="0.25">
      <c r="C260" s="1461" t="s">
        <v>98</v>
      </c>
      <c r="D260" s="1462"/>
      <c r="E260" s="1462"/>
      <c r="F260" s="1462"/>
      <c r="G260" s="1462"/>
      <c r="H260" s="1462"/>
      <c r="I260" s="1462"/>
      <c r="J260" s="1462"/>
      <c r="K260" s="1463"/>
      <c r="AA260" s="908"/>
      <c r="AB260" s="1266"/>
      <c r="AC260" s="908"/>
    </row>
    <row r="261" spans="3:29" ht="25.5" x14ac:dyDescent="0.2">
      <c r="C261" s="422" t="s">
        <v>33</v>
      </c>
      <c r="D261" s="662" t="s">
        <v>36</v>
      </c>
      <c r="E261" s="662" t="s">
        <v>230</v>
      </c>
      <c r="F261" s="417" t="s">
        <v>36</v>
      </c>
      <c r="G261" s="417" t="s">
        <v>37</v>
      </c>
      <c r="H261" s="417" t="s">
        <v>184</v>
      </c>
      <c r="I261" s="417" t="s">
        <v>182</v>
      </c>
      <c r="J261" s="417" t="s">
        <v>183</v>
      </c>
      <c r="K261" s="376" t="s">
        <v>41</v>
      </c>
      <c r="AA261" s="908"/>
      <c r="AB261" s="1266"/>
      <c r="AC261" s="908"/>
    </row>
    <row r="262" spans="3:29" x14ac:dyDescent="0.2">
      <c r="C262" s="91" t="s">
        <v>30</v>
      </c>
      <c r="D262" s="663"/>
      <c r="E262" s="663"/>
      <c r="F262" s="92"/>
      <c r="G262" s="92"/>
      <c r="H262" s="92"/>
      <c r="I262" s="92"/>
      <c r="J262" s="92"/>
      <c r="K262" s="236"/>
      <c r="AA262" s="908"/>
      <c r="AB262" s="1266"/>
      <c r="AC262" s="908"/>
    </row>
    <row r="263" spans="3:29" x14ac:dyDescent="0.2">
      <c r="C263" s="186">
        <v>2005</v>
      </c>
      <c r="D263" s="65">
        <v>1506679.0199999998</v>
      </c>
      <c r="E263" s="617"/>
      <c r="F263" s="65">
        <v>1506679.0199999998</v>
      </c>
      <c r="G263" s="220">
        <v>0</v>
      </c>
      <c r="H263" s="220">
        <v>2181.5</v>
      </c>
      <c r="I263" s="418">
        <v>0</v>
      </c>
      <c r="J263" s="421">
        <v>0</v>
      </c>
      <c r="K263" s="382">
        <v>0</v>
      </c>
      <c r="AA263" s="908"/>
      <c r="AB263" s="1266"/>
      <c r="AC263" s="908"/>
    </row>
    <row r="264" spans="3:29" x14ac:dyDescent="0.2">
      <c r="C264" s="186">
        <v>2006</v>
      </c>
      <c r="D264" s="65">
        <v>1581464.98</v>
      </c>
      <c r="E264" s="617"/>
      <c r="F264" s="65">
        <v>1581464.98</v>
      </c>
      <c r="G264" s="220">
        <v>0</v>
      </c>
      <c r="H264" s="220">
        <v>2259.5</v>
      </c>
      <c r="I264" s="418">
        <v>0</v>
      </c>
      <c r="J264" s="421">
        <v>0</v>
      </c>
      <c r="K264" s="382">
        <v>0</v>
      </c>
      <c r="AA264" s="908"/>
      <c r="AB264" s="1266"/>
      <c r="AC264" s="908"/>
    </row>
    <row r="265" spans="3:29" x14ac:dyDescent="0.2">
      <c r="C265" s="186">
        <v>2007</v>
      </c>
      <c r="D265" s="65">
        <v>1649562.9100000001</v>
      </c>
      <c r="E265" s="617"/>
      <c r="F265" s="65">
        <v>1649562.9100000001</v>
      </c>
      <c r="G265" s="220">
        <v>0</v>
      </c>
      <c r="H265" s="220">
        <v>2340</v>
      </c>
      <c r="I265" s="418">
        <v>0</v>
      </c>
      <c r="J265" s="421">
        <v>0</v>
      </c>
      <c r="K265" s="382">
        <v>0</v>
      </c>
      <c r="AA265" s="908"/>
      <c r="AB265" s="1266"/>
      <c r="AC265" s="908"/>
    </row>
    <row r="266" spans="3:29" x14ac:dyDescent="0.2">
      <c r="C266" s="186">
        <v>2008</v>
      </c>
      <c r="D266" s="65">
        <v>1743399.895</v>
      </c>
      <c r="E266" s="617"/>
      <c r="F266" s="65">
        <v>1743399.895</v>
      </c>
      <c r="G266" s="220">
        <v>0</v>
      </c>
      <c r="H266" s="220">
        <v>2421.5</v>
      </c>
      <c r="I266" s="418">
        <v>0</v>
      </c>
      <c r="J266" s="421">
        <v>0</v>
      </c>
      <c r="K266" s="382">
        <v>0</v>
      </c>
      <c r="AA266" s="908"/>
      <c r="AB266" s="1266"/>
      <c r="AC266" s="908"/>
    </row>
    <row r="267" spans="3:29" x14ac:dyDescent="0.2">
      <c r="C267" s="186">
        <v>2009</v>
      </c>
      <c r="D267" s="65">
        <v>1723126.175</v>
      </c>
      <c r="E267" s="617"/>
      <c r="F267" s="65">
        <v>1723126.175</v>
      </c>
      <c r="G267" s="220">
        <v>4962.5399999999991</v>
      </c>
      <c r="H267" s="220">
        <v>2473</v>
      </c>
      <c r="I267" s="418">
        <v>696.7756469874646</v>
      </c>
      <c r="J267" s="421">
        <v>2.0066882329154869</v>
      </c>
      <c r="K267" s="382">
        <v>2.8799632156942881E-3</v>
      </c>
      <c r="AA267" s="908"/>
      <c r="AB267" s="1266"/>
      <c r="AC267" s="908"/>
    </row>
    <row r="268" spans="3:29" x14ac:dyDescent="0.2">
      <c r="C268" s="186">
        <v>2010</v>
      </c>
      <c r="D268" s="65">
        <v>1736181.47</v>
      </c>
      <c r="E268" s="617"/>
      <c r="F268" s="65">
        <v>1736181.47</v>
      </c>
      <c r="G268" s="220">
        <v>4976.3099999999995</v>
      </c>
      <c r="H268" s="220">
        <v>2483</v>
      </c>
      <c r="I268" s="418">
        <v>699.22733387031815</v>
      </c>
      <c r="J268" s="421">
        <v>2.0041522351993555</v>
      </c>
      <c r="K268" s="382">
        <v>2.8662384007588789E-3</v>
      </c>
      <c r="AA268" s="908"/>
      <c r="AB268" s="1266"/>
      <c r="AC268" s="908"/>
    </row>
    <row r="269" spans="3:29" x14ac:dyDescent="0.2">
      <c r="C269" s="186">
        <v>2011</v>
      </c>
      <c r="D269" s="65">
        <v>1695783</v>
      </c>
      <c r="E269" s="617"/>
      <c r="F269" s="65">
        <v>1695783</v>
      </c>
      <c r="G269" s="220">
        <v>5014.5</v>
      </c>
      <c r="H269" s="220">
        <v>2493.5</v>
      </c>
      <c r="I269" s="418">
        <v>680.08141167034285</v>
      </c>
      <c r="J269" s="421">
        <v>2.0110286745538399</v>
      </c>
      <c r="K269" s="382">
        <v>2.9570410836763901E-3</v>
      </c>
      <c r="AA269" s="908"/>
      <c r="AB269" s="1266"/>
      <c r="AC269" s="908"/>
    </row>
    <row r="270" spans="3:29" x14ac:dyDescent="0.2">
      <c r="C270" s="186">
        <v>2012</v>
      </c>
      <c r="D270" s="65">
        <v>1731441.9339870713</v>
      </c>
      <c r="E270" s="617"/>
      <c r="F270" s="65">
        <v>1731441.9339870713</v>
      </c>
      <c r="G270" s="220">
        <v>5202.74</v>
      </c>
      <c r="H270" s="220">
        <v>2588</v>
      </c>
      <c r="I270" s="418">
        <v>669.02702240613269</v>
      </c>
      <c r="J270" s="421">
        <v>2.0103323029366305</v>
      </c>
      <c r="K270" s="382">
        <v>3.0048596478308748E-3</v>
      </c>
      <c r="AA270" s="908"/>
      <c r="AB270" s="1266"/>
      <c r="AC270" s="908"/>
    </row>
    <row r="271" spans="3:29" x14ac:dyDescent="0.2">
      <c r="C271" s="186">
        <v>2013</v>
      </c>
      <c r="D271" s="65">
        <v>1796174.3293246992</v>
      </c>
      <c r="E271" s="617"/>
      <c r="F271" s="65">
        <v>1796174.3293246992</v>
      </c>
      <c r="G271" s="220">
        <v>5310.59</v>
      </c>
      <c r="H271" s="220">
        <v>2693.5</v>
      </c>
      <c r="I271" s="418">
        <v>666.85514361414494</v>
      </c>
      <c r="J271" s="421">
        <v>1.9716317059587898</v>
      </c>
      <c r="K271" s="382">
        <v>2.9566116792219175E-3</v>
      </c>
      <c r="AA271" s="908"/>
      <c r="AB271" s="1266"/>
      <c r="AC271" s="908"/>
    </row>
    <row r="272" spans="3:29" x14ac:dyDescent="0.2">
      <c r="C272" s="186">
        <v>2014</v>
      </c>
      <c r="D272" s="65">
        <v>1834663.3857539315</v>
      </c>
      <c r="E272" s="617"/>
      <c r="F272" s="65">
        <v>1834663.3857539315</v>
      </c>
      <c r="G272" s="220">
        <v>5426.1900000000014</v>
      </c>
      <c r="H272" s="220">
        <v>2738</v>
      </c>
      <c r="I272" s="418">
        <v>670.07428259822188</v>
      </c>
      <c r="J272" s="421">
        <v>1.9818078889700517</v>
      </c>
      <c r="K272" s="382">
        <v>2.9575943151937804E-3</v>
      </c>
      <c r="AA272" s="908"/>
      <c r="AB272" s="1266"/>
      <c r="AC272" s="908"/>
    </row>
    <row r="273" spans="3:29" x14ac:dyDescent="0.2">
      <c r="C273" s="186" t="s">
        <v>81</v>
      </c>
      <c r="D273" s="1070">
        <v>1866113.1506940115</v>
      </c>
      <c r="E273" s="617"/>
      <c r="F273" s="65">
        <v>1866113.1506940115</v>
      </c>
      <c r="G273" s="1070">
        <v>5502.1768225941505</v>
      </c>
      <c r="H273" s="220">
        <v>2794.3146603862924</v>
      </c>
      <c r="I273" s="418">
        <v>667.82498662338753</v>
      </c>
      <c r="J273" s="421">
        <v>1.9690612874047324</v>
      </c>
      <c r="K273" s="80"/>
      <c r="AA273" s="908"/>
      <c r="AB273" s="1266"/>
      <c r="AC273" s="908"/>
    </row>
    <row r="274" spans="3:29" x14ac:dyDescent="0.2">
      <c r="C274" s="186" t="s">
        <v>241</v>
      </c>
      <c r="D274" s="1070">
        <v>1898102.0269078359</v>
      </c>
      <c r="E274" s="617"/>
      <c r="F274" s="65">
        <v>1898102.0269078359</v>
      </c>
      <c r="G274" s="1070">
        <v>5596.4950332659309</v>
      </c>
      <c r="H274" s="220">
        <v>2851.7875899378237</v>
      </c>
      <c r="I274" s="418">
        <v>665.58324105380495</v>
      </c>
      <c r="J274" s="421">
        <v>1.9624515700301328</v>
      </c>
      <c r="K274" s="80"/>
      <c r="AA274" s="908"/>
      <c r="AB274" s="1266"/>
      <c r="AC274" s="908"/>
    </row>
    <row r="275" spans="3:29" x14ac:dyDescent="0.2">
      <c r="C275" s="69"/>
      <c r="D275" s="664"/>
      <c r="E275" s="664"/>
      <c r="F275" s="1070"/>
      <c r="G275" s="1070"/>
      <c r="H275" s="1070"/>
      <c r="I275" s="1070"/>
      <c r="J275" s="1070"/>
      <c r="K275" s="236"/>
      <c r="AA275" s="908"/>
      <c r="AB275" s="1266"/>
      <c r="AC275" s="908"/>
    </row>
    <row r="276" spans="3:29" x14ac:dyDescent="0.2">
      <c r="C276" s="230" t="s">
        <v>160</v>
      </c>
      <c r="D276" s="665" t="s">
        <v>388</v>
      </c>
      <c r="E276" s="670"/>
      <c r="F276" s="1063">
        <v>5</v>
      </c>
      <c r="G276" s="185"/>
      <c r="H276" s="185"/>
      <c r="I276" s="377">
        <v>677.05303883183217</v>
      </c>
      <c r="J276" s="424">
        <v>1.9957905615237332</v>
      </c>
      <c r="K276" s="187">
        <v>2.948469025336368E-3</v>
      </c>
      <c r="AA276" s="908"/>
      <c r="AB276" s="1266"/>
      <c r="AC276" s="908"/>
    </row>
    <row r="277" spans="3:29" ht="13.5" thickBot="1" x14ac:dyDescent="0.25">
      <c r="C277" s="89"/>
      <c r="D277" s="643"/>
      <c r="E277" s="643"/>
      <c r="F277" s="90"/>
      <c r="G277" s="90"/>
      <c r="H277" s="90"/>
      <c r="I277" s="90"/>
      <c r="J277" s="90"/>
      <c r="K277" s="190"/>
      <c r="AA277" s="908"/>
      <c r="AB277" s="1266"/>
      <c r="AC277" s="908"/>
    </row>
    <row r="278" spans="3:29" x14ac:dyDescent="0.2">
      <c r="AA278" s="908"/>
      <c r="AB278" s="1266"/>
      <c r="AC278" s="908"/>
    </row>
    <row r="279" spans="3:29" x14ac:dyDescent="0.2">
      <c r="AA279" s="908"/>
      <c r="AB279" s="1266"/>
      <c r="AC279" s="908"/>
    </row>
    <row r="280" spans="3:29" x14ac:dyDescent="0.2">
      <c r="AA280" s="908"/>
      <c r="AB280" s="1266"/>
      <c r="AC280" s="908"/>
    </row>
    <row r="281" spans="3:29" x14ac:dyDescent="0.2">
      <c r="AA281" s="908"/>
      <c r="AB281" s="1266"/>
      <c r="AC281" s="908"/>
    </row>
    <row r="282" spans="3:29" x14ac:dyDescent="0.2">
      <c r="AA282" s="908"/>
      <c r="AB282" s="1266"/>
      <c r="AC282" s="908"/>
    </row>
    <row r="283" spans="3:29" x14ac:dyDescent="0.2">
      <c r="AA283" s="908"/>
      <c r="AB283" s="1266"/>
      <c r="AC283" s="908"/>
    </row>
    <row r="284" spans="3:29" x14ac:dyDescent="0.2">
      <c r="AA284" s="908"/>
      <c r="AB284" s="1266"/>
      <c r="AC284" s="908"/>
    </row>
    <row r="285" spans="3:29" x14ac:dyDescent="0.2">
      <c r="AA285" s="908"/>
      <c r="AB285" s="1266"/>
      <c r="AC285" s="908"/>
    </row>
    <row r="286" spans="3:29" x14ac:dyDescent="0.2">
      <c r="AA286" s="908"/>
      <c r="AB286" s="1266"/>
      <c r="AC286" s="908"/>
    </row>
    <row r="287" spans="3:29" x14ac:dyDescent="0.2">
      <c r="AA287" s="908"/>
      <c r="AB287" s="1266"/>
      <c r="AC287" s="908"/>
    </row>
    <row r="288" spans="3:29" x14ac:dyDescent="0.2">
      <c r="AA288" s="908"/>
      <c r="AB288" s="1266"/>
      <c r="AC288" s="908"/>
    </row>
    <row r="289" spans="27:29" x14ac:dyDescent="0.2">
      <c r="AA289" s="908"/>
      <c r="AB289" s="1266"/>
      <c r="AC289" s="908"/>
    </row>
    <row r="290" spans="27:29" x14ac:dyDescent="0.2">
      <c r="AA290" s="908"/>
      <c r="AB290" s="1266"/>
      <c r="AC290" s="908"/>
    </row>
    <row r="291" spans="27:29" x14ac:dyDescent="0.2">
      <c r="AA291" s="908"/>
      <c r="AB291" s="1266"/>
      <c r="AC291" s="908"/>
    </row>
    <row r="292" spans="27:29" x14ac:dyDescent="0.2">
      <c r="AA292" s="908"/>
      <c r="AB292" s="1266"/>
      <c r="AC292" s="908"/>
    </row>
    <row r="293" spans="27:29" x14ac:dyDescent="0.2">
      <c r="AA293" s="908"/>
      <c r="AB293" s="1266"/>
      <c r="AC293" s="908"/>
    </row>
    <row r="294" spans="27:29" x14ac:dyDescent="0.2">
      <c r="AA294" s="908"/>
      <c r="AB294" s="1266"/>
      <c r="AC294" s="908"/>
    </row>
    <row r="295" spans="27:29" x14ac:dyDescent="0.2">
      <c r="AA295" s="908"/>
      <c r="AB295" s="1266"/>
      <c r="AC295" s="908"/>
    </row>
    <row r="296" spans="27:29" x14ac:dyDescent="0.2">
      <c r="AA296" s="908"/>
      <c r="AB296" s="1266"/>
      <c r="AC296" s="908"/>
    </row>
    <row r="297" spans="27:29" x14ac:dyDescent="0.2">
      <c r="AA297" s="908"/>
      <c r="AB297" s="1266"/>
      <c r="AC297" s="908"/>
    </row>
    <row r="298" spans="27:29" x14ac:dyDescent="0.2">
      <c r="AA298" s="908"/>
      <c r="AB298" s="1266"/>
      <c r="AC298" s="908"/>
    </row>
    <row r="299" spans="27:29" x14ac:dyDescent="0.2">
      <c r="AA299" s="908"/>
      <c r="AB299" s="1266"/>
      <c r="AC299" s="908"/>
    </row>
    <row r="300" spans="27:29" x14ac:dyDescent="0.2">
      <c r="AA300" s="908"/>
      <c r="AB300" s="1266"/>
      <c r="AC300" s="908"/>
    </row>
    <row r="301" spans="27:29" x14ac:dyDescent="0.2">
      <c r="AA301" s="908"/>
      <c r="AB301" s="1266"/>
      <c r="AC301" s="908"/>
    </row>
    <row r="302" spans="27:29" x14ac:dyDescent="0.2">
      <c r="AA302" s="908"/>
      <c r="AB302" s="1266"/>
      <c r="AC302" s="908"/>
    </row>
    <row r="303" spans="27:29" x14ac:dyDescent="0.2">
      <c r="AA303" s="908"/>
      <c r="AB303" s="1266"/>
      <c r="AC303" s="908"/>
    </row>
    <row r="304" spans="27:29" x14ac:dyDescent="0.2">
      <c r="AA304" s="908"/>
      <c r="AB304" s="1266"/>
      <c r="AC304" s="908"/>
    </row>
    <row r="305" spans="27:29" x14ac:dyDescent="0.2">
      <c r="AA305" s="908"/>
      <c r="AB305" s="1266"/>
      <c r="AC305" s="908"/>
    </row>
    <row r="306" spans="27:29" x14ac:dyDescent="0.2">
      <c r="AA306" s="908"/>
      <c r="AB306" s="1266"/>
      <c r="AC306" s="908"/>
    </row>
    <row r="307" spans="27:29" x14ac:dyDescent="0.2">
      <c r="AA307" s="908"/>
      <c r="AB307" s="1266"/>
      <c r="AC307" s="908"/>
    </row>
    <row r="308" spans="27:29" x14ac:dyDescent="0.2">
      <c r="AA308" s="908"/>
      <c r="AB308" s="1266"/>
      <c r="AC308" s="908"/>
    </row>
    <row r="309" spans="27:29" x14ac:dyDescent="0.2">
      <c r="AA309" s="908"/>
      <c r="AB309" s="1266"/>
      <c r="AC309" s="908"/>
    </row>
    <row r="310" spans="27:29" x14ac:dyDescent="0.2">
      <c r="AA310" s="908"/>
      <c r="AB310" s="1266"/>
      <c r="AC310" s="908"/>
    </row>
    <row r="311" spans="27:29" x14ac:dyDescent="0.2">
      <c r="AA311" s="908"/>
      <c r="AB311" s="1266"/>
      <c r="AC311" s="908"/>
    </row>
    <row r="312" spans="27:29" x14ac:dyDescent="0.2">
      <c r="AA312" s="908"/>
      <c r="AB312" s="1266"/>
      <c r="AC312" s="908"/>
    </row>
    <row r="313" spans="27:29" x14ac:dyDescent="0.2">
      <c r="AA313" s="908"/>
      <c r="AB313" s="1266"/>
      <c r="AC313" s="908"/>
    </row>
    <row r="314" spans="27:29" x14ac:dyDescent="0.2">
      <c r="AA314" s="908"/>
      <c r="AB314" s="1266"/>
      <c r="AC314" s="908"/>
    </row>
    <row r="315" spans="27:29" x14ac:dyDescent="0.2">
      <c r="AA315" s="908"/>
      <c r="AB315" s="908"/>
      <c r="AC315" s="908"/>
    </row>
    <row r="316" spans="27:29" x14ac:dyDescent="0.2">
      <c r="AA316" s="908"/>
      <c r="AB316" s="908"/>
      <c r="AC316" s="908"/>
    </row>
    <row r="317" spans="27:29" x14ac:dyDescent="0.2">
      <c r="AA317" s="908"/>
      <c r="AB317" s="908"/>
      <c r="AC317" s="908"/>
    </row>
    <row r="318" spans="27:29" x14ac:dyDescent="0.2">
      <c r="AA318" s="908"/>
      <c r="AB318" s="908"/>
      <c r="AC318" s="908"/>
    </row>
    <row r="319" spans="27:29" x14ac:dyDescent="0.2">
      <c r="AA319" s="908"/>
      <c r="AB319" s="908"/>
      <c r="AC319" s="908"/>
    </row>
    <row r="320" spans="27:29" x14ac:dyDescent="0.2">
      <c r="AA320" s="908"/>
      <c r="AB320" s="908"/>
      <c r="AC320" s="908"/>
    </row>
    <row r="321" spans="27:29" x14ac:dyDescent="0.2">
      <c r="AA321" s="908"/>
      <c r="AB321" s="908"/>
      <c r="AC321" s="908"/>
    </row>
    <row r="322" spans="27:29" x14ac:dyDescent="0.2">
      <c r="AA322" s="908"/>
      <c r="AB322" s="908"/>
      <c r="AC322" s="908"/>
    </row>
    <row r="323" spans="27:29" x14ac:dyDescent="0.2">
      <c r="AA323" s="908"/>
      <c r="AB323" s="908"/>
      <c r="AC323" s="908"/>
    </row>
    <row r="324" spans="27:29" x14ac:dyDescent="0.2">
      <c r="AA324" s="908"/>
      <c r="AB324" s="908"/>
      <c r="AC324" s="908"/>
    </row>
    <row r="325" spans="27:29" x14ac:dyDescent="0.2">
      <c r="AA325" s="908"/>
      <c r="AB325" s="908"/>
      <c r="AC325" s="908"/>
    </row>
    <row r="326" spans="27:29" x14ac:dyDescent="0.2">
      <c r="AA326" s="908"/>
      <c r="AB326" s="908"/>
      <c r="AC326" s="908"/>
    </row>
    <row r="327" spans="27:29" x14ac:dyDescent="0.2">
      <c r="AA327" s="908"/>
      <c r="AB327" s="908"/>
      <c r="AC327" s="908"/>
    </row>
    <row r="328" spans="27:29" x14ac:dyDescent="0.2">
      <c r="AA328" s="908"/>
      <c r="AB328" s="908"/>
      <c r="AC328" s="908"/>
    </row>
    <row r="329" spans="27:29" x14ac:dyDescent="0.2">
      <c r="AA329" s="908"/>
      <c r="AB329" s="908"/>
      <c r="AC329" s="908"/>
    </row>
    <row r="330" spans="27:29" x14ac:dyDescent="0.2">
      <c r="AA330" s="908"/>
      <c r="AB330" s="908"/>
      <c r="AC330" s="908"/>
    </row>
    <row r="331" spans="27:29" x14ac:dyDescent="0.2">
      <c r="AA331" s="908"/>
      <c r="AB331" s="908"/>
      <c r="AC331" s="908"/>
    </row>
    <row r="332" spans="27:29" x14ac:dyDescent="0.2">
      <c r="AA332" s="908"/>
      <c r="AB332" s="908"/>
      <c r="AC332" s="908"/>
    </row>
    <row r="333" spans="27:29" x14ac:dyDescent="0.2">
      <c r="AA333" s="908"/>
      <c r="AB333" s="908"/>
      <c r="AC333" s="908"/>
    </row>
    <row r="334" spans="27:29" x14ac:dyDescent="0.2">
      <c r="AA334" s="908"/>
      <c r="AB334" s="908"/>
      <c r="AC334" s="908"/>
    </row>
    <row r="335" spans="27:29" x14ac:dyDescent="0.2">
      <c r="AA335" s="908"/>
      <c r="AB335" s="908"/>
      <c r="AC335" s="908"/>
    </row>
    <row r="336" spans="27:29" x14ac:dyDescent="0.2">
      <c r="AA336" s="908"/>
      <c r="AB336" s="908"/>
      <c r="AC336" s="908"/>
    </row>
    <row r="337" spans="27:29" x14ac:dyDescent="0.2">
      <c r="AA337" s="908"/>
      <c r="AB337" s="908"/>
      <c r="AC337" s="908"/>
    </row>
    <row r="338" spans="27:29" x14ac:dyDescent="0.2">
      <c r="AA338">
        <v>252</v>
      </c>
      <c r="AC338" t="e">
        <f t="shared" ref="AC338" si="14">ROUND(TREND($AB$87:$AB$314,$AA$87:$AA$314,AA338),1)</f>
        <v>#VALUE!</v>
      </c>
    </row>
  </sheetData>
  <mergeCells count="30">
    <mergeCell ref="C260:K260"/>
    <mergeCell ref="DU16:DU17"/>
    <mergeCell ref="DU20:DU21"/>
    <mergeCell ref="C175:I175"/>
    <mergeCell ref="C191:I191"/>
    <mergeCell ref="C206:I206"/>
    <mergeCell ref="C223:K223"/>
    <mergeCell ref="C242:K242"/>
    <mergeCell ref="T36:U36"/>
    <mergeCell ref="V36:W36"/>
    <mergeCell ref="D36:E36"/>
    <mergeCell ref="F36:G36"/>
    <mergeCell ref="H36:I36"/>
    <mergeCell ref="J36:K36"/>
    <mergeCell ref="L36:M36"/>
    <mergeCell ref="C55:C56"/>
    <mergeCell ref="T2:U2"/>
    <mergeCell ref="V2:W2"/>
    <mergeCell ref="D2:E2"/>
    <mergeCell ref="F2:G2"/>
    <mergeCell ref="H2:I2"/>
    <mergeCell ref="J2:K2"/>
    <mergeCell ref="L2:M2"/>
    <mergeCell ref="N2:O2"/>
    <mergeCell ref="C70:C71"/>
    <mergeCell ref="N36:O36"/>
    <mergeCell ref="P36:Q36"/>
    <mergeCell ref="R36:S36"/>
    <mergeCell ref="P2:Q2"/>
    <mergeCell ref="R2:S2"/>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showGridLines="0" workbookViewId="0"/>
  </sheetViews>
  <sheetFormatPr defaultRowHeight="14.25" x14ac:dyDescent="0.2"/>
  <cols>
    <col min="1" max="1" width="3" style="847" customWidth="1"/>
    <col min="2" max="2" width="36.83203125" style="847" customWidth="1"/>
    <col min="3" max="3" width="14" style="847" customWidth="1"/>
    <col min="4" max="5" width="19.6640625" style="847" customWidth="1"/>
    <col min="6" max="6" width="28.5" style="847" customWidth="1"/>
    <col min="7" max="7" width="25.1640625" style="847" customWidth="1"/>
    <col min="8" max="8" width="15.83203125" style="847" customWidth="1"/>
    <col min="9" max="9" width="14.6640625" style="847" bestFit="1" customWidth="1"/>
    <col min="10" max="10" width="18.5" style="847" bestFit="1" customWidth="1"/>
    <col min="11" max="11" width="19.5" style="847" customWidth="1"/>
    <col min="12" max="12" width="19.83203125" style="847" bestFit="1" customWidth="1"/>
    <col min="13" max="13" width="35.83203125" style="847" bestFit="1" customWidth="1"/>
    <col min="14" max="14" width="22" style="847" bestFit="1" customWidth="1"/>
    <col min="15" max="15" width="36.33203125" style="847" bestFit="1" customWidth="1"/>
    <col min="16" max="16" width="78.33203125" style="847" customWidth="1"/>
    <col min="17" max="17" width="14.6640625" style="847" customWidth="1"/>
    <col min="18" max="19" width="14.5" style="847" bestFit="1" customWidth="1"/>
    <col min="20" max="20" width="13.6640625" style="847" customWidth="1"/>
    <col min="21" max="16384" width="9.33203125" style="847"/>
  </cols>
  <sheetData>
    <row r="1" spans="1:17" ht="15" thickBot="1" x14ac:dyDescent="0.25"/>
    <row r="2" spans="1:17" ht="45.75" thickBot="1" x14ac:dyDescent="0.3">
      <c r="A2" s="1"/>
      <c r="B2" s="1193" t="s">
        <v>699</v>
      </c>
      <c r="C2" s="1183" t="s">
        <v>6</v>
      </c>
      <c r="D2" s="1184" t="s">
        <v>94</v>
      </c>
      <c r="E2" s="1184" t="s">
        <v>99</v>
      </c>
      <c r="F2" s="1184" t="s">
        <v>700</v>
      </c>
      <c r="G2" s="1184" t="s">
        <v>701</v>
      </c>
      <c r="H2" s="1191" t="s">
        <v>98</v>
      </c>
      <c r="I2" s="51"/>
      <c r="J2" s="51"/>
      <c r="K2" s="51"/>
      <c r="L2" s="139"/>
      <c r="M2" s="139"/>
      <c r="N2" s="139"/>
      <c r="O2" s="51"/>
      <c r="P2" s="1"/>
      <c r="Q2" s="1"/>
    </row>
    <row r="3" spans="1:17" x14ac:dyDescent="0.2">
      <c r="A3" s="1"/>
      <c r="B3" s="1192">
        <v>2015</v>
      </c>
      <c r="C3" s="1194">
        <v>7343</v>
      </c>
      <c r="D3" s="1194">
        <v>22695</v>
      </c>
      <c r="E3" s="1194">
        <v>5810</v>
      </c>
      <c r="F3" s="1194">
        <v>475931</v>
      </c>
      <c r="G3" s="1194">
        <v>4042656</v>
      </c>
      <c r="H3" s="1194">
        <v>668</v>
      </c>
      <c r="I3" s="51"/>
      <c r="J3" s="51"/>
      <c r="K3" s="51"/>
      <c r="L3" s="139"/>
      <c r="M3" s="139"/>
      <c r="N3" s="139"/>
      <c r="O3" s="51"/>
      <c r="P3" s="1"/>
      <c r="Q3" s="1"/>
    </row>
    <row r="4" spans="1:17" x14ac:dyDescent="0.2">
      <c r="B4" s="923">
        <v>2016</v>
      </c>
      <c r="C4" s="1194">
        <v>7288.6220201526094</v>
      </c>
      <c r="D4" s="1194">
        <v>23034.419694721466</v>
      </c>
      <c r="E4" s="1194">
        <v>5525.547615400772</v>
      </c>
      <c r="F4" s="1194">
        <v>464899.20939086255</v>
      </c>
      <c r="G4" s="1194">
        <v>4022014.2947441181</v>
      </c>
      <c r="H4" s="1194">
        <v>665.58324105380495</v>
      </c>
      <c r="I4" s="910"/>
    </row>
    <row r="5" spans="1:17" ht="15" thickBot="1" x14ac:dyDescent="0.25">
      <c r="C5" s="910"/>
      <c r="D5" s="910"/>
      <c r="E5" s="910"/>
      <c r="F5" s="910"/>
      <c r="G5" s="910"/>
      <c r="H5" s="910"/>
      <c r="I5" s="910"/>
    </row>
    <row r="6" spans="1:17" ht="48.75" customHeight="1" thickBot="1" x14ac:dyDescent="0.3">
      <c r="B6" s="1193" t="s">
        <v>696</v>
      </c>
      <c r="C6" s="1183" t="s">
        <v>6</v>
      </c>
      <c r="D6" s="1184" t="s">
        <v>94</v>
      </c>
      <c r="E6" s="1184" t="s">
        <v>99</v>
      </c>
      <c r="F6" s="1184" t="s">
        <v>700</v>
      </c>
      <c r="G6" s="1184" t="s">
        <v>701</v>
      </c>
      <c r="H6" s="1185" t="s">
        <v>98</v>
      </c>
      <c r="I6" s="1186" t="s">
        <v>16</v>
      </c>
    </row>
    <row r="7" spans="1:17" x14ac:dyDescent="0.2">
      <c r="B7" s="923">
        <v>2015</v>
      </c>
      <c r="C7" s="1194">
        <v>90532243.150116384</v>
      </c>
      <c r="D7" s="1194">
        <v>17838422.85831365</v>
      </c>
      <c r="E7" s="1194">
        <v>238220.87992424573</v>
      </c>
      <c r="F7" s="1194">
        <v>17769802.734277051</v>
      </c>
      <c r="G7" s="1194">
        <v>4042655.9242771496</v>
      </c>
      <c r="H7" s="1194">
        <v>1866113.1506940115</v>
      </c>
      <c r="I7" s="944">
        <v>132287458.69760251</v>
      </c>
    </row>
    <row r="8" spans="1:17" x14ac:dyDescent="0.2">
      <c r="B8" s="916">
        <v>2016</v>
      </c>
      <c r="C8" s="1195">
        <v>91698153.635539979</v>
      </c>
      <c r="D8" s="1195">
        <v>18174157.139135238</v>
      </c>
      <c r="E8" s="1195">
        <v>226547.45223143164</v>
      </c>
      <c r="F8" s="1195">
        <v>18002540.922345467</v>
      </c>
      <c r="G8" s="1195">
        <v>4022014.2947441181</v>
      </c>
      <c r="H8" s="1195">
        <v>1898102.0269078359</v>
      </c>
      <c r="I8" s="938">
        <v>134021515.47090407</v>
      </c>
    </row>
    <row r="9" spans="1:17" ht="15" thickBot="1" x14ac:dyDescent="0.25">
      <c r="B9" s="942"/>
      <c r="C9" s="934"/>
      <c r="D9" s="934"/>
      <c r="E9" s="934"/>
      <c r="F9" s="934"/>
      <c r="G9" s="934"/>
      <c r="H9" s="910"/>
      <c r="I9" s="934"/>
    </row>
    <row r="10" spans="1:17" ht="15.75" customHeight="1" thickBot="1" x14ac:dyDescent="0.3">
      <c r="B10" s="1012" t="s">
        <v>697</v>
      </c>
      <c r="C10" s="1183" t="s">
        <v>6</v>
      </c>
      <c r="D10" s="1183" t="s">
        <v>94</v>
      </c>
      <c r="E10" s="1183" t="s">
        <v>99</v>
      </c>
      <c r="F10" s="1183" t="s">
        <v>700</v>
      </c>
      <c r="G10" s="1183" t="s">
        <v>701</v>
      </c>
      <c r="H10" s="1183" t="s">
        <v>98</v>
      </c>
      <c r="I10" s="1188" t="s">
        <v>16</v>
      </c>
    </row>
    <row r="11" spans="1:17" x14ac:dyDescent="0.2">
      <c r="B11" s="923">
        <v>2015</v>
      </c>
      <c r="C11" s="1187">
        <v>-336110.05620440416</v>
      </c>
      <c r="D11" s="1187">
        <v>-66226.938611959282</v>
      </c>
      <c r="E11" s="1187">
        <v>0</v>
      </c>
      <c r="F11" s="1187">
        <v>-61536.483334233642</v>
      </c>
      <c r="G11" s="1187">
        <v>-13999.639311158777</v>
      </c>
      <c r="H11" s="1187">
        <v>0</v>
      </c>
      <c r="I11" s="1187">
        <v>-477873.11746175587</v>
      </c>
    </row>
    <row r="12" spans="1:17" x14ac:dyDescent="0.2">
      <c r="B12" s="916">
        <v>2016</v>
      </c>
      <c r="C12" s="941">
        <v>43719.550912169354</v>
      </c>
      <c r="D12" s="941">
        <v>8665.0162171011798</v>
      </c>
      <c r="E12" s="941">
        <v>0</v>
      </c>
      <c r="F12" s="941">
        <v>8006.0951939596216</v>
      </c>
      <c r="G12" s="941">
        <v>1788.6713577870046</v>
      </c>
      <c r="H12" s="941">
        <v>0</v>
      </c>
      <c r="I12" s="941">
        <v>62179.33368101716</v>
      </c>
    </row>
    <row r="13" spans="1:17" ht="15" thickBot="1" x14ac:dyDescent="0.25">
      <c r="B13" s="942"/>
      <c r="C13" s="934"/>
      <c r="D13" s="934"/>
      <c r="E13" s="934"/>
      <c r="F13" s="934"/>
      <c r="G13" s="934"/>
      <c r="H13" s="910"/>
      <c r="I13" s="934"/>
    </row>
    <row r="14" spans="1:17" ht="48" customHeight="1" thickBot="1" x14ac:dyDescent="0.3">
      <c r="B14" s="1193" t="s">
        <v>698</v>
      </c>
      <c r="C14" s="1183" t="s">
        <v>6</v>
      </c>
      <c r="D14" s="1183" t="s">
        <v>94</v>
      </c>
      <c r="E14" s="1183" t="s">
        <v>99</v>
      </c>
      <c r="F14" s="1183" t="s">
        <v>700</v>
      </c>
      <c r="G14" s="1183" t="s">
        <v>701</v>
      </c>
      <c r="H14" s="1190" t="s">
        <v>98</v>
      </c>
      <c r="I14" s="1188" t="s">
        <v>16</v>
      </c>
    </row>
    <row r="15" spans="1:17" x14ac:dyDescent="0.2">
      <c r="B15" s="923">
        <v>2015</v>
      </c>
      <c r="C15" s="1189">
        <v>90196133.093911976</v>
      </c>
      <c r="D15" s="945">
        <v>17772195.919701692</v>
      </c>
      <c r="E15" s="945">
        <v>238220.87992424573</v>
      </c>
      <c r="F15" s="945">
        <v>17708266.250942819</v>
      </c>
      <c r="G15" s="945">
        <v>4028656.284965991</v>
      </c>
      <c r="H15" s="945">
        <v>1866113.1506940115</v>
      </c>
      <c r="I15" s="944">
        <v>131809585.58014074</v>
      </c>
    </row>
    <row r="16" spans="1:17" x14ac:dyDescent="0.2">
      <c r="B16" s="916">
        <v>2016</v>
      </c>
      <c r="C16" s="940">
        <v>91741873.18645215</v>
      </c>
      <c r="D16" s="940">
        <v>18182822.155352339</v>
      </c>
      <c r="E16" s="940">
        <v>226547.45223143164</v>
      </c>
      <c r="F16" s="940">
        <v>18010547.017539427</v>
      </c>
      <c r="G16" s="940">
        <v>4023802.9661019053</v>
      </c>
      <c r="H16" s="940">
        <v>1898102.0269078359</v>
      </c>
      <c r="I16" s="938">
        <v>134083694.80458508</v>
      </c>
    </row>
    <row r="17" spans="2:13" x14ac:dyDescent="0.2">
      <c r="B17" s="942"/>
      <c r="C17" s="910"/>
      <c r="D17" s="936"/>
      <c r="E17" s="910"/>
      <c r="F17" s="910"/>
      <c r="G17" s="910"/>
      <c r="I17" s="910"/>
    </row>
    <row r="19" spans="2:13" ht="15.75" x14ac:dyDescent="0.25">
      <c r="B19" s="748"/>
      <c r="C19" s="749"/>
      <c r="D19" s="749"/>
      <c r="E19" s="749"/>
      <c r="F19" s="749"/>
      <c r="G19" s="749"/>
      <c r="H19" s="749"/>
      <c r="I19" s="749"/>
      <c r="J19" s="749"/>
      <c r="K19" s="749"/>
      <c r="L19" s="749"/>
      <c r="M19" s="749"/>
    </row>
    <row r="20" spans="2:13" ht="15.75" x14ac:dyDescent="0.25">
      <c r="B20" s="748"/>
      <c r="C20" s="749"/>
      <c r="D20" s="749"/>
      <c r="E20" s="749"/>
      <c r="F20" s="749"/>
      <c r="G20" s="749"/>
      <c r="H20" s="749"/>
      <c r="I20" s="749"/>
      <c r="J20" s="749"/>
      <c r="K20" s="749"/>
      <c r="L20" s="749"/>
      <c r="M20" s="749"/>
    </row>
    <row r="21" spans="2:13" ht="15" x14ac:dyDescent="0.25">
      <c r="B21" s="1198"/>
      <c r="C21" s="763">
        <v>2006</v>
      </c>
      <c r="D21" s="763">
        <v>2007</v>
      </c>
      <c r="E21" s="763">
        <v>2008</v>
      </c>
      <c r="F21" s="763">
        <v>2009</v>
      </c>
      <c r="G21" s="763">
        <v>2010</v>
      </c>
      <c r="H21" s="763">
        <v>2011</v>
      </c>
      <c r="I21" s="763">
        <v>2012</v>
      </c>
      <c r="J21" s="763">
        <v>2013</v>
      </c>
      <c r="K21" s="763">
        <v>2014</v>
      </c>
      <c r="L21" s="763">
        <v>2015</v>
      </c>
      <c r="M21" s="763">
        <v>2016</v>
      </c>
    </row>
    <row r="22" spans="2:13" ht="15" x14ac:dyDescent="0.25">
      <c r="B22" s="751">
        <v>2006</v>
      </c>
      <c r="C22" s="757">
        <v>0</v>
      </c>
      <c r="D22" s="757">
        <v>0</v>
      </c>
      <c r="E22" s="757">
        <v>0</v>
      </c>
      <c r="F22" s="757">
        <v>0</v>
      </c>
      <c r="G22" s="757">
        <v>0</v>
      </c>
      <c r="H22" s="757">
        <v>0</v>
      </c>
      <c r="I22" s="757">
        <v>0</v>
      </c>
      <c r="J22" s="757">
        <v>0</v>
      </c>
      <c r="K22" s="757">
        <v>0</v>
      </c>
      <c r="L22" s="757">
        <v>0</v>
      </c>
      <c r="M22" s="757">
        <v>0</v>
      </c>
    </row>
    <row r="23" spans="2:13" ht="15" x14ac:dyDescent="0.25">
      <c r="B23" s="751">
        <v>2006</v>
      </c>
      <c r="C23" s="754">
        <v>688739.31666189851</v>
      </c>
      <c r="D23" s="754">
        <v>688739.31666189851</v>
      </c>
      <c r="E23" s="754">
        <v>688739.31666189851</v>
      </c>
      <c r="F23" s="754">
        <v>688739.31666189851</v>
      </c>
      <c r="G23" s="754">
        <v>119618.76885906832</v>
      </c>
      <c r="H23" s="754">
        <v>119618.76885906832</v>
      </c>
      <c r="I23" s="754">
        <v>109418.60659655998</v>
      </c>
      <c r="J23" s="754">
        <v>109418.60659655998</v>
      </c>
      <c r="K23" s="754">
        <v>102815.63946667474</v>
      </c>
      <c r="L23" s="754">
        <v>102815.63946667474</v>
      </c>
      <c r="M23" s="754">
        <v>97138.100420848816</v>
      </c>
    </row>
    <row r="24" spans="2:13" ht="15" x14ac:dyDescent="0.25">
      <c r="B24" s="751">
        <v>2006</v>
      </c>
      <c r="C24" s="757">
        <v>0</v>
      </c>
      <c r="D24" s="757">
        <v>0</v>
      </c>
      <c r="E24" s="757">
        <v>0</v>
      </c>
      <c r="F24" s="757">
        <v>0</v>
      </c>
      <c r="G24" s="757">
        <v>0</v>
      </c>
      <c r="H24" s="757">
        <v>0</v>
      </c>
      <c r="I24" s="757">
        <v>0</v>
      </c>
      <c r="J24" s="757">
        <v>0</v>
      </c>
      <c r="K24" s="757">
        <v>0</v>
      </c>
      <c r="L24" s="757">
        <v>0</v>
      </c>
      <c r="M24" s="757">
        <v>0</v>
      </c>
    </row>
    <row r="25" spans="2:13" ht="15" x14ac:dyDescent="0.25">
      <c r="B25" s="751">
        <v>2006</v>
      </c>
      <c r="C25" s="1199">
        <v>688739.31666189851</v>
      </c>
      <c r="D25" s="1199">
        <v>688739.31666189851</v>
      </c>
      <c r="E25" s="1199">
        <v>688739.31666189851</v>
      </c>
      <c r="F25" s="1199">
        <v>688739.31666189851</v>
      </c>
      <c r="G25" s="1199">
        <v>119618.76885906832</v>
      </c>
      <c r="H25" s="1199">
        <v>119618.76885906832</v>
      </c>
      <c r="I25" s="1199">
        <v>109418.60659655998</v>
      </c>
      <c r="J25" s="1199">
        <v>109418.60659655998</v>
      </c>
      <c r="K25" s="1199">
        <v>102815.63946667474</v>
      </c>
      <c r="L25" s="1199">
        <v>102815.63946667474</v>
      </c>
      <c r="M25" s="1199">
        <v>97138.100420848816</v>
      </c>
    </row>
    <row r="26" spans="2:13" ht="15" x14ac:dyDescent="0.25">
      <c r="B26" s="761"/>
      <c r="C26" s="1199">
        <v>0</v>
      </c>
      <c r="D26" s="1199">
        <v>0</v>
      </c>
      <c r="E26" s="1199">
        <v>0</v>
      </c>
      <c r="F26" s="1199">
        <v>0</v>
      </c>
      <c r="G26" s="1199">
        <v>0</v>
      </c>
      <c r="H26" s="1199">
        <v>0</v>
      </c>
      <c r="I26" s="1199">
        <v>0</v>
      </c>
      <c r="J26" s="1199">
        <v>0</v>
      </c>
      <c r="K26" s="1199">
        <v>0</v>
      </c>
      <c r="L26" s="1199">
        <v>0</v>
      </c>
      <c r="M26" s="1199">
        <v>0</v>
      </c>
    </row>
    <row r="27" spans="2:13" ht="15" x14ac:dyDescent="0.25">
      <c r="B27" s="751">
        <v>2007</v>
      </c>
      <c r="C27" s="1199">
        <v>0</v>
      </c>
      <c r="D27" s="1200">
        <v>756950.17010434438</v>
      </c>
      <c r="E27" s="1200">
        <v>418364.6263987862</v>
      </c>
      <c r="F27" s="1200">
        <v>376089.46273079357</v>
      </c>
      <c r="G27" s="1200">
        <v>376089.46273079357</v>
      </c>
      <c r="H27" s="1200">
        <v>376089.46273079357</v>
      </c>
      <c r="I27" s="1200">
        <v>365748.74444129132</v>
      </c>
      <c r="J27" s="1200">
        <v>365748.74444129132</v>
      </c>
      <c r="K27" s="1200">
        <v>365748.74444129132</v>
      </c>
      <c r="L27" s="1200">
        <v>132422.644114222</v>
      </c>
      <c r="M27" s="1200">
        <v>97627.029535485461</v>
      </c>
    </row>
    <row r="28" spans="2:13" ht="15" x14ac:dyDescent="0.25">
      <c r="B28" s="751">
        <v>2007</v>
      </c>
      <c r="C28" s="1199">
        <v>0</v>
      </c>
      <c r="D28" s="1199">
        <v>0</v>
      </c>
      <c r="E28" s="1199">
        <v>0</v>
      </c>
      <c r="F28" s="1199">
        <v>0</v>
      </c>
      <c r="G28" s="1199">
        <v>0</v>
      </c>
      <c r="H28" s="1199">
        <v>0</v>
      </c>
      <c r="I28" s="1199">
        <v>0</v>
      </c>
      <c r="J28" s="1199">
        <v>0</v>
      </c>
      <c r="K28" s="1199">
        <v>0</v>
      </c>
      <c r="L28" s="1199">
        <v>0</v>
      </c>
      <c r="M28" s="1199">
        <v>0</v>
      </c>
    </row>
    <row r="29" spans="2:13" ht="15" x14ac:dyDescent="0.25">
      <c r="B29" s="751">
        <v>2007</v>
      </c>
      <c r="C29" s="1199">
        <v>0</v>
      </c>
      <c r="D29" s="1199">
        <v>756950.17010434438</v>
      </c>
      <c r="E29" s="1199">
        <v>418364.6263987862</v>
      </c>
      <c r="F29" s="1199">
        <v>376089.46273079357</v>
      </c>
      <c r="G29" s="1199">
        <v>376089.46273079357</v>
      </c>
      <c r="H29" s="1199">
        <v>376089.46273079357</v>
      </c>
      <c r="I29" s="1199">
        <v>365748.74444129132</v>
      </c>
      <c r="J29" s="1199">
        <v>365748.74444129132</v>
      </c>
      <c r="K29" s="1199">
        <v>365748.74444129132</v>
      </c>
      <c r="L29" s="1199">
        <v>132422.644114222</v>
      </c>
      <c r="M29" s="1199">
        <v>97627.029535485461</v>
      </c>
    </row>
    <row r="30" spans="2:13" ht="15" x14ac:dyDescent="0.25">
      <c r="B30" s="764"/>
      <c r="C30" s="1199">
        <v>0</v>
      </c>
      <c r="D30" s="1199">
        <v>0</v>
      </c>
      <c r="E30" s="1199">
        <v>0</v>
      </c>
      <c r="F30" s="1199">
        <v>0</v>
      </c>
      <c r="G30" s="1199">
        <v>0</v>
      </c>
      <c r="H30" s="1199">
        <v>0</v>
      </c>
      <c r="I30" s="1199">
        <v>0</v>
      </c>
      <c r="J30" s="1199">
        <v>0</v>
      </c>
      <c r="K30" s="1199">
        <v>0</v>
      </c>
      <c r="L30" s="1199">
        <v>0</v>
      </c>
      <c r="M30" s="1199">
        <v>0</v>
      </c>
    </row>
    <row r="31" spans="2:13" ht="15" x14ac:dyDescent="0.25">
      <c r="B31" s="751">
        <v>2008</v>
      </c>
      <c r="C31" s="1199">
        <v>0</v>
      </c>
      <c r="D31" s="1199">
        <v>0</v>
      </c>
      <c r="E31" s="1200">
        <v>452437.27769635577</v>
      </c>
      <c r="F31" s="1200">
        <v>387503.60548779462</v>
      </c>
      <c r="G31" s="1200">
        <v>387503.60548779462</v>
      </c>
      <c r="H31" s="1200">
        <v>387503.60548779462</v>
      </c>
      <c r="I31" s="1200">
        <v>353524.87732645002</v>
      </c>
      <c r="J31" s="1200">
        <v>353418.49732645001</v>
      </c>
      <c r="K31" s="1200">
        <v>318146.34289457212</v>
      </c>
      <c r="L31" s="1200">
        <v>291795.05669042893</v>
      </c>
      <c r="M31" s="1200">
        <v>218102.0506077582</v>
      </c>
    </row>
    <row r="32" spans="2:13" ht="15" x14ac:dyDescent="0.25">
      <c r="B32" s="751">
        <v>2008</v>
      </c>
      <c r="C32" s="1199">
        <v>0</v>
      </c>
      <c r="D32" s="1199">
        <v>0</v>
      </c>
      <c r="E32" s="1199">
        <v>0</v>
      </c>
      <c r="F32" s="1199">
        <v>0</v>
      </c>
      <c r="G32" s="1199">
        <v>0</v>
      </c>
      <c r="H32" s="1199">
        <v>0</v>
      </c>
      <c r="I32" s="1199">
        <v>0</v>
      </c>
      <c r="J32" s="1199">
        <v>0</v>
      </c>
      <c r="K32" s="1199">
        <v>0</v>
      </c>
      <c r="L32" s="1199">
        <v>0</v>
      </c>
      <c r="M32" s="1199">
        <v>0</v>
      </c>
    </row>
    <row r="33" spans="2:19" ht="15" x14ac:dyDescent="0.25">
      <c r="B33" s="751">
        <v>2008</v>
      </c>
      <c r="C33" s="1199">
        <v>0</v>
      </c>
      <c r="D33" s="1199">
        <v>0</v>
      </c>
      <c r="E33" s="1199">
        <v>452437.27769635577</v>
      </c>
      <c r="F33" s="1199">
        <v>387503.60548779462</v>
      </c>
      <c r="G33" s="1199">
        <v>387503.60548779462</v>
      </c>
      <c r="H33" s="1199">
        <v>387503.60548779462</v>
      </c>
      <c r="I33" s="1199">
        <v>353524.87732645002</v>
      </c>
      <c r="J33" s="1199">
        <v>353418.49732645001</v>
      </c>
      <c r="K33" s="1199">
        <v>318146.34289457212</v>
      </c>
      <c r="L33" s="1199">
        <v>291795.05669042893</v>
      </c>
      <c r="M33" s="1199">
        <v>218102.0506077582</v>
      </c>
    </row>
    <row r="34" spans="2:19" ht="15" x14ac:dyDescent="0.25">
      <c r="B34" s="764"/>
      <c r="C34" s="1199">
        <v>0</v>
      </c>
      <c r="D34" s="1199">
        <v>0</v>
      </c>
      <c r="E34" s="1199">
        <v>0</v>
      </c>
      <c r="F34" s="1200">
        <v>476414.92224623403</v>
      </c>
      <c r="G34" s="1200">
        <v>446160.25089603936</v>
      </c>
      <c r="H34" s="1200">
        <v>446160.25089603936</v>
      </c>
      <c r="I34" s="1200">
        <v>446160.25089603936</v>
      </c>
      <c r="J34" s="1200">
        <v>446160.25089603936</v>
      </c>
      <c r="K34" s="1200">
        <v>446160.25089603936</v>
      </c>
      <c r="L34" s="1200">
        <v>446160.25089603936</v>
      </c>
      <c r="M34" s="1200">
        <v>446160.25089603936</v>
      </c>
    </row>
    <row r="35" spans="2:19" ht="15" x14ac:dyDescent="0.25">
      <c r="B35" s="751">
        <v>2009</v>
      </c>
      <c r="C35" s="1199">
        <v>0</v>
      </c>
      <c r="D35" s="1199">
        <v>0</v>
      </c>
      <c r="E35" s="1199">
        <v>0</v>
      </c>
      <c r="F35" s="1200">
        <v>216639.55504968471</v>
      </c>
      <c r="G35" s="1200">
        <v>213110.57093564054</v>
      </c>
      <c r="H35" s="1200">
        <v>213110.57093564054</v>
      </c>
      <c r="I35" s="1200">
        <v>212120.44479368522</v>
      </c>
      <c r="J35" s="1200">
        <v>197496.43238849312</v>
      </c>
      <c r="K35" s="1200">
        <v>125965.62739318665</v>
      </c>
      <c r="L35" s="1200">
        <v>110111.86695395898</v>
      </c>
      <c r="M35" s="1200">
        <v>109765.94927866953</v>
      </c>
    </row>
    <row r="36" spans="2:19" ht="15" x14ac:dyDescent="0.25">
      <c r="B36" s="751">
        <v>2009</v>
      </c>
      <c r="C36" s="1199">
        <v>0</v>
      </c>
      <c r="D36" s="1199">
        <v>0</v>
      </c>
      <c r="E36" s="1199">
        <v>0</v>
      </c>
      <c r="F36" s="1199">
        <v>0</v>
      </c>
      <c r="G36" s="1199">
        <v>0</v>
      </c>
      <c r="H36" s="1199">
        <v>0</v>
      </c>
      <c r="I36" s="1199">
        <v>0</v>
      </c>
      <c r="J36" s="1199">
        <v>0</v>
      </c>
      <c r="K36" s="1199">
        <v>0</v>
      </c>
      <c r="L36" s="1199">
        <v>0</v>
      </c>
      <c r="M36" s="1199">
        <v>0</v>
      </c>
    </row>
    <row r="37" spans="2:19" ht="15" x14ac:dyDescent="0.25">
      <c r="B37" s="751">
        <v>2009</v>
      </c>
      <c r="C37" s="1199">
        <v>0</v>
      </c>
      <c r="D37" s="1199">
        <v>0</v>
      </c>
      <c r="E37" s="1199">
        <v>0</v>
      </c>
      <c r="F37" s="1199">
        <v>693054.47729591874</v>
      </c>
      <c r="G37" s="1199">
        <v>659270.8218316799</v>
      </c>
      <c r="H37" s="1199">
        <v>659270.8218316799</v>
      </c>
      <c r="I37" s="1199">
        <v>658280.69568972453</v>
      </c>
      <c r="J37" s="1199">
        <v>643656.68328453251</v>
      </c>
      <c r="K37" s="1199">
        <v>572125.87828922598</v>
      </c>
      <c r="L37" s="1199">
        <v>556272.11784999829</v>
      </c>
      <c r="M37" s="1199">
        <v>555926.20017470885</v>
      </c>
    </row>
    <row r="38" spans="2:19" ht="15" x14ac:dyDescent="0.25">
      <c r="B38" s="764"/>
      <c r="C38" s="1199">
        <v>0</v>
      </c>
      <c r="D38" s="1199">
        <v>0</v>
      </c>
      <c r="E38" s="1199">
        <v>0</v>
      </c>
      <c r="F38" s="1199">
        <v>0</v>
      </c>
      <c r="G38" s="1200">
        <v>264363.31835940579</v>
      </c>
      <c r="H38" s="1200">
        <v>187996.55926021733</v>
      </c>
      <c r="I38" s="1200">
        <v>187996.55926021733</v>
      </c>
      <c r="J38" s="1200">
        <v>187996.55926021733</v>
      </c>
      <c r="K38" s="1200">
        <v>187996.55926021733</v>
      </c>
      <c r="L38" s="1200">
        <v>187996.55926021733</v>
      </c>
      <c r="M38" s="1200">
        <v>187996.55926021733</v>
      </c>
      <c r="P38" s="31"/>
      <c r="Q38" s="31"/>
      <c r="R38" s="1223"/>
      <c r="S38" s="1210"/>
    </row>
    <row r="39" spans="2:19" ht="15" x14ac:dyDescent="0.25">
      <c r="B39" s="751">
        <v>2010</v>
      </c>
      <c r="C39" s="1199">
        <v>0</v>
      </c>
      <c r="D39" s="1199">
        <v>0</v>
      </c>
      <c r="E39" s="1199">
        <v>0</v>
      </c>
      <c r="F39" s="1199">
        <v>0</v>
      </c>
      <c r="G39" s="1200">
        <v>151901.74676777207</v>
      </c>
      <c r="H39" s="1200">
        <v>147472.27210526771</v>
      </c>
      <c r="I39" s="1200">
        <v>146448.90192173922</v>
      </c>
      <c r="J39" s="1200">
        <v>146446.40235597044</v>
      </c>
      <c r="K39" s="1200">
        <v>134295.79949859416</v>
      </c>
      <c r="L39" s="1200">
        <v>42660.949868387579</v>
      </c>
      <c r="M39" s="1200">
        <v>38871.781252983652</v>
      </c>
      <c r="P39" s="1222"/>
      <c r="Q39" s="31"/>
      <c r="R39" s="1223"/>
      <c r="S39" s="1210"/>
    </row>
    <row r="40" spans="2:19" ht="15" x14ac:dyDescent="0.25">
      <c r="B40" s="751">
        <v>2010</v>
      </c>
      <c r="C40" s="1199">
        <v>0</v>
      </c>
      <c r="D40" s="1199">
        <v>0</v>
      </c>
      <c r="E40" s="1199">
        <v>0</v>
      </c>
      <c r="F40" s="1199">
        <v>0</v>
      </c>
      <c r="G40" s="1199">
        <v>0</v>
      </c>
      <c r="H40" s="1199">
        <v>0</v>
      </c>
      <c r="I40" s="1199">
        <v>0</v>
      </c>
      <c r="J40" s="1199">
        <v>0</v>
      </c>
      <c r="K40" s="1199">
        <v>0</v>
      </c>
      <c r="L40" s="1199">
        <v>0</v>
      </c>
      <c r="M40" s="1199">
        <v>0</v>
      </c>
      <c r="P40" s="31"/>
      <c r="Q40" s="31"/>
      <c r="R40" s="1223"/>
      <c r="S40" s="1210"/>
    </row>
    <row r="41" spans="2:19" ht="15" x14ac:dyDescent="0.25">
      <c r="B41" s="751">
        <v>2010</v>
      </c>
      <c r="C41" s="1199">
        <v>0</v>
      </c>
      <c r="D41" s="1199">
        <v>0</v>
      </c>
      <c r="E41" s="1199">
        <v>0</v>
      </c>
      <c r="F41" s="1199">
        <v>0</v>
      </c>
      <c r="G41" s="1199">
        <v>416265.06512717786</v>
      </c>
      <c r="H41" s="1199">
        <v>335468.83136548504</v>
      </c>
      <c r="I41" s="1199">
        <v>334445.46118195658</v>
      </c>
      <c r="J41" s="1199">
        <v>334442.96161618776</v>
      </c>
      <c r="K41" s="1199">
        <v>322292.35875881149</v>
      </c>
      <c r="L41" s="1199">
        <v>230657.5091286049</v>
      </c>
      <c r="M41" s="1199">
        <v>226868.34051320096</v>
      </c>
      <c r="P41" s="31"/>
      <c r="Q41" s="31"/>
      <c r="R41" s="1223"/>
      <c r="S41" s="1210"/>
    </row>
    <row r="42" spans="2:19" ht="15" x14ac:dyDescent="0.25">
      <c r="B42" s="764"/>
      <c r="C42" s="1199">
        <v>0</v>
      </c>
      <c r="D42" s="1199">
        <v>0</v>
      </c>
      <c r="E42" s="1199">
        <v>0</v>
      </c>
      <c r="F42" s="1199">
        <v>0</v>
      </c>
      <c r="G42" s="1199">
        <v>0</v>
      </c>
      <c r="H42" s="1199">
        <v>110482</v>
      </c>
      <c r="I42" s="1199">
        <v>110482</v>
      </c>
      <c r="J42" s="1199">
        <v>110482</v>
      </c>
      <c r="K42" s="1199">
        <v>30241.17582915508</v>
      </c>
      <c r="L42" s="1199">
        <v>30241.17582915508</v>
      </c>
      <c r="M42" s="1199">
        <v>5563.4507833642219</v>
      </c>
      <c r="P42" s="31"/>
      <c r="Q42" s="31"/>
      <c r="R42" s="1223"/>
      <c r="S42" s="1210"/>
    </row>
    <row r="43" spans="2:19" ht="15" x14ac:dyDescent="0.25">
      <c r="B43" s="751">
        <v>2011</v>
      </c>
      <c r="C43" s="1199">
        <v>0</v>
      </c>
      <c r="D43" s="1199">
        <v>0</v>
      </c>
      <c r="E43" s="1199">
        <v>0</v>
      </c>
      <c r="F43" s="1199">
        <v>0</v>
      </c>
      <c r="G43" s="1199">
        <v>0</v>
      </c>
      <c r="H43" s="1199">
        <v>181117</v>
      </c>
      <c r="I43" s="1199">
        <v>181117</v>
      </c>
      <c r="J43" s="1199">
        <v>181117</v>
      </c>
      <c r="K43" s="1199">
        <v>181110.66713162526</v>
      </c>
      <c r="L43" s="1199">
        <v>163527.82849955853</v>
      </c>
      <c r="M43" s="1199">
        <v>124196.06481515877</v>
      </c>
      <c r="P43" s="1222"/>
      <c r="Q43" s="31"/>
      <c r="R43" s="1223"/>
      <c r="S43" s="1210"/>
    </row>
    <row r="44" spans="2:19" ht="15" x14ac:dyDescent="0.25">
      <c r="B44" s="751">
        <v>2011</v>
      </c>
      <c r="C44" s="1199">
        <v>0</v>
      </c>
      <c r="D44" s="1199">
        <v>0</v>
      </c>
      <c r="E44" s="1199">
        <v>0</v>
      </c>
      <c r="F44" s="1199">
        <v>0</v>
      </c>
      <c r="G44" s="1199">
        <v>0</v>
      </c>
      <c r="H44" s="1199">
        <v>1980</v>
      </c>
      <c r="I44" s="1199">
        <v>1975.4206938935502</v>
      </c>
      <c r="J44" s="1199">
        <v>1975.4206938935502</v>
      </c>
      <c r="K44" s="1199">
        <v>1975.4206938935502</v>
      </c>
      <c r="L44" s="1199">
        <v>1975.4206938935502</v>
      </c>
      <c r="M44" s="1199">
        <v>1975.4206938935502</v>
      </c>
      <c r="P44" s="1222"/>
      <c r="Q44" s="31"/>
      <c r="R44" s="1223"/>
      <c r="S44" s="1210"/>
    </row>
    <row r="45" spans="2:19" ht="15" x14ac:dyDescent="0.25">
      <c r="B45" s="751">
        <v>2011</v>
      </c>
      <c r="C45" s="1199">
        <v>0</v>
      </c>
      <c r="D45" s="1199">
        <v>0</v>
      </c>
      <c r="E45" s="1199">
        <v>0</v>
      </c>
      <c r="F45" s="1199">
        <v>0</v>
      </c>
      <c r="G45" s="1199">
        <v>0</v>
      </c>
      <c r="H45" s="1199">
        <v>293579</v>
      </c>
      <c r="I45" s="1199">
        <v>293574.42069389357</v>
      </c>
      <c r="J45" s="1199">
        <v>293574.42069389357</v>
      </c>
      <c r="K45" s="1199">
        <v>213327.26365467388</v>
      </c>
      <c r="L45" s="1199">
        <v>195744.42502260715</v>
      </c>
      <c r="M45" s="1199">
        <v>131734.93629241653</v>
      </c>
      <c r="P45" s="1222"/>
      <c r="Q45" s="31"/>
      <c r="R45" s="1223"/>
      <c r="S45" s="1210"/>
    </row>
    <row r="46" spans="2:19" ht="15" x14ac:dyDescent="0.25">
      <c r="B46" s="764"/>
      <c r="C46" s="1199">
        <v>0</v>
      </c>
      <c r="D46" s="1199">
        <v>0</v>
      </c>
      <c r="E46" s="1199">
        <v>0</v>
      </c>
      <c r="F46" s="1199">
        <v>0</v>
      </c>
      <c r="G46" s="1199">
        <v>0</v>
      </c>
      <c r="H46" s="1199">
        <v>0</v>
      </c>
      <c r="I46" s="1199">
        <v>102205.4129950137</v>
      </c>
      <c r="J46" s="1199">
        <v>102205.4129950137</v>
      </c>
      <c r="K46" s="1199">
        <v>102205.4129950137</v>
      </c>
      <c r="L46" s="1199">
        <v>27975.705228667306</v>
      </c>
      <c r="M46" s="1199">
        <v>27975.705228667306</v>
      </c>
      <c r="P46" s="1222"/>
      <c r="Q46" s="31"/>
      <c r="R46" s="1223"/>
      <c r="S46" s="1210"/>
    </row>
    <row r="47" spans="2:19" ht="15" x14ac:dyDescent="0.25">
      <c r="B47" s="751">
        <v>2012</v>
      </c>
      <c r="C47" s="1199">
        <v>0</v>
      </c>
      <c r="D47" s="1199">
        <v>0</v>
      </c>
      <c r="E47" s="1199">
        <v>0</v>
      </c>
      <c r="F47" s="1199">
        <v>0</v>
      </c>
      <c r="G47" s="1199">
        <v>0</v>
      </c>
      <c r="H47" s="1199">
        <v>-4098.8885651113269</v>
      </c>
      <c r="I47" s="1199">
        <v>97825.471165497045</v>
      </c>
      <c r="J47" s="1199">
        <v>97825.471165497045</v>
      </c>
      <c r="K47" s="1199">
        <v>97825.471165497045</v>
      </c>
      <c r="L47" s="1199">
        <v>97822.050637150242</v>
      </c>
      <c r="M47" s="1199">
        <v>88325.153749454257</v>
      </c>
      <c r="P47" s="887"/>
      <c r="Q47" s="887"/>
      <c r="R47" s="887"/>
      <c r="S47" s="887"/>
    </row>
    <row r="48" spans="2:19" ht="15" x14ac:dyDescent="0.25">
      <c r="B48" s="751">
        <v>2012</v>
      </c>
      <c r="C48" s="1199">
        <v>0</v>
      </c>
      <c r="D48" s="1199">
        <v>0</v>
      </c>
      <c r="E48" s="1199">
        <v>0</v>
      </c>
      <c r="F48" s="1199">
        <v>0</v>
      </c>
      <c r="G48" s="1199">
        <v>0</v>
      </c>
      <c r="H48" s="1199">
        <v>29112.79935564</v>
      </c>
      <c r="I48" s="1199">
        <v>426481.16500838398</v>
      </c>
      <c r="J48" s="1199">
        <v>424513.08330838371</v>
      </c>
      <c r="K48" s="1199">
        <v>424513.08330838371</v>
      </c>
      <c r="L48" s="1199">
        <v>424513.08330838371</v>
      </c>
      <c r="M48" s="1199">
        <v>424513.08330838371</v>
      </c>
      <c r="P48" s="887"/>
      <c r="Q48" s="887"/>
      <c r="R48" s="887"/>
      <c r="S48" s="887"/>
    </row>
    <row r="49" spans="2:19" ht="15" x14ac:dyDescent="0.25">
      <c r="B49" s="751">
        <v>2012</v>
      </c>
      <c r="C49" s="1199">
        <v>0</v>
      </c>
      <c r="D49" s="1199">
        <v>0</v>
      </c>
      <c r="E49" s="1199">
        <v>0</v>
      </c>
      <c r="F49" s="1199">
        <v>0</v>
      </c>
      <c r="G49" s="1199">
        <v>0</v>
      </c>
      <c r="H49" s="1199">
        <v>25013.910790528673</v>
      </c>
      <c r="I49" s="1199">
        <v>626512.04916889477</v>
      </c>
      <c r="J49" s="1199">
        <v>624543.96746889444</v>
      </c>
      <c r="K49" s="1199">
        <v>624543.96746889444</v>
      </c>
      <c r="L49" s="1199">
        <v>550310.83917420125</v>
      </c>
      <c r="M49" s="1199">
        <v>540813.94228650525</v>
      </c>
      <c r="P49" s="887"/>
      <c r="Q49" s="887"/>
      <c r="R49" s="887"/>
      <c r="S49" s="887"/>
    </row>
    <row r="50" spans="2:19" ht="15" x14ac:dyDescent="0.25">
      <c r="B50" s="764"/>
      <c r="C50" s="1199">
        <v>0</v>
      </c>
      <c r="D50" s="1199">
        <v>0</v>
      </c>
      <c r="E50" s="1199">
        <v>0</v>
      </c>
      <c r="F50" s="1199">
        <v>0</v>
      </c>
      <c r="G50" s="1199">
        <v>0</v>
      </c>
      <c r="H50" s="1199">
        <v>0</v>
      </c>
      <c r="I50" s="1199">
        <v>0</v>
      </c>
      <c r="J50" s="1201">
        <v>28036.084046126001</v>
      </c>
      <c r="K50" s="1201">
        <v>28036.084046126001</v>
      </c>
      <c r="L50" s="1201">
        <v>27116.92714258</v>
      </c>
      <c r="M50" s="1201">
        <v>15320.393792241999</v>
      </c>
    </row>
    <row r="51" spans="2:19" ht="15" x14ac:dyDescent="0.25">
      <c r="B51" s="775">
        <v>2013</v>
      </c>
      <c r="C51" s="1199">
        <v>0</v>
      </c>
      <c r="D51" s="1199">
        <v>0</v>
      </c>
      <c r="E51" s="1199">
        <v>0</v>
      </c>
      <c r="F51" s="1199">
        <v>0</v>
      </c>
      <c r="G51" s="1199">
        <v>0</v>
      </c>
      <c r="H51" s="1199">
        <v>0</v>
      </c>
      <c r="I51" s="1199">
        <v>2342.3586289999998</v>
      </c>
      <c r="J51" s="1201">
        <v>119391.38278404402</v>
      </c>
      <c r="K51" s="1201">
        <v>119312.93371788203</v>
      </c>
      <c r="L51" s="1201">
        <v>116908.95076011402</v>
      </c>
      <c r="M51" s="1201">
        <v>108169.00628764802</v>
      </c>
    </row>
    <row r="52" spans="2:19" ht="15" x14ac:dyDescent="0.25">
      <c r="B52" s="775">
        <v>2013</v>
      </c>
      <c r="C52" s="1199">
        <v>0</v>
      </c>
      <c r="D52" s="1199">
        <v>0</v>
      </c>
      <c r="E52" s="1199">
        <v>0</v>
      </c>
      <c r="F52" s="1199">
        <v>0</v>
      </c>
      <c r="G52" s="1199">
        <v>0</v>
      </c>
      <c r="H52" s="1199">
        <v>0</v>
      </c>
      <c r="I52" s="1199">
        <v>0</v>
      </c>
      <c r="J52" s="1201">
        <v>77701.888925876003</v>
      </c>
      <c r="K52" s="1201">
        <v>77701.888925876003</v>
      </c>
      <c r="L52" s="1201">
        <v>77701.888925876003</v>
      </c>
      <c r="M52" s="1201">
        <v>77701.888925876003</v>
      </c>
    </row>
    <row r="53" spans="2:19" ht="15" x14ac:dyDescent="0.25">
      <c r="B53" s="775">
        <v>2013</v>
      </c>
      <c r="C53" s="1199">
        <v>0</v>
      </c>
      <c r="D53" s="1199">
        <v>0</v>
      </c>
      <c r="E53" s="1199">
        <v>0</v>
      </c>
      <c r="F53" s="1199">
        <v>0</v>
      </c>
      <c r="G53" s="1199">
        <v>0</v>
      </c>
      <c r="H53" s="1199">
        <v>0</v>
      </c>
      <c r="I53" s="1199">
        <v>2342.3586289999998</v>
      </c>
      <c r="J53" s="1199">
        <v>225129.35575604602</v>
      </c>
      <c r="K53" s="1199">
        <v>225050.90668988402</v>
      </c>
      <c r="L53" s="1199">
        <v>221727.76682857002</v>
      </c>
      <c r="M53" s="1199">
        <v>201191.28900576604</v>
      </c>
    </row>
    <row r="54" spans="2:19" ht="15" x14ac:dyDescent="0.25">
      <c r="B54" s="776"/>
      <c r="C54" s="1199">
        <v>0</v>
      </c>
      <c r="D54" s="1199">
        <v>0</v>
      </c>
      <c r="E54" s="1199">
        <v>0</v>
      </c>
      <c r="F54" s="1199">
        <v>0</v>
      </c>
      <c r="G54" s="1199">
        <v>0</v>
      </c>
      <c r="H54" s="1199">
        <v>0</v>
      </c>
      <c r="I54" s="1199">
        <v>0</v>
      </c>
      <c r="J54" s="1199">
        <v>0</v>
      </c>
      <c r="K54" s="1199">
        <v>162232</v>
      </c>
      <c r="L54" s="1199">
        <v>156913.25924680696</v>
      </c>
      <c r="M54" s="1199">
        <v>88652.114240128401</v>
      </c>
    </row>
    <row r="55" spans="2:19" ht="15" x14ac:dyDescent="0.25">
      <c r="B55" s="775">
        <v>2014</v>
      </c>
      <c r="C55" s="1199">
        <v>0</v>
      </c>
      <c r="D55" s="1199">
        <v>0</v>
      </c>
      <c r="E55" s="1199">
        <v>0</v>
      </c>
      <c r="F55" s="1199">
        <v>0</v>
      </c>
      <c r="G55" s="1199">
        <v>0</v>
      </c>
      <c r="H55" s="1199">
        <v>0</v>
      </c>
      <c r="I55" s="1199">
        <v>0</v>
      </c>
      <c r="J55" s="1199">
        <v>4535</v>
      </c>
      <c r="K55" s="1199">
        <v>388435</v>
      </c>
      <c r="L55" s="1199">
        <v>380608.5968507104</v>
      </c>
      <c r="M55" s="1199">
        <v>352154.84732520091</v>
      </c>
    </row>
    <row r="56" spans="2:19" ht="15" x14ac:dyDescent="0.25">
      <c r="B56" s="775">
        <v>2014</v>
      </c>
      <c r="C56" s="1199">
        <v>0</v>
      </c>
      <c r="D56" s="1199">
        <v>0</v>
      </c>
      <c r="E56" s="1199">
        <v>0</v>
      </c>
      <c r="F56" s="1199">
        <v>0</v>
      </c>
      <c r="G56" s="1199">
        <v>0</v>
      </c>
      <c r="H56" s="1199">
        <v>0</v>
      </c>
      <c r="I56" s="1199">
        <v>0</v>
      </c>
      <c r="J56" s="1199">
        <v>0</v>
      </c>
      <c r="K56" s="1199">
        <v>165138</v>
      </c>
      <c r="L56" s="1199">
        <v>161810.70826967861</v>
      </c>
      <c r="M56" s="1199">
        <v>149713.97319394242</v>
      </c>
    </row>
    <row r="57" spans="2:19" ht="15" x14ac:dyDescent="0.25">
      <c r="B57" s="775">
        <v>2014</v>
      </c>
      <c r="C57" s="1199">
        <v>0</v>
      </c>
      <c r="D57" s="1199">
        <v>0</v>
      </c>
      <c r="E57" s="1199">
        <v>0</v>
      </c>
      <c r="F57" s="1199">
        <v>0</v>
      </c>
      <c r="G57" s="1199">
        <v>0</v>
      </c>
      <c r="H57" s="1199">
        <v>0</v>
      </c>
      <c r="I57" s="1199">
        <v>0</v>
      </c>
      <c r="J57" s="1199">
        <v>4535</v>
      </c>
      <c r="K57" s="1199">
        <v>715805</v>
      </c>
      <c r="L57" s="1199">
        <v>702659.8560975173</v>
      </c>
      <c r="M57" s="1199">
        <v>605944.96156532934</v>
      </c>
    </row>
    <row r="58" spans="2:19" ht="15" x14ac:dyDescent="0.25">
      <c r="B58" s="776"/>
      <c r="C58" s="594">
        <v>0</v>
      </c>
      <c r="D58" s="594">
        <v>0</v>
      </c>
      <c r="E58" s="594">
        <v>0</v>
      </c>
      <c r="F58" s="594">
        <v>0</v>
      </c>
      <c r="G58" s="594">
        <v>0</v>
      </c>
      <c r="H58" s="594">
        <v>0</v>
      </c>
      <c r="I58" s="594">
        <v>0</v>
      </c>
      <c r="J58" s="594">
        <v>0</v>
      </c>
      <c r="K58" s="594">
        <v>0</v>
      </c>
      <c r="L58" s="594"/>
      <c r="M58" s="594"/>
    </row>
    <row r="59" spans="2:19" ht="15" x14ac:dyDescent="0.25">
      <c r="B59" s="775">
        <v>2015</v>
      </c>
      <c r="C59" s="594">
        <v>0</v>
      </c>
      <c r="D59" s="594">
        <v>0</v>
      </c>
      <c r="E59" s="594">
        <v>0</v>
      </c>
      <c r="F59" s="594">
        <v>0</v>
      </c>
      <c r="G59" s="594">
        <v>0</v>
      </c>
      <c r="H59" s="594">
        <v>0</v>
      </c>
      <c r="I59" s="594">
        <v>0</v>
      </c>
      <c r="J59" s="594">
        <v>0</v>
      </c>
      <c r="K59" s="594">
        <v>0</v>
      </c>
      <c r="L59" s="594"/>
      <c r="M59" s="594"/>
    </row>
    <row r="60" spans="2:19" ht="15" x14ac:dyDescent="0.25">
      <c r="B60" s="775">
        <v>2015</v>
      </c>
      <c r="C60" s="594">
        <v>0</v>
      </c>
      <c r="D60" s="594">
        <v>0</v>
      </c>
      <c r="E60" s="594">
        <v>0</v>
      </c>
      <c r="F60" s="594">
        <v>0</v>
      </c>
      <c r="G60" s="594">
        <v>0</v>
      </c>
      <c r="H60" s="594">
        <v>0</v>
      </c>
      <c r="I60" s="594">
        <v>0</v>
      </c>
      <c r="J60" s="594">
        <v>0</v>
      </c>
      <c r="K60" s="594">
        <v>0</v>
      </c>
      <c r="L60" s="594"/>
      <c r="M60" s="594"/>
    </row>
    <row r="61" spans="2:19" ht="15" x14ac:dyDescent="0.25">
      <c r="B61" s="775">
        <v>2015</v>
      </c>
      <c r="C61" s="1199">
        <v>0</v>
      </c>
      <c r="D61" s="1199">
        <v>0</v>
      </c>
      <c r="E61" s="1199">
        <v>0</v>
      </c>
      <c r="F61" s="1199">
        <v>0</v>
      </c>
      <c r="G61" s="1199">
        <v>0</v>
      </c>
      <c r="H61" s="1199">
        <v>0</v>
      </c>
      <c r="I61" s="1199">
        <v>0</v>
      </c>
      <c r="J61" s="1199">
        <v>0</v>
      </c>
      <c r="K61" s="1199">
        <v>0</v>
      </c>
      <c r="L61" s="1199">
        <v>0</v>
      </c>
      <c r="M61" s="1199">
        <v>0</v>
      </c>
    </row>
    <row r="62" spans="2:19" ht="15" x14ac:dyDescent="0.25">
      <c r="B62" s="777"/>
      <c r="C62" s="1199"/>
      <c r="D62" s="1199"/>
      <c r="E62" s="1199"/>
      <c r="F62" s="1199"/>
      <c r="G62" s="1199"/>
      <c r="H62" s="1199"/>
      <c r="I62" s="1199"/>
      <c r="J62" s="1199"/>
      <c r="K62" s="1199"/>
      <c r="L62" s="1199"/>
      <c r="M62" s="1199"/>
    </row>
    <row r="63" spans="2:19" ht="15" x14ac:dyDescent="0.25">
      <c r="B63" s="775">
        <v>2016</v>
      </c>
      <c r="C63" s="1199"/>
      <c r="D63" s="1199"/>
      <c r="E63" s="1199"/>
      <c r="F63" s="1199"/>
      <c r="G63" s="1199"/>
      <c r="H63" s="1199"/>
      <c r="I63" s="1199"/>
      <c r="J63" s="1199"/>
      <c r="K63" s="1199"/>
      <c r="L63" s="1199"/>
      <c r="M63" s="1199"/>
    </row>
    <row r="64" spans="2:19" ht="15" x14ac:dyDescent="0.25">
      <c r="B64" s="775">
        <v>2016</v>
      </c>
      <c r="C64" s="1199"/>
      <c r="D64" s="1199"/>
      <c r="E64" s="1199"/>
      <c r="F64" s="1199"/>
      <c r="G64" s="1199"/>
      <c r="H64" s="1199"/>
      <c r="I64" s="1199"/>
      <c r="J64" s="1199"/>
      <c r="K64" s="1199"/>
      <c r="L64" s="1199"/>
      <c r="M64" s="1199"/>
    </row>
    <row r="65" spans="2:13" ht="15" x14ac:dyDescent="0.25">
      <c r="B65" s="775">
        <v>2016</v>
      </c>
      <c r="C65" s="1199">
        <v>0</v>
      </c>
      <c r="D65" s="1199">
        <v>0</v>
      </c>
      <c r="E65" s="1199">
        <v>0</v>
      </c>
      <c r="F65" s="1199">
        <v>0</v>
      </c>
      <c r="G65" s="1199">
        <v>0</v>
      </c>
      <c r="H65" s="1199">
        <v>0</v>
      </c>
      <c r="I65" s="1199">
        <v>0</v>
      </c>
      <c r="J65" s="1199">
        <v>0</v>
      </c>
      <c r="K65" s="1199">
        <v>0</v>
      </c>
      <c r="L65" s="1199">
        <v>0</v>
      </c>
      <c r="M65" s="1199">
        <v>0</v>
      </c>
    </row>
    <row r="66" spans="2:13" ht="15" x14ac:dyDescent="0.25">
      <c r="B66" s="1208" t="s">
        <v>702</v>
      </c>
      <c r="C66" s="1202">
        <v>688739.31666189851</v>
      </c>
      <c r="D66" s="1202">
        <v>1445689.4867662429</v>
      </c>
      <c r="E66" s="1202">
        <v>1559541.2207570404</v>
      </c>
      <c r="F66" s="1202">
        <v>2145386.8621764053</v>
      </c>
      <c r="G66" s="1202">
        <v>1958747.7240365143</v>
      </c>
      <c r="H66" s="1202">
        <v>2196544.40106535</v>
      </c>
      <c r="I66" s="1202">
        <v>2743847.2137277704</v>
      </c>
      <c r="J66" s="1202">
        <v>2954468.2371838554</v>
      </c>
      <c r="K66" s="1202">
        <v>3459856.1016640281</v>
      </c>
      <c r="L66" s="1202">
        <f>+L25+L29+L33+L37+L41+L45+L49+L53+L57</f>
        <v>2984405.8543728245</v>
      </c>
      <c r="M66" s="1202">
        <f>+M25+M29+M33+M37+M41+M45+M49+M53+M57</f>
        <v>2675346.8504020195</v>
      </c>
    </row>
    <row r="67" spans="2:13" ht="15" x14ac:dyDescent="0.25">
      <c r="B67" s="1205" t="s">
        <v>390</v>
      </c>
      <c r="C67" s="774">
        <v>0</v>
      </c>
      <c r="D67" s="774">
        <v>688739.31666189851</v>
      </c>
      <c r="E67" s="774">
        <v>1107103.9430606847</v>
      </c>
      <c r="F67" s="774">
        <v>1452332.3848804864</v>
      </c>
      <c r="G67" s="774">
        <v>1542482.6589093364</v>
      </c>
      <c r="H67" s="774">
        <v>1877951.4902748214</v>
      </c>
      <c r="I67" s="774">
        <v>2114992.8059298755</v>
      </c>
      <c r="J67" s="774">
        <v>2729338.8814278096</v>
      </c>
      <c r="K67" s="774">
        <v>2744051.1016640281</v>
      </c>
      <c r="L67" s="774">
        <f>L57+L53+L49+L45+L41+L37+L33+L29+L25</f>
        <v>2984405.8543728241</v>
      </c>
      <c r="M67" s="774">
        <f>M57+M53+M49+M45+M41+M37+M33+M29+M25</f>
        <v>2675346.8504020195</v>
      </c>
    </row>
    <row r="68" spans="2:13" ht="15" x14ac:dyDescent="0.25">
      <c r="B68" s="1203"/>
      <c r="C68" s="1204"/>
      <c r="D68" s="1204"/>
      <c r="E68" s="1204"/>
      <c r="F68" s="1204"/>
      <c r="G68" s="1204"/>
      <c r="H68" s="1204"/>
      <c r="I68" s="1204"/>
      <c r="J68" s="1204"/>
      <c r="K68" s="1204"/>
      <c r="L68" s="1204"/>
      <c r="M68" s="1204"/>
    </row>
    <row r="69" spans="2:13" ht="15" x14ac:dyDescent="0.25">
      <c r="B69" s="1203"/>
      <c r="C69" s="763">
        <v>2006</v>
      </c>
      <c r="D69" s="763">
        <v>2007</v>
      </c>
      <c r="E69" s="763">
        <v>2008</v>
      </c>
      <c r="F69" s="763">
        <v>2009</v>
      </c>
      <c r="G69" s="763">
        <v>2010</v>
      </c>
      <c r="H69" s="763">
        <v>2011</v>
      </c>
      <c r="I69" s="763">
        <v>2012</v>
      </c>
      <c r="J69" s="763">
        <v>2013</v>
      </c>
      <c r="K69" s="763">
        <v>2014</v>
      </c>
      <c r="L69" s="763">
        <v>2015</v>
      </c>
      <c r="M69" s="763">
        <v>2016</v>
      </c>
    </row>
    <row r="70" spans="2:13" ht="15" x14ac:dyDescent="0.25">
      <c r="B70" s="778" t="s">
        <v>239</v>
      </c>
      <c r="C70" s="594">
        <v>0</v>
      </c>
      <c r="D70" s="594">
        <v>0</v>
      </c>
      <c r="E70" s="594">
        <v>0</v>
      </c>
      <c r="F70" s="594">
        <v>476414.92224623403</v>
      </c>
      <c r="G70" s="594">
        <v>710523.56925544515</v>
      </c>
      <c r="H70" s="594">
        <v>744638.81015625666</v>
      </c>
      <c r="I70" s="594">
        <v>846844.2231512703</v>
      </c>
      <c r="J70" s="594">
        <v>874880.30719739629</v>
      </c>
      <c r="K70" s="594">
        <v>956871.48302655143</v>
      </c>
      <c r="L70" s="594">
        <v>876403.87760346616</v>
      </c>
      <c r="M70" s="594">
        <v>771668.47420065873</v>
      </c>
    </row>
    <row r="71" spans="2:13" ht="15" x14ac:dyDescent="0.25">
      <c r="B71" s="778" t="s">
        <v>6</v>
      </c>
      <c r="C71" s="594">
        <v>688739.31666189851</v>
      </c>
      <c r="D71" s="594">
        <v>1445689.4867662429</v>
      </c>
      <c r="E71" s="594">
        <v>1559541.2207570404</v>
      </c>
      <c r="F71" s="594">
        <v>1668971.9399301712</v>
      </c>
      <c r="G71" s="594">
        <v>1248224.1547810691</v>
      </c>
      <c r="H71" s="594">
        <v>1420812.7915534533</v>
      </c>
      <c r="I71" s="594">
        <v>1468546.4048742228</v>
      </c>
      <c r="J71" s="594">
        <v>1575397.5370583059</v>
      </c>
      <c r="K71" s="594">
        <v>1833656.2257093233</v>
      </c>
      <c r="L71" s="594">
        <v>1438673.5838412053</v>
      </c>
      <c r="M71" s="594">
        <v>1234349.9832732077</v>
      </c>
    </row>
    <row r="72" spans="2:13" ht="15" x14ac:dyDescent="0.25">
      <c r="B72" s="778" t="s">
        <v>240</v>
      </c>
      <c r="C72" s="594">
        <v>0</v>
      </c>
      <c r="D72" s="594">
        <v>0</v>
      </c>
      <c r="E72" s="594">
        <v>0</v>
      </c>
      <c r="F72" s="594">
        <v>0</v>
      </c>
      <c r="G72" s="594">
        <v>0</v>
      </c>
      <c r="H72" s="1199">
        <v>31092.79935564</v>
      </c>
      <c r="I72" s="1199">
        <v>141446.82570227754</v>
      </c>
      <c r="J72" s="1199">
        <v>101467.47292815329</v>
      </c>
      <c r="K72" s="1199">
        <v>254365.2929281533</v>
      </c>
      <c r="L72" s="1199">
        <v>255927.06883219827</v>
      </c>
      <c r="M72" s="1199">
        <v>261594.10795071174</v>
      </c>
    </row>
    <row r="73" spans="2:13" ht="15" x14ac:dyDescent="0.25">
      <c r="B73" s="1206" t="s">
        <v>592</v>
      </c>
      <c r="C73" s="594"/>
      <c r="D73" s="594"/>
      <c r="E73" s="594"/>
      <c r="F73" s="594"/>
      <c r="G73" s="594"/>
      <c r="H73" s="1199"/>
      <c r="I73" s="1199">
        <v>287009.76</v>
      </c>
      <c r="J73" s="1199">
        <v>402722.92</v>
      </c>
      <c r="K73" s="1199">
        <v>414963.1</v>
      </c>
      <c r="L73" s="1199">
        <v>413401.324095955</v>
      </c>
      <c r="M73" s="1199">
        <v>407734.28497744154</v>
      </c>
    </row>
    <row r="74" spans="2:13" ht="15" x14ac:dyDescent="0.25">
      <c r="B74" s="1208" t="s">
        <v>702</v>
      </c>
      <c r="C74" s="1207">
        <f t="shared" ref="C74:M74" si="0">SUM(C70:C73)</f>
        <v>688739.31666189851</v>
      </c>
      <c r="D74" s="1207">
        <f t="shared" si="0"/>
        <v>1445689.4867662429</v>
      </c>
      <c r="E74" s="1207">
        <f t="shared" si="0"/>
        <v>1559541.2207570404</v>
      </c>
      <c r="F74" s="1207">
        <f t="shared" si="0"/>
        <v>2145386.8621764053</v>
      </c>
      <c r="G74" s="1207">
        <f t="shared" si="0"/>
        <v>1958747.7240365143</v>
      </c>
      <c r="H74" s="1207">
        <f t="shared" si="0"/>
        <v>2196544.40106535</v>
      </c>
      <c r="I74" s="1207">
        <f t="shared" si="0"/>
        <v>2743847.2137277704</v>
      </c>
      <c r="J74" s="1207">
        <f t="shared" si="0"/>
        <v>2954468.2371838554</v>
      </c>
      <c r="K74" s="1207">
        <f t="shared" si="0"/>
        <v>3459856.1016640281</v>
      </c>
      <c r="L74" s="1207">
        <f t="shared" si="0"/>
        <v>2984405.8543728245</v>
      </c>
      <c r="M74" s="1207">
        <f t="shared" si="0"/>
        <v>2675346.8504020199</v>
      </c>
    </row>
    <row r="75" spans="2:13" x14ac:dyDescent="0.2">
      <c r="B75"/>
      <c r="C75"/>
      <c r="D75"/>
      <c r="E75"/>
      <c r="F75"/>
      <c r="G75"/>
      <c r="H75"/>
      <c r="I75"/>
      <c r="J75"/>
      <c r="K75"/>
      <c r="L75"/>
      <c r="M75"/>
    </row>
    <row r="76" spans="2:13" x14ac:dyDescent="0.2">
      <c r="B76"/>
      <c r="C76"/>
      <c r="D76"/>
      <c r="E76"/>
      <c r="F76"/>
      <c r="G76"/>
      <c r="H76"/>
      <c r="I76"/>
      <c r="J76"/>
      <c r="K76"/>
      <c r="L76"/>
      <c r="M76"/>
    </row>
    <row r="77" spans="2:13" x14ac:dyDescent="0.2">
      <c r="B77"/>
      <c r="C77"/>
      <c r="D77"/>
      <c r="E77"/>
      <c r="F77"/>
      <c r="G77"/>
      <c r="H77"/>
      <c r="I77"/>
      <c r="J77"/>
      <c r="K77"/>
      <c r="L77"/>
      <c r="M77"/>
    </row>
    <row r="78" spans="2:13" x14ac:dyDescent="0.2">
      <c r="B78"/>
      <c r="C78"/>
      <c r="D78"/>
      <c r="E78"/>
      <c r="F78"/>
      <c r="G78"/>
      <c r="H78"/>
      <c r="I78"/>
      <c r="J78"/>
      <c r="K78"/>
      <c r="L78"/>
      <c r="M78"/>
    </row>
    <row r="79" spans="2:13" x14ac:dyDescent="0.2">
      <c r="B79"/>
      <c r="C79"/>
      <c r="D79"/>
      <c r="E79"/>
      <c r="F79"/>
      <c r="G79"/>
      <c r="H79"/>
      <c r="I79"/>
      <c r="J79"/>
      <c r="K79"/>
      <c r="L79"/>
      <c r="M79"/>
    </row>
    <row r="80" spans="2:13" ht="15" thickBot="1" x14ac:dyDescent="0.25">
      <c r="B80"/>
      <c r="C80"/>
      <c r="D80"/>
      <c r="E80"/>
      <c r="F80"/>
      <c r="G80"/>
      <c r="H80"/>
      <c r="I80"/>
      <c r="J80"/>
      <c r="K80"/>
      <c r="L80"/>
      <c r="M80"/>
    </row>
    <row r="81" spans="2:13" x14ac:dyDescent="0.2">
      <c r="B81" s="1219"/>
      <c r="C81" s="1218" t="s">
        <v>33</v>
      </c>
      <c r="D81" s="1217" t="s">
        <v>81</v>
      </c>
      <c r="E81" s="1217" t="s">
        <v>241</v>
      </c>
      <c r="F81" s="1209" t="s">
        <v>703</v>
      </c>
      <c r="G81"/>
      <c r="H81"/>
      <c r="I81"/>
      <c r="J81"/>
      <c r="K81"/>
      <c r="L81"/>
      <c r="M81"/>
    </row>
    <row r="82" spans="2:13" x14ac:dyDescent="0.2">
      <c r="B82" s="581" t="s">
        <v>6</v>
      </c>
      <c r="C82" s="52" t="s">
        <v>124</v>
      </c>
      <c r="D82" s="432">
        <f>'10. Final Load Forecast'!N6</f>
        <v>12267</v>
      </c>
      <c r="E82" s="432">
        <f>'10. Final Load Forecast'!O6</f>
        <v>12471.858899999999</v>
      </c>
      <c r="F82" s="1234">
        <f>E82-D82</f>
        <v>204.85889999999927</v>
      </c>
    </row>
    <row r="83" spans="2:13" x14ac:dyDescent="0.2">
      <c r="B83" s="88"/>
      <c r="C83" s="52" t="s">
        <v>36</v>
      </c>
      <c r="D83" s="432">
        <f>'10. Final Load Forecast'!N7</f>
        <v>88187973.318098068</v>
      </c>
      <c r="E83" s="432">
        <f>'10. Final Load Forecast'!O7</f>
        <v>88424733.481852382</v>
      </c>
      <c r="F83" s="1234">
        <f t="shared" ref="F83:F108" si="1">E83-D83</f>
        <v>236760.16375431418</v>
      </c>
    </row>
    <row r="84" spans="2:13" x14ac:dyDescent="0.2">
      <c r="B84" s="88"/>
      <c r="C84" s="52" t="s">
        <v>37</v>
      </c>
      <c r="D84" s="432">
        <f>'10. Final Load Forecast'!N8</f>
        <v>0</v>
      </c>
      <c r="E84" s="432">
        <f>'10. Final Load Forecast'!O8</f>
        <v>0</v>
      </c>
      <c r="F84" s="1234">
        <f t="shared" si="1"/>
        <v>0</v>
      </c>
    </row>
    <row r="85" spans="2:13" x14ac:dyDescent="0.2">
      <c r="B85" s="88"/>
      <c r="C85" s="52"/>
      <c r="D85" s="432"/>
      <c r="E85" s="432"/>
      <c r="F85" s="1234">
        <f t="shared" si="1"/>
        <v>0</v>
      </c>
    </row>
    <row r="86" spans="2:13" x14ac:dyDescent="0.2">
      <c r="B86" s="581" t="s">
        <v>94</v>
      </c>
      <c r="C86" s="52" t="s">
        <v>124</v>
      </c>
      <c r="D86" s="432">
        <f>'10. Final Load Forecast'!N10</f>
        <v>786</v>
      </c>
      <c r="E86" s="432">
        <f>'10. Final Load Forecast'!O10</f>
        <v>789</v>
      </c>
      <c r="F86" s="1234">
        <f t="shared" si="1"/>
        <v>3</v>
      </c>
    </row>
    <row r="87" spans="2:13" x14ac:dyDescent="0.2">
      <c r="B87" s="88"/>
      <c r="C87" s="52" t="s">
        <v>36</v>
      </c>
      <c r="D87" s="432">
        <f>'10. Final Load Forecast'!N11</f>
        <v>16814371.240322266</v>
      </c>
      <c r="E87" s="432">
        <f>'10. Final Load Forecast'!O11</f>
        <v>17097027.04489236</v>
      </c>
      <c r="F87" s="1234">
        <f t="shared" si="1"/>
        <v>282655.80457009375</v>
      </c>
    </row>
    <row r="88" spans="2:13" x14ac:dyDescent="0.2">
      <c r="B88" s="88"/>
      <c r="C88" s="52" t="s">
        <v>37</v>
      </c>
      <c r="D88" s="432">
        <f>'10. Final Load Forecast'!N12</f>
        <v>0</v>
      </c>
      <c r="E88" s="432">
        <f>'10. Final Load Forecast'!O12</f>
        <v>0</v>
      </c>
      <c r="F88" s="1234">
        <f t="shared" si="1"/>
        <v>0</v>
      </c>
    </row>
    <row r="89" spans="2:13" x14ac:dyDescent="0.2">
      <c r="B89" s="88"/>
      <c r="C89" s="52"/>
      <c r="D89" s="432"/>
      <c r="E89" s="432"/>
      <c r="F89" s="1234"/>
    </row>
    <row r="90" spans="2:13" x14ac:dyDescent="0.2">
      <c r="B90" s="581" t="s">
        <v>665</v>
      </c>
      <c r="C90" s="52" t="s">
        <v>124</v>
      </c>
      <c r="D90" s="432">
        <f>'10. Final Load Forecast'!N14</f>
        <v>37</v>
      </c>
      <c r="E90" s="432">
        <f>'10. Final Load Forecast'!O14</f>
        <v>37</v>
      </c>
      <c r="F90" s="1234">
        <f t="shared" si="1"/>
        <v>0</v>
      </c>
    </row>
    <row r="91" spans="2:13" x14ac:dyDescent="0.2">
      <c r="B91" s="88"/>
      <c r="C91" s="52" t="s">
        <v>36</v>
      </c>
      <c r="D91" s="432">
        <f>'10. Final Load Forecast'!N15</f>
        <v>17360785.622136727</v>
      </c>
      <c r="E91" s="432">
        <f>'10. Final Load Forecast'!O15</f>
        <v>17434184.595869441</v>
      </c>
      <c r="F91" s="1234">
        <f t="shared" si="1"/>
        <v>73398.97373271361</v>
      </c>
    </row>
    <row r="92" spans="2:13" x14ac:dyDescent="0.2">
      <c r="B92" s="88"/>
      <c r="C92" s="52" t="s">
        <v>37</v>
      </c>
      <c r="D92" s="432">
        <f>'10. Final Load Forecast'!N16</f>
        <v>45717.300698394283</v>
      </c>
      <c r="E92" s="432">
        <f>'10. Final Load Forecast'!O16</f>
        <v>45910.587052256822</v>
      </c>
      <c r="F92" s="1234">
        <f t="shared" si="1"/>
        <v>193.28635386253882</v>
      </c>
    </row>
    <row r="93" spans="2:13" x14ac:dyDescent="0.2">
      <c r="B93" s="88"/>
      <c r="C93" s="52"/>
      <c r="D93" s="432"/>
      <c r="E93" s="432"/>
      <c r="F93" s="1234">
        <f t="shared" si="1"/>
        <v>0</v>
      </c>
    </row>
    <row r="94" spans="2:13" x14ac:dyDescent="0.2">
      <c r="B94" s="581" t="s">
        <v>666</v>
      </c>
      <c r="C94" s="52" t="s">
        <v>124</v>
      </c>
      <c r="D94" s="432">
        <f>'10. Final Load Forecast'!N18</f>
        <v>1</v>
      </c>
      <c r="E94" s="432">
        <f>'10. Final Load Forecast'!O18</f>
        <v>1</v>
      </c>
      <c r="F94" s="1234">
        <f t="shared" si="1"/>
        <v>0</v>
      </c>
    </row>
    <row r="95" spans="2:13" x14ac:dyDescent="0.2">
      <c r="B95" s="88"/>
      <c r="C95" s="52" t="s">
        <v>36</v>
      </c>
      <c r="D95" s="432">
        <f>'10. Final Load Forecast'!N19</f>
        <v>3399554.7352855722</v>
      </c>
      <c r="E95" s="432">
        <f>'10. Final Load Forecast'!O19</f>
        <v>3332216.527336997</v>
      </c>
      <c r="F95" s="1234">
        <f t="shared" si="1"/>
        <v>-67338.207948575262</v>
      </c>
    </row>
    <row r="96" spans="2:13" x14ac:dyDescent="0.2">
      <c r="B96" s="88"/>
      <c r="C96" s="52" t="s">
        <v>37</v>
      </c>
      <c r="D96" s="432">
        <f>'10. Final Load Forecast'!N20</f>
        <v>5975.1368658716037</v>
      </c>
      <c r="E96" s="432">
        <f>'10. Final Load Forecast'!O20</f>
        <v>5856.7816575794623</v>
      </c>
      <c r="F96" s="1234">
        <f t="shared" si="1"/>
        <v>-118.35520829214147</v>
      </c>
    </row>
    <row r="97" spans="2:6" x14ac:dyDescent="0.2">
      <c r="B97" s="88"/>
      <c r="C97" s="52"/>
      <c r="D97" s="432"/>
      <c r="E97" s="432"/>
      <c r="F97" s="1234">
        <f t="shared" si="1"/>
        <v>0</v>
      </c>
    </row>
    <row r="98" spans="2:6" x14ac:dyDescent="0.2">
      <c r="B98" s="581" t="s">
        <v>98</v>
      </c>
      <c r="C98" s="52" t="s">
        <v>124</v>
      </c>
      <c r="D98" s="432">
        <f>'10. Final Load Forecast'!N22</f>
        <v>2777.4</v>
      </c>
      <c r="E98" s="432">
        <f>'10. Final Load Forecast'!O22</f>
        <v>2819</v>
      </c>
      <c r="F98" s="1234">
        <f t="shared" si="1"/>
        <v>41.599999999999909</v>
      </c>
    </row>
    <row r="99" spans="2:6" x14ac:dyDescent="0.2">
      <c r="B99" s="88"/>
      <c r="C99" s="52" t="s">
        <v>36</v>
      </c>
      <c r="D99" s="432">
        <f>'10. Final Load Forecast'!N23</f>
        <v>1222277.2140331415</v>
      </c>
      <c r="E99" s="432">
        <f>'10. Final Load Forecast'!O23</f>
        <v>611199.20104438625</v>
      </c>
      <c r="F99" s="1234">
        <f t="shared" si="1"/>
        <v>-611078.01298875525</v>
      </c>
    </row>
    <row r="100" spans="2:6" x14ac:dyDescent="0.2">
      <c r="B100" s="88"/>
      <c r="C100" s="52" t="s">
        <v>37</v>
      </c>
      <c r="D100" s="432">
        <f>'10. Final Load Forecast'!N24</f>
        <v>3603.8465059511477</v>
      </c>
      <c r="E100" s="432">
        <f>'10. Final Load Forecast'!O24</f>
        <v>1802.1019125897085</v>
      </c>
      <c r="F100" s="1234">
        <f t="shared" si="1"/>
        <v>-1801.7445933614392</v>
      </c>
    </row>
    <row r="101" spans="2:6" x14ac:dyDescent="0.2">
      <c r="B101" s="88"/>
      <c r="C101" s="52"/>
      <c r="D101" s="432">
        <f>'10. Final Load Forecast'!N25</f>
        <v>0</v>
      </c>
      <c r="E101" s="432">
        <f>'10. Final Load Forecast'!O25</f>
        <v>0</v>
      </c>
      <c r="F101" s="1234">
        <f t="shared" si="1"/>
        <v>0</v>
      </c>
    </row>
    <row r="102" spans="2:6" x14ac:dyDescent="0.2">
      <c r="B102" s="581" t="s">
        <v>99</v>
      </c>
      <c r="C102" s="52" t="s">
        <v>124</v>
      </c>
      <c r="D102" s="432">
        <f>'10. Final Load Forecast'!N26</f>
        <v>40</v>
      </c>
      <c r="E102" s="432">
        <f>'10. Final Load Forecast'!O26</f>
        <v>40</v>
      </c>
      <c r="F102" s="1234">
        <f t="shared" si="1"/>
        <v>0</v>
      </c>
    </row>
    <row r="103" spans="2:6" x14ac:dyDescent="0.2">
      <c r="B103" s="88"/>
      <c r="C103" s="52" t="s">
        <v>36</v>
      </c>
      <c r="D103" s="432">
        <f>'10. Final Load Forecast'!N27</f>
        <v>232410.61456023974</v>
      </c>
      <c r="E103" s="432">
        <f>'10. Final Load Forecast'!O27</f>
        <v>221021.90461603086</v>
      </c>
      <c r="F103" s="1234">
        <f t="shared" si="1"/>
        <v>-11388.70994420888</v>
      </c>
    </row>
    <row r="104" spans="2:6" x14ac:dyDescent="0.2">
      <c r="B104" s="88"/>
      <c r="C104" s="52" t="s">
        <v>37</v>
      </c>
      <c r="D104" s="432">
        <f>'10. Final Load Forecast'!N28</f>
        <v>0</v>
      </c>
      <c r="E104" s="432">
        <f>'10. Final Load Forecast'!O28</f>
        <v>0</v>
      </c>
      <c r="F104" s="1234">
        <f t="shared" si="1"/>
        <v>0</v>
      </c>
    </row>
    <row r="105" spans="2:6" x14ac:dyDescent="0.2">
      <c r="B105" s="88"/>
      <c r="C105" s="52"/>
      <c r="D105" s="432"/>
      <c r="E105" s="432"/>
      <c r="F105" s="1234">
        <f t="shared" si="1"/>
        <v>0</v>
      </c>
    </row>
    <row r="106" spans="2:6" x14ac:dyDescent="0.2">
      <c r="B106" s="1233" t="s">
        <v>16</v>
      </c>
      <c r="C106" s="1221" t="s">
        <v>124</v>
      </c>
      <c r="D106" s="1220">
        <f t="shared" ref="D106:E108" si="2">D82+D86+D90+D94+D98+D102</f>
        <v>15908.4</v>
      </c>
      <c r="E106" s="1220">
        <f t="shared" si="2"/>
        <v>16157.858899999999</v>
      </c>
      <c r="F106" s="1234">
        <f t="shared" si="1"/>
        <v>249.45889999999963</v>
      </c>
    </row>
    <row r="107" spans="2:6" x14ac:dyDescent="0.2">
      <c r="B107" s="1233"/>
      <c r="C107" s="1221" t="s">
        <v>36</v>
      </c>
      <c r="D107" s="1220">
        <f t="shared" si="2"/>
        <v>127217372.74443601</v>
      </c>
      <c r="E107" s="1220">
        <f t="shared" si="2"/>
        <v>127120382.75561158</v>
      </c>
      <c r="F107" s="1234">
        <f t="shared" si="1"/>
        <v>-96989.988824427128</v>
      </c>
    </row>
    <row r="108" spans="2:6" x14ac:dyDescent="0.2">
      <c r="B108" s="1233"/>
      <c r="C108" s="1221" t="s">
        <v>37</v>
      </c>
      <c r="D108" s="1220">
        <f t="shared" si="2"/>
        <v>55296.284070217036</v>
      </c>
      <c r="E108" s="1220">
        <f t="shared" si="2"/>
        <v>53569.470622425993</v>
      </c>
      <c r="F108" s="1234">
        <f t="shared" si="1"/>
        <v>-1726.8134477910426</v>
      </c>
    </row>
    <row r="109" spans="2:6" ht="15" thickBot="1" x14ac:dyDescent="0.25">
      <c r="B109" s="89"/>
      <c r="C109" s="90"/>
      <c r="D109" s="650"/>
      <c r="E109" s="325"/>
      <c r="F109" s="12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U178"/>
  <sheetViews>
    <sheetView showGridLines="0" zoomScaleNormal="100" workbookViewId="0"/>
  </sheetViews>
  <sheetFormatPr defaultRowHeight="12.75" x14ac:dyDescent="0.2"/>
  <cols>
    <col min="1" max="1" width="9.33203125" style="31"/>
    <col min="2" max="2" width="18" style="31" customWidth="1"/>
    <col min="3" max="3" width="16.83203125" style="33" customWidth="1"/>
    <col min="4" max="4" width="14.1640625" style="33" customWidth="1"/>
    <col min="5" max="5" width="14.1640625" style="32" customWidth="1"/>
    <col min="6" max="6" width="14.1640625" style="33" customWidth="1"/>
    <col min="7" max="7" width="14.1640625" style="32" customWidth="1"/>
    <col min="8" max="8" width="14.1640625" style="33" customWidth="1"/>
    <col min="9" max="9" width="15.1640625" style="32" customWidth="1"/>
    <col min="10" max="10" width="14.1640625" style="32" customWidth="1"/>
    <col min="11" max="11" width="18.1640625" style="32" customWidth="1"/>
    <col min="12" max="13" width="14.1640625" style="33" customWidth="1"/>
    <col min="14" max="14" width="14.1640625" style="32" customWidth="1"/>
    <col min="15" max="16" width="14.1640625" style="33" customWidth="1"/>
    <col min="17" max="17" width="14.1640625" style="32" customWidth="1"/>
    <col min="18" max="19" width="14.1640625" style="33" customWidth="1"/>
    <col min="20" max="20" width="14.1640625" style="32" customWidth="1"/>
    <col min="21" max="21" width="13.5" style="33" hidden="1" customWidth="1"/>
    <col min="22" max="22" width="13.5" style="32" hidden="1" customWidth="1"/>
    <col min="23" max="23" width="13.5" style="33" hidden="1" customWidth="1"/>
    <col min="24" max="24" width="13.5" style="32" hidden="1" customWidth="1"/>
    <col min="25" max="28" width="13.5" style="31" hidden="1" customWidth="1"/>
    <col min="29" max="29" width="12" style="31" bestFit="1" customWidth="1"/>
    <col min="30" max="30" width="15.1640625" style="31" bestFit="1" customWidth="1"/>
    <col min="31" max="31" width="13.33203125" style="31" bestFit="1" customWidth="1"/>
    <col min="32" max="34" width="12" style="31" customWidth="1"/>
    <col min="35" max="35" width="16.33203125" style="31" bestFit="1" customWidth="1"/>
    <col min="36" max="36" width="17.6640625" style="31" bestFit="1" customWidth="1"/>
    <col min="37" max="37" width="17.33203125" style="31" customWidth="1"/>
    <col min="38" max="38" width="15.1640625" style="31" bestFit="1" customWidth="1"/>
    <col min="39" max="39" width="12" style="31" bestFit="1" customWidth="1"/>
    <col min="40" max="40" width="13.33203125" style="31" bestFit="1" customWidth="1"/>
    <col min="41" max="41" width="15.5" style="31" bestFit="1" customWidth="1"/>
    <col min="42" max="42" width="13.6640625" style="31" bestFit="1" customWidth="1"/>
    <col min="43" max="43" width="13.33203125" style="31" bestFit="1" customWidth="1"/>
    <col min="44" max="44" width="12" style="31" bestFit="1" customWidth="1"/>
    <col min="45" max="45" width="9.33203125" style="31"/>
    <col min="46" max="46" width="12" style="31" bestFit="1" customWidth="1"/>
    <col min="47" max="47" width="15.1640625" style="31" bestFit="1" customWidth="1"/>
    <col min="48" max="16384" width="9.33203125" style="31"/>
  </cols>
  <sheetData>
    <row r="1" spans="1:44" s="1" customFormat="1" x14ac:dyDescent="0.2">
      <c r="A1"/>
      <c r="B1"/>
      <c r="C1" s="51"/>
      <c r="D1" s="51"/>
      <c r="E1" s="51"/>
      <c r="F1" s="51"/>
      <c r="G1" s="51"/>
      <c r="L1" s="51"/>
      <c r="N1" s="51"/>
      <c r="O1" s="51"/>
      <c r="Q1" s="51"/>
    </row>
    <row r="2" spans="1:44" s="1" customFormat="1" ht="23.25" x14ac:dyDescent="0.2">
      <c r="A2"/>
      <c r="B2"/>
      <c r="C2" s="127" t="s">
        <v>96</v>
      </c>
      <c r="D2" s="51"/>
      <c r="E2" s="51"/>
      <c r="F2" s="51"/>
      <c r="G2" s="51"/>
      <c r="L2" s="51"/>
      <c r="N2" s="51"/>
      <c r="O2" s="51"/>
      <c r="Q2" s="51"/>
    </row>
    <row r="3" spans="1:44" ht="15.75" thickBot="1" x14ac:dyDescent="0.25">
      <c r="C3" s="58" t="s">
        <v>61</v>
      </c>
      <c r="D3" s="98"/>
      <c r="E3" s="98"/>
      <c r="F3" s="98"/>
      <c r="G3" s="98"/>
      <c r="H3"/>
      <c r="L3" s="98"/>
      <c r="M3" s="98"/>
      <c r="N3" s="98"/>
      <c r="O3" s="98"/>
      <c r="P3" s="98"/>
      <c r="Q3" s="98"/>
      <c r="R3" s="98"/>
      <c r="S3" s="98"/>
      <c r="T3" s="98"/>
    </row>
    <row r="4" spans="1:44" ht="15" thickBot="1" x14ac:dyDescent="0.25">
      <c r="C4" s="99" t="s">
        <v>65</v>
      </c>
      <c r="D4" s="99"/>
      <c r="E4" s="99"/>
      <c r="F4" s="99"/>
      <c r="G4" s="98"/>
      <c r="L4" s="98"/>
      <c r="M4" s="98"/>
      <c r="N4" s="98"/>
      <c r="O4" s="331"/>
      <c r="P4" s="332" t="s">
        <v>173</v>
      </c>
      <c r="Q4" s="98"/>
      <c r="R4" s="98"/>
      <c r="S4" s="98"/>
      <c r="T4" s="98"/>
    </row>
    <row r="5" spans="1:44" ht="14.25" x14ac:dyDescent="0.2">
      <c r="C5" s="99" t="s">
        <v>64</v>
      </c>
      <c r="D5" s="99"/>
      <c r="E5" s="99"/>
      <c r="F5" s="99"/>
      <c r="G5" s="98"/>
      <c r="L5" s="98"/>
      <c r="M5" s="98"/>
      <c r="N5" s="98"/>
      <c r="O5" s="98"/>
      <c r="P5" s="98"/>
      <c r="Q5" s="98"/>
      <c r="R5" s="98"/>
      <c r="S5" s="98"/>
      <c r="T5" s="98"/>
    </row>
    <row r="6" spans="1:44" ht="14.25" x14ac:dyDescent="0.2">
      <c r="C6" s="99" t="s">
        <v>66</v>
      </c>
      <c r="D6" s="99"/>
      <c r="E6" s="99"/>
      <c r="F6" s="99"/>
      <c r="G6" s="98"/>
      <c r="L6" s="98"/>
      <c r="M6" s="98"/>
      <c r="N6" s="98"/>
      <c r="O6" s="98"/>
      <c r="P6" s="98"/>
      <c r="Q6" s="98"/>
      <c r="R6" s="98"/>
      <c r="S6" s="98"/>
      <c r="T6" s="98"/>
    </row>
    <row r="7" spans="1:44" ht="14.25" x14ac:dyDescent="0.2">
      <c r="C7" s="99" t="s">
        <v>63</v>
      </c>
      <c r="D7" s="99"/>
      <c r="E7" s="99"/>
      <c r="F7" s="99"/>
      <c r="G7" s="98"/>
      <c r="L7" s="98"/>
      <c r="M7" s="98"/>
      <c r="N7" s="98"/>
      <c r="O7" s="98"/>
      <c r="P7" s="98"/>
      <c r="Q7" s="98"/>
      <c r="R7" s="98"/>
      <c r="S7" s="98"/>
      <c r="T7" s="98"/>
    </row>
    <row r="8" spans="1:44" ht="14.25" x14ac:dyDescent="0.2">
      <c r="C8" s="99"/>
      <c r="D8" s="99"/>
      <c r="E8" s="99"/>
      <c r="F8" s="99"/>
      <c r="G8" s="98"/>
      <c r="L8" s="98"/>
      <c r="M8" s="98"/>
      <c r="N8" s="98"/>
      <c r="O8" s="98"/>
      <c r="P8" s="98"/>
      <c r="Q8" s="98"/>
      <c r="R8" s="98"/>
      <c r="S8" s="98"/>
      <c r="T8" s="98"/>
    </row>
    <row r="9" spans="1:44" ht="15" x14ac:dyDescent="0.25">
      <c r="C9" s="100" t="s">
        <v>62</v>
      </c>
      <c r="D9" s="100"/>
      <c r="E9" s="99"/>
      <c r="F9" s="99"/>
      <c r="G9" s="98"/>
      <c r="L9" s="98"/>
      <c r="M9" s="98"/>
      <c r="N9" s="98"/>
      <c r="O9" s="98"/>
      <c r="P9" s="98"/>
      <c r="Q9" s="98"/>
      <c r="R9" s="98"/>
      <c r="S9" s="98"/>
      <c r="T9" s="98"/>
    </row>
    <row r="10" spans="1:44" ht="13.5" thickBot="1" x14ac:dyDescent="0.25"/>
    <row r="11" spans="1:44" ht="12.75" customHeight="1" x14ac:dyDescent="0.2">
      <c r="B11" s="34"/>
      <c r="C11" s="34"/>
      <c r="D11" s="1329" t="str">
        <f>'2. Customer Classes'!B5</f>
        <v>Residential</v>
      </c>
      <c r="E11" s="1330"/>
      <c r="F11" s="1329" t="str">
        <f>'2. Customer Classes'!B6</f>
        <v>General Service &lt; 50 kW</v>
      </c>
      <c r="G11" s="1330"/>
      <c r="H11" s="1332" t="str">
        <f>+'2. Customer Classes'!B7</f>
        <v>Unmetered Scattered Load</v>
      </c>
      <c r="I11" s="1333"/>
      <c r="J11" s="1332" t="str">
        <f>+'2. Customer Classes'!B8</f>
        <v>Sentinel Lighting</v>
      </c>
      <c r="K11" s="1333"/>
      <c r="L11" s="1329" t="str">
        <f>'2. Customer Classes'!B9</f>
        <v>General Service &gt; 50 kW - 4999 kW - Excluding Wholesale Market Participant</v>
      </c>
      <c r="M11" s="1331"/>
      <c r="N11" s="1330"/>
      <c r="O11" s="1334" t="str">
        <f>'2. Customer Classes'!B10</f>
        <v>General Service &gt; 50 kW - 4999 kW - Wholesale Market Participant</v>
      </c>
      <c r="P11" s="1335"/>
      <c r="Q11" s="1336"/>
      <c r="R11" s="1334" t="str">
        <f>'2. Customer Classes'!B11</f>
        <v>Streetlighting</v>
      </c>
      <c r="S11" s="1335"/>
      <c r="T11" s="1336"/>
      <c r="U11" s="1337" t="str">
        <f>'2. Customer Classes'!B11</f>
        <v>Streetlighting</v>
      </c>
      <c r="V11" s="1338"/>
      <c r="W11" s="1337" t="str">
        <f>'2. Customer Classes'!B12</f>
        <v>N/A</v>
      </c>
      <c r="X11" s="1338"/>
      <c r="Y11" s="1337" t="str">
        <f>'2. Customer Classes'!B13</f>
        <v>other</v>
      </c>
      <c r="Z11" s="1338"/>
      <c r="AA11" s="1337" t="str">
        <f>'2. Customer Classes'!B14</f>
        <v>other</v>
      </c>
      <c r="AB11" s="1338"/>
    </row>
    <row r="12" spans="1:44" ht="12.75" customHeight="1" x14ac:dyDescent="0.2">
      <c r="B12" s="160"/>
      <c r="C12" s="160"/>
      <c r="D12" s="1326" t="s">
        <v>115</v>
      </c>
      <c r="E12" s="1328"/>
      <c r="F12" s="1326" t="s">
        <v>115</v>
      </c>
      <c r="G12" s="1328"/>
      <c r="H12" s="1326" t="s">
        <v>115</v>
      </c>
      <c r="I12" s="1328"/>
      <c r="J12" s="1326" t="s">
        <v>115</v>
      </c>
      <c r="K12" s="1328"/>
      <c r="L12" s="1326" t="s">
        <v>115</v>
      </c>
      <c r="M12" s="1327"/>
      <c r="N12" s="1328"/>
      <c r="O12" s="1326" t="s">
        <v>115</v>
      </c>
      <c r="P12" s="1327"/>
      <c r="Q12" s="1328"/>
      <c r="R12" s="1326" t="s">
        <v>115</v>
      </c>
      <c r="S12" s="1327"/>
      <c r="T12" s="1328"/>
      <c r="U12" s="1326" t="s">
        <v>115</v>
      </c>
      <c r="V12" s="1328"/>
      <c r="W12" s="1326" t="s">
        <v>115</v>
      </c>
      <c r="X12" s="1328"/>
      <c r="Y12" s="1326" t="s">
        <v>115</v>
      </c>
      <c r="Z12" s="1328"/>
      <c r="AA12" s="1326" t="s">
        <v>115</v>
      </c>
      <c r="AB12" s="1328"/>
    </row>
    <row r="13" spans="1:44" x14ac:dyDescent="0.2">
      <c r="B13" s="35"/>
      <c r="C13" s="35"/>
      <c r="D13" s="36"/>
      <c r="E13" s="37" t="s">
        <v>35</v>
      </c>
      <c r="F13" s="36"/>
      <c r="G13" s="37" t="s">
        <v>35</v>
      </c>
      <c r="H13" s="36"/>
      <c r="I13" s="37" t="s">
        <v>35</v>
      </c>
      <c r="J13" s="36"/>
      <c r="K13" s="37" t="s">
        <v>35</v>
      </c>
      <c r="L13" s="36"/>
      <c r="M13" s="19"/>
      <c r="N13" s="37" t="s">
        <v>35</v>
      </c>
      <c r="O13" s="36"/>
      <c r="P13" s="19"/>
      <c r="Q13" s="37" t="s">
        <v>35</v>
      </c>
      <c r="R13" s="36"/>
      <c r="S13" s="19"/>
      <c r="T13" s="37" t="s">
        <v>35</v>
      </c>
      <c r="U13" s="36"/>
      <c r="V13" s="37" t="s">
        <v>35</v>
      </c>
      <c r="W13" s="36"/>
      <c r="X13" s="37" t="s">
        <v>35</v>
      </c>
      <c r="Y13" s="36"/>
      <c r="Z13" s="37" t="s">
        <v>35</v>
      </c>
      <c r="AA13" s="36"/>
      <c r="AB13" s="37" t="s">
        <v>35</v>
      </c>
    </row>
    <row r="14" spans="1:44" ht="13.5" thickBot="1" x14ac:dyDescent="0.25">
      <c r="B14" s="38"/>
      <c r="C14" s="38"/>
      <c r="D14" s="39" t="s">
        <v>36</v>
      </c>
      <c r="E14" s="40" t="s">
        <v>0</v>
      </c>
      <c r="F14" s="39" t="s">
        <v>36</v>
      </c>
      <c r="G14" s="40" t="s">
        <v>0</v>
      </c>
      <c r="H14" s="41" t="s">
        <v>36</v>
      </c>
      <c r="I14" s="42" t="s">
        <v>0</v>
      </c>
      <c r="J14" s="41" t="s">
        <v>36</v>
      </c>
      <c r="K14" s="42" t="s">
        <v>0</v>
      </c>
      <c r="L14" s="39" t="s">
        <v>36</v>
      </c>
      <c r="M14" s="24" t="s">
        <v>37</v>
      </c>
      <c r="N14" s="40" t="s">
        <v>0</v>
      </c>
      <c r="O14" s="39" t="s">
        <v>36</v>
      </c>
      <c r="P14" s="24" t="s">
        <v>37</v>
      </c>
      <c r="Q14" s="40" t="s">
        <v>0</v>
      </c>
      <c r="R14" s="39" t="s">
        <v>36</v>
      </c>
      <c r="S14" s="24" t="s">
        <v>37</v>
      </c>
      <c r="T14" s="40" t="s">
        <v>0</v>
      </c>
      <c r="U14" s="41" t="s">
        <v>36</v>
      </c>
      <c r="V14" s="42" t="s">
        <v>0</v>
      </c>
      <c r="W14" s="41" t="s">
        <v>36</v>
      </c>
      <c r="X14" s="42" t="s">
        <v>0</v>
      </c>
      <c r="Y14" s="41" t="s">
        <v>36</v>
      </c>
      <c r="Z14" s="42" t="s">
        <v>0</v>
      </c>
      <c r="AA14" s="41" t="s">
        <v>36</v>
      </c>
      <c r="AB14" s="42" t="s">
        <v>0</v>
      </c>
    </row>
    <row r="15" spans="1:44" ht="15.75" customHeight="1" thickBot="1" x14ac:dyDescent="0.25">
      <c r="B15" s="34" t="s">
        <v>33</v>
      </c>
      <c r="C15" s="738" t="s">
        <v>101</v>
      </c>
      <c r="D15" s="300"/>
      <c r="E15" s="301"/>
      <c r="F15" s="300"/>
      <c r="G15" s="301"/>
      <c r="H15" s="302"/>
      <c r="I15" s="301"/>
      <c r="J15" s="302"/>
      <c r="K15" s="301"/>
      <c r="L15" s="300"/>
      <c r="M15" s="303"/>
      <c r="N15" s="301"/>
      <c r="O15" s="300"/>
      <c r="P15" s="303"/>
      <c r="Q15" s="301"/>
      <c r="R15" s="300"/>
      <c r="S15" s="303"/>
      <c r="T15" s="301"/>
      <c r="U15" s="44"/>
      <c r="V15" s="43"/>
      <c r="W15" s="44"/>
      <c r="X15" s="43"/>
      <c r="Y15" s="44"/>
      <c r="Z15" s="43"/>
      <c r="AA15" s="44"/>
      <c r="AB15" s="43"/>
    </row>
    <row r="16" spans="1:44" x14ac:dyDescent="0.2">
      <c r="B16" s="161">
        <f>'1. LDC Info'!$F$18-11</f>
        <v>2005</v>
      </c>
      <c r="C16" s="736" t="s">
        <v>106</v>
      </c>
      <c r="D16" s="794">
        <v>3735599</v>
      </c>
      <c r="E16" s="795">
        <v>9231</v>
      </c>
      <c r="F16" s="715">
        <v>1224234.32</v>
      </c>
      <c r="G16" s="712">
        <v>745</v>
      </c>
      <c r="H16" s="713"/>
      <c r="I16" s="712">
        <v>55</v>
      </c>
      <c r="J16" s="714"/>
      <c r="K16" s="712"/>
      <c r="L16" s="715">
        <v>0</v>
      </c>
      <c r="M16" s="327"/>
      <c r="N16" s="712">
        <v>41</v>
      </c>
      <c r="O16" s="716"/>
      <c r="P16" s="327"/>
      <c r="Q16" s="712">
        <v>1</v>
      </c>
      <c r="R16" s="716">
        <v>162157.32999999999</v>
      </c>
      <c r="S16" s="715"/>
      <c r="T16" s="712">
        <v>2134</v>
      </c>
      <c r="U16" s="46"/>
      <c r="V16" s="45"/>
      <c r="W16" s="46"/>
      <c r="X16" s="45"/>
      <c r="Y16" s="46"/>
      <c r="Z16" s="45"/>
      <c r="AA16" s="46"/>
      <c r="AB16" s="45"/>
      <c r="AR16" s="954"/>
    </row>
    <row r="17" spans="2:44" x14ac:dyDescent="0.2">
      <c r="B17" s="161">
        <f>'1. LDC Info'!$F$18-11</f>
        <v>2005</v>
      </c>
      <c r="C17" s="735" t="s">
        <v>107</v>
      </c>
      <c r="D17" s="716">
        <v>7763623.4000000004</v>
      </c>
      <c r="E17" s="712"/>
      <c r="F17" s="715">
        <v>910960.04</v>
      </c>
      <c r="G17" s="712"/>
      <c r="H17" s="715"/>
      <c r="I17" s="712"/>
      <c r="J17" s="714"/>
      <c r="K17" s="712"/>
      <c r="L17" s="715">
        <v>1609687</v>
      </c>
      <c r="M17" s="327"/>
      <c r="N17" s="712"/>
      <c r="O17" s="716"/>
      <c r="P17" s="327"/>
      <c r="Q17" s="712"/>
      <c r="R17" s="716"/>
      <c r="S17" s="715"/>
      <c r="T17" s="712"/>
      <c r="U17" s="46"/>
      <c r="V17" s="45"/>
      <c r="W17" s="46"/>
      <c r="X17" s="45"/>
      <c r="Y17" s="46"/>
      <c r="Z17" s="45"/>
      <c r="AA17" s="46"/>
      <c r="AB17" s="45"/>
      <c r="AR17" s="954"/>
    </row>
    <row r="18" spans="2:44" ht="15" x14ac:dyDescent="0.25">
      <c r="B18" s="161">
        <f>'1. LDC Info'!$F$18-11</f>
        <v>2005</v>
      </c>
      <c r="C18" s="735" t="s">
        <v>108</v>
      </c>
      <c r="D18" s="716">
        <v>10342376.1</v>
      </c>
      <c r="E18" s="712"/>
      <c r="F18" s="715">
        <v>1756099.58</v>
      </c>
      <c r="G18" s="712"/>
      <c r="H18" s="715"/>
      <c r="I18" s="712"/>
      <c r="J18" s="714"/>
      <c r="K18" s="712"/>
      <c r="L18" s="715">
        <v>793978</v>
      </c>
      <c r="M18" s="327"/>
      <c r="N18" s="712"/>
      <c r="O18" s="716"/>
      <c r="P18" s="327"/>
      <c r="Q18" s="712"/>
      <c r="R18" s="716">
        <v>158099.49</v>
      </c>
      <c r="S18" s="715"/>
      <c r="T18" s="712"/>
      <c r="U18" s="46"/>
      <c r="V18" s="45"/>
      <c r="W18" s="46"/>
      <c r="X18" s="45"/>
      <c r="Y18" s="46"/>
      <c r="Z18" s="45"/>
      <c r="AA18" s="46"/>
      <c r="AB18" s="45"/>
      <c r="AP18" s="982"/>
      <c r="AR18" s="954"/>
    </row>
    <row r="19" spans="2:44" ht="15" x14ac:dyDescent="0.25">
      <c r="B19" s="161">
        <f>'1. LDC Info'!$F$18-11</f>
        <v>2005</v>
      </c>
      <c r="C19" s="735" t="s">
        <v>109</v>
      </c>
      <c r="D19" s="716">
        <v>5542665.9199999999</v>
      </c>
      <c r="E19" s="712"/>
      <c r="F19" s="715">
        <v>836504.5</v>
      </c>
      <c r="G19" s="712"/>
      <c r="H19" s="715"/>
      <c r="I19" s="712"/>
      <c r="J19" s="714"/>
      <c r="K19" s="712"/>
      <c r="L19" s="715">
        <v>815982.12</v>
      </c>
      <c r="M19" s="327"/>
      <c r="N19" s="712"/>
      <c r="O19" s="716"/>
      <c r="P19" s="327"/>
      <c r="Q19" s="712"/>
      <c r="R19" s="716">
        <v>260694.21</v>
      </c>
      <c r="S19" s="715"/>
      <c r="T19" s="712"/>
      <c r="U19" s="46"/>
      <c r="V19" s="45"/>
      <c r="W19" s="46"/>
      <c r="X19" s="45"/>
      <c r="Y19" s="46"/>
      <c r="Z19" s="45"/>
      <c r="AA19" s="46"/>
      <c r="AB19" s="45"/>
      <c r="AP19" s="982"/>
      <c r="AR19" s="954"/>
    </row>
    <row r="20" spans="2:44" ht="15" x14ac:dyDescent="0.25">
      <c r="B20" s="161">
        <f>'1. LDC Info'!$F$18-11</f>
        <v>2005</v>
      </c>
      <c r="C20" s="735" t="s">
        <v>110</v>
      </c>
      <c r="D20" s="716">
        <v>6603075.9299999997</v>
      </c>
      <c r="E20" s="712"/>
      <c r="F20" s="715">
        <v>1510315.55</v>
      </c>
      <c r="G20" s="712"/>
      <c r="H20" s="713"/>
      <c r="I20" s="712"/>
      <c r="J20" s="714"/>
      <c r="K20" s="712"/>
      <c r="L20" s="715">
        <v>837401.84000000008</v>
      </c>
      <c r="M20" s="327"/>
      <c r="N20" s="712"/>
      <c r="O20" s="716"/>
      <c r="P20" s="327"/>
      <c r="Q20" s="712"/>
      <c r="R20" s="716">
        <v>111207.29</v>
      </c>
      <c r="S20" s="715"/>
      <c r="T20" s="712"/>
      <c r="U20" s="46"/>
      <c r="V20" s="45"/>
      <c r="W20" s="46"/>
      <c r="X20" s="45"/>
      <c r="Y20" s="46"/>
      <c r="Z20" s="45"/>
      <c r="AA20" s="46"/>
      <c r="AB20" s="45"/>
      <c r="AP20" s="982"/>
      <c r="AR20" s="954"/>
    </row>
    <row r="21" spans="2:44" ht="15" x14ac:dyDescent="0.25">
      <c r="B21" s="161">
        <f>'1. LDC Info'!$F$18-11</f>
        <v>2005</v>
      </c>
      <c r="C21" s="735" t="s">
        <v>111</v>
      </c>
      <c r="D21" s="716">
        <v>6049481.9000000004</v>
      </c>
      <c r="E21" s="712"/>
      <c r="F21" s="715">
        <v>786272.31</v>
      </c>
      <c r="G21" s="712"/>
      <c r="H21" s="715"/>
      <c r="I21" s="712"/>
      <c r="J21" s="714"/>
      <c r="K21" s="712"/>
      <c r="L21" s="715">
        <v>1159829.04</v>
      </c>
      <c r="M21" s="327"/>
      <c r="N21" s="712"/>
      <c r="O21" s="270"/>
      <c r="P21" s="327"/>
      <c r="Q21" s="712"/>
      <c r="R21" s="716"/>
      <c r="S21" s="715"/>
      <c r="T21" s="712"/>
      <c r="U21" s="46"/>
      <c r="V21" s="45"/>
      <c r="W21" s="46"/>
      <c r="X21" s="45"/>
      <c r="Y21" s="46"/>
      <c r="Z21" s="45"/>
      <c r="AA21" s="46"/>
      <c r="AB21" s="45"/>
      <c r="AI21" s="954"/>
      <c r="AP21" s="982"/>
      <c r="AR21" s="954"/>
    </row>
    <row r="22" spans="2:44" ht="15" x14ac:dyDescent="0.25">
      <c r="B22" s="161">
        <f>'1. LDC Info'!$F$18-11</f>
        <v>2005</v>
      </c>
      <c r="C22" s="735" t="s">
        <v>112</v>
      </c>
      <c r="D22" s="716">
        <v>6398295.3499999996</v>
      </c>
      <c r="E22" s="712"/>
      <c r="F22" s="715">
        <v>1309106</v>
      </c>
      <c r="G22" s="712"/>
      <c r="H22" s="715"/>
      <c r="I22" s="712"/>
      <c r="J22" s="714"/>
      <c r="K22" s="712"/>
      <c r="L22" s="715">
        <v>1585672.04</v>
      </c>
      <c r="M22" s="327"/>
      <c r="N22" s="712"/>
      <c r="O22" s="270"/>
      <c r="P22" s="327"/>
      <c r="Q22" s="712"/>
      <c r="R22" s="716"/>
      <c r="S22" s="715"/>
      <c r="T22" s="712"/>
      <c r="U22" s="46"/>
      <c r="V22" s="45"/>
      <c r="W22" s="46"/>
      <c r="X22" s="45"/>
      <c r="Y22" s="46"/>
      <c r="Z22" s="45"/>
      <c r="AA22" s="46"/>
      <c r="AB22" s="45"/>
      <c r="AI22" s="954"/>
      <c r="AP22" s="982"/>
      <c r="AR22" s="954"/>
    </row>
    <row r="23" spans="2:44" ht="15" x14ac:dyDescent="0.25">
      <c r="B23" s="161">
        <f>'1. LDC Info'!$F$18-11</f>
        <v>2005</v>
      </c>
      <c r="C23" s="735" t="s">
        <v>113</v>
      </c>
      <c r="D23" s="716">
        <v>7798819.7000000002</v>
      </c>
      <c r="E23" s="712"/>
      <c r="F23" s="715">
        <v>1793497.0999999999</v>
      </c>
      <c r="G23" s="712"/>
      <c r="H23" s="715"/>
      <c r="I23" s="712"/>
      <c r="J23" s="714"/>
      <c r="K23" s="712"/>
      <c r="L23" s="715">
        <v>1906284.56</v>
      </c>
      <c r="M23" s="327"/>
      <c r="N23" s="712"/>
      <c r="O23" s="270"/>
      <c r="P23" s="327"/>
      <c r="Q23" s="712"/>
      <c r="R23" s="716">
        <v>287473.99</v>
      </c>
      <c r="S23" s="715"/>
      <c r="T23" s="712"/>
      <c r="U23" s="46"/>
      <c r="V23" s="45"/>
      <c r="W23" s="46"/>
      <c r="X23" s="45"/>
      <c r="Y23" s="46"/>
      <c r="Z23" s="45"/>
      <c r="AA23" s="46"/>
      <c r="AB23" s="45"/>
      <c r="AI23" s="954"/>
      <c r="AP23" s="982"/>
      <c r="AR23" s="954"/>
    </row>
    <row r="24" spans="2:44" ht="15" x14ac:dyDescent="0.25">
      <c r="B24" s="161">
        <f>'1. LDC Info'!$F$18-11</f>
        <v>2005</v>
      </c>
      <c r="C24" s="735" t="s">
        <v>103</v>
      </c>
      <c r="D24" s="716">
        <v>7062157</v>
      </c>
      <c r="E24" s="712"/>
      <c r="F24" s="715">
        <v>1499167</v>
      </c>
      <c r="G24" s="712"/>
      <c r="H24" s="713"/>
      <c r="I24" s="712"/>
      <c r="J24" s="714"/>
      <c r="K24" s="712"/>
      <c r="L24" s="715">
        <v>1641249.28</v>
      </c>
      <c r="M24" s="327"/>
      <c r="N24" s="712"/>
      <c r="O24" s="270"/>
      <c r="P24" s="327"/>
      <c r="Q24" s="712"/>
      <c r="R24" s="716"/>
      <c r="S24" s="715"/>
      <c r="T24" s="712"/>
      <c r="U24" s="46"/>
      <c r="V24" s="45"/>
      <c r="W24" s="46"/>
      <c r="X24" s="45"/>
      <c r="Y24" s="46"/>
      <c r="Z24" s="45"/>
      <c r="AA24" s="46"/>
      <c r="AB24" s="45"/>
      <c r="AI24" s="954"/>
      <c r="AP24" s="982"/>
      <c r="AR24" s="954"/>
    </row>
    <row r="25" spans="2:44" ht="15" x14ac:dyDescent="0.25">
      <c r="B25" s="161">
        <f>'1. LDC Info'!$F$18-11</f>
        <v>2005</v>
      </c>
      <c r="C25" s="735" t="s">
        <v>104</v>
      </c>
      <c r="D25" s="716">
        <v>3623527</v>
      </c>
      <c r="E25" s="712"/>
      <c r="F25" s="715">
        <v>961184</v>
      </c>
      <c r="G25" s="712"/>
      <c r="H25" s="715"/>
      <c r="I25" s="712"/>
      <c r="J25" s="714"/>
      <c r="K25" s="712"/>
      <c r="L25" s="715">
        <v>1160089.2100000002</v>
      </c>
      <c r="M25" s="327"/>
      <c r="N25" s="712"/>
      <c r="O25" s="270">
        <v>338398.35</v>
      </c>
      <c r="P25" s="327"/>
      <c r="Q25" s="712"/>
      <c r="R25" s="716">
        <v>231654.04</v>
      </c>
      <c r="S25" s="715"/>
      <c r="T25" s="712"/>
      <c r="U25" s="46"/>
      <c r="V25" s="45"/>
      <c r="W25" s="46"/>
      <c r="X25" s="45"/>
      <c r="Y25" s="46"/>
      <c r="Z25" s="45"/>
      <c r="AA25" s="46"/>
      <c r="AB25" s="45"/>
      <c r="AC25" s="976">
        <f>O25*0.0738</f>
        <v>24973.79823</v>
      </c>
      <c r="AD25" s="976">
        <f>L25-AC25</f>
        <v>1135115.4117700001</v>
      </c>
      <c r="AE25" s="976">
        <f>AC25+O25</f>
        <v>363372.14822999999</v>
      </c>
      <c r="AF25" s="976"/>
      <c r="AG25" s="976"/>
      <c r="AH25" s="976"/>
      <c r="AI25" s="954"/>
      <c r="AP25" s="982"/>
      <c r="AQ25" s="976"/>
      <c r="AR25" s="954"/>
    </row>
    <row r="26" spans="2:44" ht="15" x14ac:dyDescent="0.25">
      <c r="B26" s="161">
        <f>'1. LDC Info'!$F$18-11</f>
        <v>2005</v>
      </c>
      <c r="C26" s="735" t="s">
        <v>105</v>
      </c>
      <c r="D26" s="716">
        <v>6938976</v>
      </c>
      <c r="E26" s="712"/>
      <c r="F26" s="715">
        <v>1665615</v>
      </c>
      <c r="G26" s="712"/>
      <c r="H26" s="715"/>
      <c r="I26" s="712"/>
      <c r="J26" s="714"/>
      <c r="K26" s="712"/>
      <c r="L26" s="715">
        <v>-2372403.92</v>
      </c>
      <c r="M26" s="327"/>
      <c r="N26" s="712"/>
      <c r="O26" s="270">
        <v>322377.48</v>
      </c>
      <c r="P26" s="327"/>
      <c r="Q26" s="712"/>
      <c r="R26" s="716"/>
      <c r="S26" s="715"/>
      <c r="T26" s="712"/>
      <c r="U26" s="46"/>
      <c r="V26" s="45"/>
      <c r="W26" s="46"/>
      <c r="X26" s="45"/>
      <c r="Y26" s="46"/>
      <c r="Z26" s="45"/>
      <c r="AA26" s="46"/>
      <c r="AB26" s="45"/>
      <c r="AC26" s="976">
        <f t="shared" ref="AC26:AC89" si="0">O26*0.0738</f>
        <v>23791.458024</v>
      </c>
      <c r="AD26" s="976">
        <f t="shared" ref="AD26:AD89" si="1">L26-AC26</f>
        <v>-2396195.3780239997</v>
      </c>
      <c r="AE26" s="976">
        <f t="shared" ref="AE26:AE89" si="2">AC26+O26</f>
        <v>346168.93802399997</v>
      </c>
      <c r="AF26" s="976"/>
      <c r="AG26" s="976"/>
      <c r="AH26" s="976"/>
      <c r="AI26" s="954"/>
      <c r="AP26" s="982"/>
      <c r="AQ26" s="976"/>
      <c r="AR26" s="954"/>
    </row>
    <row r="27" spans="2:44" ht="15" x14ac:dyDescent="0.25">
      <c r="B27" s="161">
        <f>'1. LDC Info'!$F$18-11</f>
        <v>2005</v>
      </c>
      <c r="C27" s="735" t="s">
        <v>102</v>
      </c>
      <c r="D27" s="716">
        <v>2811621</v>
      </c>
      <c r="E27" s="712">
        <v>9649</v>
      </c>
      <c r="F27" s="715">
        <f>544756-264617+4383</f>
        <v>284522</v>
      </c>
      <c r="G27" s="712">
        <v>741</v>
      </c>
      <c r="H27" s="715">
        <v>264617</v>
      </c>
      <c r="I27" s="712">
        <v>50</v>
      </c>
      <c r="J27" s="877">
        <v>4383</v>
      </c>
      <c r="K27" s="712"/>
      <c r="L27" s="715">
        <v>3251024.49</v>
      </c>
      <c r="M27" s="327"/>
      <c r="N27" s="712">
        <v>43</v>
      </c>
      <c r="O27" s="270">
        <v>333422.74999999994</v>
      </c>
      <c r="P27" s="327"/>
      <c r="Q27" s="712">
        <v>1</v>
      </c>
      <c r="R27" s="716">
        <v>295392.67</v>
      </c>
      <c r="S27" s="715"/>
      <c r="T27" s="712">
        <v>2229</v>
      </c>
      <c r="U27" s="46"/>
      <c r="V27" s="45"/>
      <c r="W27" s="46"/>
      <c r="X27" s="45"/>
      <c r="Y27" s="46"/>
      <c r="Z27" s="45"/>
      <c r="AA27" s="46"/>
      <c r="AB27" s="45"/>
      <c r="AC27" s="976">
        <f t="shared" si="0"/>
        <v>24606.598949999996</v>
      </c>
      <c r="AD27" s="976">
        <f t="shared" si="1"/>
        <v>3226417.8910500002</v>
      </c>
      <c r="AE27" s="976">
        <f t="shared" si="2"/>
        <v>358029.34894999996</v>
      </c>
      <c r="AF27" s="976"/>
      <c r="AG27" s="976"/>
      <c r="AH27" s="976"/>
      <c r="AI27" s="954"/>
      <c r="AP27" s="982"/>
      <c r="AQ27" s="976"/>
      <c r="AR27" s="954"/>
    </row>
    <row r="28" spans="2:44" ht="15" x14ac:dyDescent="0.25">
      <c r="B28" s="161">
        <f>'1. LDC Info'!$F$18-10</f>
        <v>2006</v>
      </c>
      <c r="C28" s="735" t="s">
        <v>106</v>
      </c>
      <c r="D28" s="716">
        <v>6442597.8300000001</v>
      </c>
      <c r="E28" s="712">
        <v>9649</v>
      </c>
      <c r="F28" s="715">
        <v>1349855.2</v>
      </c>
      <c r="G28" s="712">
        <v>741</v>
      </c>
      <c r="H28" s="713"/>
      <c r="I28" s="712">
        <v>50</v>
      </c>
      <c r="J28" s="714"/>
      <c r="K28" s="712"/>
      <c r="L28" s="715">
        <v>1169154.5000000002</v>
      </c>
      <c r="M28" s="327"/>
      <c r="N28" s="712">
        <v>43</v>
      </c>
      <c r="O28" s="270">
        <v>335213.49999999994</v>
      </c>
      <c r="P28" s="327"/>
      <c r="Q28" s="712">
        <v>1</v>
      </c>
      <c r="R28" s="716">
        <v>171390.34</v>
      </c>
      <c r="S28" s="715"/>
      <c r="T28" s="712">
        <v>2229</v>
      </c>
      <c r="U28" s="46"/>
      <c r="V28" s="45"/>
      <c r="W28" s="46"/>
      <c r="X28" s="45"/>
      <c r="Y28" s="46"/>
      <c r="Z28" s="45"/>
      <c r="AA28" s="46"/>
      <c r="AB28" s="45"/>
      <c r="AC28" s="976">
        <f t="shared" si="0"/>
        <v>24738.756299999997</v>
      </c>
      <c r="AD28" s="976">
        <f t="shared" si="1"/>
        <v>1144415.7437000002</v>
      </c>
      <c r="AE28" s="976">
        <f t="shared" si="2"/>
        <v>359952.25629999995</v>
      </c>
      <c r="AF28" s="976"/>
      <c r="AG28" s="976"/>
      <c r="AH28" s="976"/>
      <c r="AI28" s="954"/>
      <c r="AP28" s="982"/>
      <c r="AQ28" s="976"/>
      <c r="AR28" s="954"/>
    </row>
    <row r="29" spans="2:44" ht="15" x14ac:dyDescent="0.25">
      <c r="B29" s="161">
        <f>'1. LDC Info'!$F$18-10</f>
        <v>2006</v>
      </c>
      <c r="C29" s="735" t="s">
        <v>107</v>
      </c>
      <c r="D29" s="716">
        <v>6737611.9699999997</v>
      </c>
      <c r="E29" s="712"/>
      <c r="F29" s="715">
        <v>830225.01</v>
      </c>
      <c r="G29" s="712"/>
      <c r="H29" s="715"/>
      <c r="I29" s="712"/>
      <c r="J29" s="714"/>
      <c r="K29" s="712"/>
      <c r="L29" s="715">
        <v>827464.5399999998</v>
      </c>
      <c r="M29" s="327"/>
      <c r="N29" s="712"/>
      <c r="O29" s="270">
        <v>301289.77999999997</v>
      </c>
      <c r="P29" s="327"/>
      <c r="Q29" s="712"/>
      <c r="R29" s="716">
        <v>166938.19</v>
      </c>
      <c r="S29" s="715"/>
      <c r="T29" s="712"/>
      <c r="U29" s="46"/>
      <c r="V29" s="45"/>
      <c r="W29" s="46"/>
      <c r="X29" s="45"/>
      <c r="Y29" s="46"/>
      <c r="Z29" s="45"/>
      <c r="AA29" s="46"/>
      <c r="AB29" s="45"/>
      <c r="AC29" s="976">
        <f t="shared" si="0"/>
        <v>22235.185763999998</v>
      </c>
      <c r="AD29" s="976">
        <f t="shared" si="1"/>
        <v>805229.35423599975</v>
      </c>
      <c r="AE29" s="976">
        <f t="shared" si="2"/>
        <v>323524.96576399996</v>
      </c>
      <c r="AF29" s="976"/>
      <c r="AG29" s="976"/>
      <c r="AH29" s="976"/>
      <c r="AI29" s="954"/>
      <c r="AP29" s="982"/>
      <c r="AQ29" s="976"/>
      <c r="AR29" s="954"/>
    </row>
    <row r="30" spans="2:44" ht="15" x14ac:dyDescent="0.25">
      <c r="B30" s="161">
        <f>'1. LDC Info'!$F$18-10</f>
        <v>2006</v>
      </c>
      <c r="C30" s="735" t="s">
        <v>108</v>
      </c>
      <c r="D30" s="716">
        <v>10659170.34</v>
      </c>
      <c r="E30" s="712"/>
      <c r="F30" s="715">
        <v>1862650.1400000001</v>
      </c>
      <c r="G30" s="712"/>
      <c r="H30" s="715"/>
      <c r="I30" s="712"/>
      <c r="J30" s="714"/>
      <c r="K30" s="712"/>
      <c r="L30" s="715">
        <v>559457.87000000011</v>
      </c>
      <c r="M30" s="327"/>
      <c r="N30" s="712"/>
      <c r="O30" s="270">
        <v>335533.60999999993</v>
      </c>
      <c r="P30" s="327"/>
      <c r="Q30" s="712"/>
      <c r="R30" s="716">
        <v>139684.66</v>
      </c>
      <c r="S30" s="715"/>
      <c r="T30" s="712"/>
      <c r="U30" s="46"/>
      <c r="V30" s="45"/>
      <c r="W30" s="46"/>
      <c r="X30" s="45"/>
      <c r="Y30" s="46"/>
      <c r="Z30" s="45"/>
      <c r="AA30" s="46"/>
      <c r="AB30" s="45"/>
      <c r="AC30" s="976">
        <f t="shared" si="0"/>
        <v>24762.380417999997</v>
      </c>
      <c r="AD30" s="976">
        <f t="shared" si="1"/>
        <v>534695.48958200007</v>
      </c>
      <c r="AE30" s="976">
        <f t="shared" si="2"/>
        <v>360295.99041799991</v>
      </c>
      <c r="AF30" s="976"/>
      <c r="AG30" s="976"/>
      <c r="AH30" s="976"/>
      <c r="AI30" s="954"/>
      <c r="AP30" s="982"/>
      <c r="AQ30" s="976"/>
      <c r="AR30" s="954"/>
    </row>
    <row r="31" spans="2:44" ht="15" x14ac:dyDescent="0.25">
      <c r="B31" s="161">
        <f>'1. LDC Info'!$F$18-10</f>
        <v>2006</v>
      </c>
      <c r="C31" s="735" t="s">
        <v>109</v>
      </c>
      <c r="D31" s="716">
        <v>5768463</v>
      </c>
      <c r="E31" s="712"/>
      <c r="F31" s="715">
        <v>1182634.1599999999</v>
      </c>
      <c r="G31" s="712"/>
      <c r="H31" s="715"/>
      <c r="I31" s="712"/>
      <c r="J31" s="714"/>
      <c r="K31" s="712"/>
      <c r="L31" s="715">
        <v>874504.49</v>
      </c>
      <c r="M31" s="327"/>
      <c r="N31" s="712"/>
      <c r="O31" s="270">
        <v>326765.43</v>
      </c>
      <c r="P31" s="327"/>
      <c r="Q31" s="712"/>
      <c r="R31" s="716"/>
      <c r="S31" s="715"/>
      <c r="T31" s="712"/>
      <c r="U31" s="46"/>
      <c r="V31" s="45"/>
      <c r="W31" s="46"/>
      <c r="X31" s="45"/>
      <c r="Y31" s="46"/>
      <c r="Z31" s="45"/>
      <c r="AA31" s="46"/>
      <c r="AB31" s="45"/>
      <c r="AC31" s="976">
        <f t="shared" si="0"/>
        <v>24115.288734000002</v>
      </c>
      <c r="AD31" s="976">
        <f t="shared" si="1"/>
        <v>850389.20126600005</v>
      </c>
      <c r="AE31" s="976">
        <f t="shared" si="2"/>
        <v>350880.71873399999</v>
      </c>
      <c r="AF31" s="976"/>
      <c r="AG31" s="976"/>
      <c r="AH31" s="976"/>
      <c r="AI31" s="954"/>
      <c r="AP31" s="982"/>
      <c r="AQ31" s="976"/>
      <c r="AR31" s="954"/>
    </row>
    <row r="32" spans="2:44" ht="15" x14ac:dyDescent="0.25">
      <c r="B32" s="161">
        <f>'1. LDC Info'!$F$18-10</f>
        <v>2006</v>
      </c>
      <c r="C32" s="735" t="s">
        <v>110</v>
      </c>
      <c r="D32" s="716">
        <v>6955107.1800000006</v>
      </c>
      <c r="E32" s="712"/>
      <c r="F32" s="715">
        <v>1166826</v>
      </c>
      <c r="G32" s="712"/>
      <c r="H32" s="713"/>
      <c r="I32" s="712"/>
      <c r="J32" s="714"/>
      <c r="K32" s="712"/>
      <c r="L32" s="715">
        <v>1118401.93</v>
      </c>
      <c r="M32" s="327"/>
      <c r="N32" s="712"/>
      <c r="O32" s="270">
        <v>361032.46999999991</v>
      </c>
      <c r="P32" s="327"/>
      <c r="Q32" s="712"/>
      <c r="R32" s="716">
        <v>253917.17</v>
      </c>
      <c r="S32" s="715"/>
      <c r="T32" s="712"/>
      <c r="U32" s="46"/>
      <c r="V32" s="45"/>
      <c r="W32" s="46"/>
      <c r="X32" s="45"/>
      <c r="Y32" s="46"/>
      <c r="Z32" s="45"/>
      <c r="AA32" s="46"/>
      <c r="AB32" s="45"/>
      <c r="AC32" s="976">
        <f t="shared" si="0"/>
        <v>26644.196285999995</v>
      </c>
      <c r="AD32" s="976">
        <f t="shared" si="1"/>
        <v>1091757.7337139999</v>
      </c>
      <c r="AE32" s="976">
        <f t="shared" si="2"/>
        <v>387676.66628599993</v>
      </c>
      <c r="AF32" s="976"/>
      <c r="AG32" s="976"/>
      <c r="AH32" s="976"/>
      <c r="AI32" s="954"/>
      <c r="AP32" s="982"/>
      <c r="AQ32" s="976"/>
      <c r="AR32" s="954"/>
    </row>
    <row r="33" spans="2:44" ht="15" x14ac:dyDescent="0.25">
      <c r="B33" s="161">
        <f>'1. LDC Info'!$F$18-10</f>
        <v>2006</v>
      </c>
      <c r="C33" s="735" t="s">
        <v>111</v>
      </c>
      <c r="D33" s="716">
        <v>4794699.3600000003</v>
      </c>
      <c r="E33" s="712"/>
      <c r="F33" s="715">
        <v>1064973.2</v>
      </c>
      <c r="G33" s="712"/>
      <c r="H33" s="715"/>
      <c r="I33" s="712"/>
      <c r="J33" s="714"/>
      <c r="K33" s="712"/>
      <c r="L33" s="715">
        <v>1153176.5199999998</v>
      </c>
      <c r="M33" s="327"/>
      <c r="N33" s="712"/>
      <c r="O33" s="270">
        <v>367674.31999999995</v>
      </c>
      <c r="P33" s="327"/>
      <c r="Q33" s="712"/>
      <c r="R33" s="716">
        <v>104932.65</v>
      </c>
      <c r="S33" s="715"/>
      <c r="T33" s="712"/>
      <c r="U33" s="46"/>
      <c r="V33" s="45"/>
      <c r="W33" s="46"/>
      <c r="X33" s="45"/>
      <c r="Y33" s="46"/>
      <c r="Z33" s="45"/>
      <c r="AA33" s="46"/>
      <c r="AB33" s="45"/>
      <c r="AC33" s="976">
        <f t="shared" si="0"/>
        <v>27134.364815999998</v>
      </c>
      <c r="AD33" s="976">
        <f t="shared" si="1"/>
        <v>1126042.1551839998</v>
      </c>
      <c r="AE33" s="976">
        <f t="shared" si="2"/>
        <v>394808.68481599994</v>
      </c>
      <c r="AF33" s="976"/>
      <c r="AG33" s="976"/>
      <c r="AH33" s="976"/>
      <c r="AI33" s="954"/>
      <c r="AP33" s="982"/>
      <c r="AQ33" s="976"/>
      <c r="AR33" s="954"/>
    </row>
    <row r="34" spans="2:44" ht="15" x14ac:dyDescent="0.25">
      <c r="B34" s="161">
        <f>'1. LDC Info'!$F$18-10</f>
        <v>2006</v>
      </c>
      <c r="C34" s="735" t="s">
        <v>112</v>
      </c>
      <c r="D34" s="716">
        <v>4069929.8800000004</v>
      </c>
      <c r="E34" s="712"/>
      <c r="F34" s="715">
        <v>915428</v>
      </c>
      <c r="G34" s="712"/>
      <c r="H34" s="715"/>
      <c r="I34" s="712"/>
      <c r="J34" s="714"/>
      <c r="K34" s="712"/>
      <c r="L34" s="715">
        <v>1152349.7100000002</v>
      </c>
      <c r="M34" s="327"/>
      <c r="N34" s="712"/>
      <c r="O34" s="270">
        <v>427913.40999999992</v>
      </c>
      <c r="P34" s="327"/>
      <c r="Q34" s="712"/>
      <c r="R34" s="716"/>
      <c r="S34" s="715"/>
      <c r="T34" s="712"/>
      <c r="U34" s="46"/>
      <c r="V34" s="45"/>
      <c r="W34" s="46"/>
      <c r="X34" s="45"/>
      <c r="Y34" s="46"/>
      <c r="Z34" s="45"/>
      <c r="AA34" s="46"/>
      <c r="AB34" s="45"/>
      <c r="AC34" s="976">
        <f t="shared" si="0"/>
        <v>31580.009657999995</v>
      </c>
      <c r="AD34" s="976">
        <f t="shared" si="1"/>
        <v>1120769.7003420002</v>
      </c>
      <c r="AE34" s="976">
        <f t="shared" si="2"/>
        <v>459493.41965799988</v>
      </c>
      <c r="AF34" s="976"/>
      <c r="AG34" s="976"/>
      <c r="AH34" s="976"/>
      <c r="AI34" s="954"/>
      <c r="AP34" s="982"/>
      <c r="AQ34" s="976"/>
      <c r="AR34" s="954"/>
    </row>
    <row r="35" spans="2:44" ht="15" x14ac:dyDescent="0.25">
      <c r="B35" s="161">
        <f>'1. LDC Info'!$F$18-10</f>
        <v>2006</v>
      </c>
      <c r="C35" s="735" t="s">
        <v>113</v>
      </c>
      <c r="D35" s="716">
        <v>6786362.6200000001</v>
      </c>
      <c r="E35" s="712"/>
      <c r="F35" s="715">
        <v>1804318</v>
      </c>
      <c r="G35" s="712"/>
      <c r="H35" s="715"/>
      <c r="I35" s="712"/>
      <c r="J35" s="714"/>
      <c r="K35" s="712"/>
      <c r="L35" s="715">
        <v>1567539.9800000002</v>
      </c>
      <c r="M35" s="327"/>
      <c r="N35" s="712"/>
      <c r="O35" s="270">
        <v>398924.3</v>
      </c>
      <c r="P35" s="327"/>
      <c r="Q35" s="712"/>
      <c r="R35" s="716"/>
      <c r="S35" s="715"/>
      <c r="T35" s="712"/>
      <c r="U35" s="46"/>
      <c r="V35" s="45"/>
      <c r="W35" s="46"/>
      <c r="X35" s="45"/>
      <c r="Y35" s="46"/>
      <c r="Z35" s="45"/>
      <c r="AA35" s="46"/>
      <c r="AB35" s="45"/>
      <c r="AC35" s="976">
        <f t="shared" si="0"/>
        <v>29440.61334</v>
      </c>
      <c r="AD35" s="976">
        <f t="shared" si="1"/>
        <v>1538099.3666600003</v>
      </c>
      <c r="AE35" s="976">
        <f t="shared" si="2"/>
        <v>428364.91333999997</v>
      </c>
      <c r="AF35" s="976"/>
      <c r="AG35" s="976"/>
      <c r="AH35" s="976"/>
      <c r="AI35" s="954"/>
      <c r="AP35" s="982"/>
      <c r="AQ35" s="976"/>
      <c r="AR35" s="954"/>
    </row>
    <row r="36" spans="2:44" ht="15" x14ac:dyDescent="0.25">
      <c r="B36" s="161">
        <f>'1. LDC Info'!$F$18-10</f>
        <v>2006</v>
      </c>
      <c r="C36" s="735" t="s">
        <v>103</v>
      </c>
      <c r="D36" s="716">
        <v>5054753.0000000009</v>
      </c>
      <c r="E36" s="712"/>
      <c r="F36" s="715">
        <v>866086</v>
      </c>
      <c r="G36" s="712"/>
      <c r="H36" s="713"/>
      <c r="I36" s="712"/>
      <c r="J36" s="714"/>
      <c r="K36" s="712"/>
      <c r="L36" s="715">
        <v>1380634.78</v>
      </c>
      <c r="M36" s="327"/>
      <c r="N36" s="712"/>
      <c r="O36" s="270">
        <v>358425.98</v>
      </c>
      <c r="P36" s="327"/>
      <c r="Q36" s="712"/>
      <c r="R36" s="716">
        <v>195148.06</v>
      </c>
      <c r="S36" s="715"/>
      <c r="T36" s="712"/>
      <c r="U36" s="46"/>
      <c r="V36" s="45"/>
      <c r="W36" s="46"/>
      <c r="X36" s="45"/>
      <c r="Y36" s="46"/>
      <c r="Z36" s="45"/>
      <c r="AA36" s="46"/>
      <c r="AB36" s="45"/>
      <c r="AC36" s="976">
        <f t="shared" si="0"/>
        <v>26451.837324</v>
      </c>
      <c r="AD36" s="976">
        <f t="shared" si="1"/>
        <v>1354182.9426760001</v>
      </c>
      <c r="AE36" s="976">
        <f t="shared" si="2"/>
        <v>384877.817324</v>
      </c>
      <c r="AF36" s="976"/>
      <c r="AG36" s="976"/>
      <c r="AH36" s="976"/>
      <c r="AI36" s="954"/>
      <c r="AP36" s="982"/>
      <c r="AQ36" s="976"/>
      <c r="AR36" s="954"/>
    </row>
    <row r="37" spans="2:44" ht="15" x14ac:dyDescent="0.25">
      <c r="B37" s="161">
        <f>'1. LDC Info'!$F$18-10</f>
        <v>2006</v>
      </c>
      <c r="C37" s="735" t="s">
        <v>104</v>
      </c>
      <c r="D37" s="716">
        <v>5914501</v>
      </c>
      <c r="E37" s="712"/>
      <c r="F37" s="715">
        <v>1294266</v>
      </c>
      <c r="G37" s="712"/>
      <c r="H37" s="715"/>
      <c r="I37" s="712"/>
      <c r="J37" s="714"/>
      <c r="K37" s="712"/>
      <c r="L37" s="715">
        <v>962171.77000000014</v>
      </c>
      <c r="M37" s="327"/>
      <c r="N37" s="712"/>
      <c r="O37" s="270">
        <v>342184.74999999994</v>
      </c>
      <c r="P37" s="327"/>
      <c r="Q37" s="712"/>
      <c r="R37" s="716">
        <v>241467.12</v>
      </c>
      <c r="S37" s="715"/>
      <c r="T37" s="712"/>
      <c r="U37" s="46"/>
      <c r="V37" s="45"/>
      <c r="W37" s="46"/>
      <c r="X37" s="45"/>
      <c r="Y37" s="46"/>
      <c r="Z37" s="45"/>
      <c r="AA37" s="46"/>
      <c r="AB37" s="45"/>
      <c r="AC37" s="976">
        <f t="shared" si="0"/>
        <v>25253.234549999997</v>
      </c>
      <c r="AD37" s="976">
        <f t="shared" si="1"/>
        <v>936918.53545000008</v>
      </c>
      <c r="AE37" s="976">
        <f t="shared" si="2"/>
        <v>367437.98454999994</v>
      </c>
      <c r="AF37" s="976"/>
      <c r="AG37" s="976"/>
      <c r="AH37" s="976"/>
      <c r="AI37" s="954"/>
      <c r="AP37" s="982"/>
      <c r="AQ37" s="976"/>
      <c r="AR37" s="954"/>
    </row>
    <row r="38" spans="2:44" ht="15" x14ac:dyDescent="0.25">
      <c r="B38" s="161">
        <f>'1. LDC Info'!$F$18-10</f>
        <v>2006</v>
      </c>
      <c r="C38" s="735" t="s">
        <v>105</v>
      </c>
      <c r="D38" s="716">
        <v>7097885</v>
      </c>
      <c r="E38" s="712"/>
      <c r="F38" s="715">
        <v>1654984</v>
      </c>
      <c r="G38" s="712"/>
      <c r="H38" s="715"/>
      <c r="I38" s="712"/>
      <c r="J38" s="714"/>
      <c r="K38" s="712"/>
      <c r="L38" s="715">
        <v>991249.5900000002</v>
      </c>
      <c r="M38" s="327"/>
      <c r="N38" s="712"/>
      <c r="O38" s="270">
        <v>332941.05</v>
      </c>
      <c r="P38" s="327"/>
      <c r="Q38" s="712"/>
      <c r="R38" s="716"/>
      <c r="S38" s="715"/>
      <c r="T38" s="712"/>
      <c r="U38" s="46"/>
      <c r="V38" s="45"/>
      <c r="W38" s="46"/>
      <c r="X38" s="45"/>
      <c r="Y38" s="46"/>
      <c r="Z38" s="45"/>
      <c r="AA38" s="46"/>
      <c r="AB38" s="45"/>
      <c r="AC38" s="976">
        <f t="shared" si="0"/>
        <v>24571.049490000001</v>
      </c>
      <c r="AD38" s="976">
        <f t="shared" si="1"/>
        <v>966678.5405100002</v>
      </c>
      <c r="AE38" s="976">
        <f t="shared" si="2"/>
        <v>357512.09948999999</v>
      </c>
      <c r="AF38" s="976"/>
      <c r="AG38" s="976"/>
      <c r="AH38" s="976"/>
      <c r="AI38" s="954"/>
      <c r="AP38" s="982"/>
      <c r="AQ38" s="976"/>
      <c r="AR38" s="954"/>
    </row>
    <row r="39" spans="2:44" ht="15" x14ac:dyDescent="0.25">
      <c r="B39" s="161">
        <f>'1. LDC Info'!$F$18-10</f>
        <v>2006</v>
      </c>
      <c r="C39" s="735" t="s">
        <v>102</v>
      </c>
      <c r="D39" s="716">
        <v>3213420</v>
      </c>
      <c r="E39" s="712">
        <v>10066</v>
      </c>
      <c r="F39" s="715">
        <f>486166-255784+1146</f>
        <v>231528</v>
      </c>
      <c r="G39" s="712">
        <v>753</v>
      </c>
      <c r="H39" s="715">
        <v>255784</v>
      </c>
      <c r="I39" s="712">
        <v>43</v>
      </c>
      <c r="J39" s="877">
        <v>1146</v>
      </c>
      <c r="K39" s="712"/>
      <c r="L39" s="715">
        <v>877458.25</v>
      </c>
      <c r="M39" s="327"/>
      <c r="N39" s="712">
        <v>38</v>
      </c>
      <c r="O39" s="270">
        <v>345364.95</v>
      </c>
      <c r="P39" s="327"/>
      <c r="Q39" s="712">
        <v>1</v>
      </c>
      <c r="R39" s="716">
        <v>307986.78999999998</v>
      </c>
      <c r="S39" s="715"/>
      <c r="T39" s="712">
        <v>2290</v>
      </c>
      <c r="U39" s="46"/>
      <c r="V39" s="45"/>
      <c r="W39" s="46"/>
      <c r="X39" s="45"/>
      <c r="Y39" s="46"/>
      <c r="Z39" s="45"/>
      <c r="AA39" s="46"/>
      <c r="AB39" s="45"/>
      <c r="AC39" s="976">
        <f t="shared" si="0"/>
        <v>25487.933310000004</v>
      </c>
      <c r="AD39" s="976">
        <f t="shared" si="1"/>
        <v>851970.31669000001</v>
      </c>
      <c r="AE39" s="976">
        <f t="shared" si="2"/>
        <v>370852.88331</v>
      </c>
      <c r="AF39" s="976"/>
      <c r="AG39" s="976"/>
      <c r="AH39" s="976"/>
      <c r="AI39" s="954"/>
      <c r="AP39" s="982"/>
      <c r="AQ39" s="976"/>
      <c r="AR39" s="954"/>
    </row>
    <row r="40" spans="2:44" ht="15" x14ac:dyDescent="0.25">
      <c r="B40" s="161">
        <f>'1. LDC Info'!$F$18-9</f>
        <v>2007</v>
      </c>
      <c r="C40" s="735" t="s">
        <v>106</v>
      </c>
      <c r="D40" s="716">
        <v>8609846.9600000009</v>
      </c>
      <c r="E40" s="712">
        <v>10066</v>
      </c>
      <c r="F40" s="715">
        <v>1614804</v>
      </c>
      <c r="G40" s="712">
        <v>753</v>
      </c>
      <c r="H40" s="713"/>
      <c r="I40" s="712">
        <v>43</v>
      </c>
      <c r="J40" s="714"/>
      <c r="K40" s="712"/>
      <c r="L40" s="715">
        <v>999069.11999999988</v>
      </c>
      <c r="M40" s="327"/>
      <c r="N40" s="712">
        <v>38</v>
      </c>
      <c r="O40" s="270">
        <v>337237.75999999995</v>
      </c>
      <c r="P40" s="327"/>
      <c r="Q40" s="712">
        <v>1</v>
      </c>
      <c r="R40" s="716">
        <v>176454.95</v>
      </c>
      <c r="S40" s="715"/>
      <c r="T40" s="712">
        <v>2290</v>
      </c>
      <c r="U40" s="46"/>
      <c r="V40" s="45"/>
      <c r="W40" s="46"/>
      <c r="X40" s="45"/>
      <c r="Y40" s="46"/>
      <c r="Z40" s="45"/>
      <c r="AA40" s="46"/>
      <c r="AB40" s="45"/>
      <c r="AC40" s="976">
        <f t="shared" si="0"/>
        <v>24888.146687999997</v>
      </c>
      <c r="AD40" s="976">
        <f t="shared" si="1"/>
        <v>974180.97331199993</v>
      </c>
      <c r="AE40" s="976">
        <f t="shared" si="2"/>
        <v>362125.90668799996</v>
      </c>
      <c r="AF40" s="976"/>
      <c r="AG40" s="976"/>
      <c r="AH40" s="976"/>
      <c r="AI40" s="954"/>
      <c r="AP40" s="982"/>
      <c r="AQ40" s="976"/>
      <c r="AR40" s="954"/>
    </row>
    <row r="41" spans="2:44" ht="15" x14ac:dyDescent="0.25">
      <c r="B41" s="161">
        <f>'1. LDC Info'!$F$18-9</f>
        <v>2007</v>
      </c>
      <c r="C41" s="735" t="s">
        <v>107</v>
      </c>
      <c r="D41" s="716">
        <v>4196835.09</v>
      </c>
      <c r="E41" s="712"/>
      <c r="F41" s="715">
        <v>562065.32000000007</v>
      </c>
      <c r="G41" s="712"/>
      <c r="H41" s="715"/>
      <c r="I41" s="712"/>
      <c r="J41" s="714"/>
      <c r="K41" s="712"/>
      <c r="L41" s="715">
        <v>985219.07000000018</v>
      </c>
      <c r="M41" s="327"/>
      <c r="N41" s="712"/>
      <c r="O41" s="270">
        <v>302258.61</v>
      </c>
      <c r="P41" s="327"/>
      <c r="Q41" s="712"/>
      <c r="R41" s="716"/>
      <c r="S41" s="715"/>
      <c r="T41" s="712"/>
      <c r="U41" s="46"/>
      <c r="V41" s="45"/>
      <c r="W41" s="46"/>
      <c r="X41" s="45"/>
      <c r="Y41" s="46"/>
      <c r="Z41" s="45"/>
      <c r="AA41" s="46"/>
      <c r="AB41" s="45"/>
      <c r="AC41" s="976">
        <f t="shared" si="0"/>
        <v>22306.685418000001</v>
      </c>
      <c r="AD41" s="976">
        <f t="shared" si="1"/>
        <v>962912.3845820002</v>
      </c>
      <c r="AE41" s="976">
        <f t="shared" si="2"/>
        <v>324565.29541799997</v>
      </c>
      <c r="AF41" s="976"/>
      <c r="AG41" s="976"/>
      <c r="AH41" s="976"/>
      <c r="AI41" s="954"/>
      <c r="AP41" s="982"/>
      <c r="AQ41" s="976"/>
      <c r="AR41" s="954"/>
    </row>
    <row r="42" spans="2:44" ht="15" x14ac:dyDescent="0.25">
      <c r="B42" s="161">
        <f>'1. LDC Info'!$F$18-9</f>
        <v>2007</v>
      </c>
      <c r="C42" s="735" t="s">
        <v>108</v>
      </c>
      <c r="D42" s="716">
        <v>11516453.66</v>
      </c>
      <c r="E42" s="712"/>
      <c r="F42" s="715">
        <v>1929929.3599999999</v>
      </c>
      <c r="G42" s="712"/>
      <c r="H42" s="715"/>
      <c r="I42" s="712"/>
      <c r="J42" s="714"/>
      <c r="K42" s="712"/>
      <c r="L42" s="715">
        <v>848281.54999999993</v>
      </c>
      <c r="M42" s="327"/>
      <c r="N42" s="712"/>
      <c r="O42" s="270">
        <v>332559.84999999998</v>
      </c>
      <c r="P42" s="327"/>
      <c r="Q42" s="712"/>
      <c r="R42" s="716"/>
      <c r="S42" s="715"/>
      <c r="T42" s="712"/>
      <c r="U42" s="46"/>
      <c r="V42" s="45"/>
      <c r="W42" s="46"/>
      <c r="X42" s="45"/>
      <c r="Y42" s="46"/>
      <c r="Z42" s="45"/>
      <c r="AA42" s="46"/>
      <c r="AB42" s="45"/>
      <c r="AC42" s="976">
        <f t="shared" si="0"/>
        <v>24542.916929999999</v>
      </c>
      <c r="AD42" s="976">
        <f t="shared" si="1"/>
        <v>823738.63306999998</v>
      </c>
      <c r="AE42" s="976">
        <f t="shared" si="2"/>
        <v>357102.76692999998</v>
      </c>
      <c r="AF42" s="976"/>
      <c r="AG42" s="976"/>
      <c r="AH42" s="976"/>
      <c r="AI42" s="954"/>
      <c r="AP42" s="982"/>
      <c r="AQ42" s="976"/>
      <c r="AR42" s="954"/>
    </row>
    <row r="43" spans="2:44" ht="15" x14ac:dyDescent="0.25">
      <c r="B43" s="161">
        <f>'1. LDC Info'!$F$18-9</f>
        <v>2007</v>
      </c>
      <c r="C43" s="735" t="s">
        <v>109</v>
      </c>
      <c r="D43" s="716">
        <v>2493394</v>
      </c>
      <c r="E43" s="712"/>
      <c r="F43" s="715">
        <v>518351</v>
      </c>
      <c r="G43" s="712"/>
      <c r="H43" s="715"/>
      <c r="I43" s="712"/>
      <c r="J43" s="714"/>
      <c r="K43" s="712"/>
      <c r="L43" s="715">
        <v>987511.42000000027</v>
      </c>
      <c r="M43" s="327"/>
      <c r="N43" s="712"/>
      <c r="O43" s="270">
        <v>323203.26</v>
      </c>
      <c r="P43" s="327"/>
      <c r="Q43" s="712"/>
      <c r="R43" s="716">
        <v>459452.13</v>
      </c>
      <c r="S43" s="715"/>
      <c r="T43" s="712"/>
      <c r="U43" s="46"/>
      <c r="V43" s="45"/>
      <c r="W43" s="46"/>
      <c r="X43" s="45"/>
      <c r="Y43" s="46"/>
      <c r="Z43" s="45"/>
      <c r="AA43" s="46"/>
      <c r="AB43" s="45"/>
      <c r="AC43" s="976">
        <f t="shared" si="0"/>
        <v>23852.400588</v>
      </c>
      <c r="AD43" s="976">
        <f t="shared" si="1"/>
        <v>963659.01941200031</v>
      </c>
      <c r="AE43" s="976">
        <f t="shared" si="2"/>
        <v>347055.66058800003</v>
      </c>
      <c r="AF43" s="976"/>
      <c r="AG43" s="976"/>
      <c r="AH43" s="976"/>
      <c r="AI43" s="954"/>
      <c r="AP43" s="982"/>
      <c r="AQ43" s="976"/>
      <c r="AR43" s="954"/>
    </row>
    <row r="44" spans="2:44" ht="15" x14ac:dyDescent="0.25">
      <c r="B44" s="161">
        <f>'1. LDC Info'!$F$18-9</f>
        <v>2007</v>
      </c>
      <c r="C44" s="735" t="s">
        <v>110</v>
      </c>
      <c r="D44" s="716">
        <v>9458835.9999999981</v>
      </c>
      <c r="E44" s="712"/>
      <c r="F44" s="715">
        <v>1680960</v>
      </c>
      <c r="G44" s="712"/>
      <c r="H44" s="713"/>
      <c r="I44" s="712"/>
      <c r="J44" s="714"/>
      <c r="K44" s="712"/>
      <c r="L44" s="715">
        <v>-353092.93</v>
      </c>
      <c r="M44" s="327"/>
      <c r="N44" s="712"/>
      <c r="O44" s="270">
        <v>357832.93</v>
      </c>
      <c r="P44" s="327"/>
      <c r="Q44" s="712"/>
      <c r="R44" s="716"/>
      <c r="S44" s="715"/>
      <c r="T44" s="712"/>
      <c r="U44" s="46"/>
      <c r="V44" s="45"/>
      <c r="W44" s="46"/>
      <c r="X44" s="45"/>
      <c r="Y44" s="46"/>
      <c r="Z44" s="45"/>
      <c r="AA44" s="46"/>
      <c r="AB44" s="45"/>
      <c r="AC44" s="976">
        <f t="shared" si="0"/>
        <v>26408.070234000003</v>
      </c>
      <c r="AD44" s="976">
        <f t="shared" si="1"/>
        <v>-379501.00023399998</v>
      </c>
      <c r="AE44" s="976">
        <f t="shared" si="2"/>
        <v>384241.00023399998</v>
      </c>
      <c r="AF44" s="976"/>
      <c r="AG44" s="976"/>
      <c r="AH44" s="976"/>
      <c r="AI44" s="954"/>
      <c r="AP44" s="982"/>
      <c r="AQ44" s="976"/>
      <c r="AR44" s="954"/>
    </row>
    <row r="45" spans="2:44" ht="15" x14ac:dyDescent="0.25">
      <c r="B45" s="161">
        <f>'1. LDC Info'!$F$18-9</f>
        <v>2007</v>
      </c>
      <c r="C45" s="735" t="s">
        <v>111</v>
      </c>
      <c r="D45" s="716">
        <v>5614148.8000000007</v>
      </c>
      <c r="E45" s="712"/>
      <c r="F45" s="715">
        <v>787413.39</v>
      </c>
      <c r="G45" s="712"/>
      <c r="H45" s="715"/>
      <c r="I45" s="712"/>
      <c r="J45" s="714"/>
      <c r="K45" s="712"/>
      <c r="L45" s="715">
        <v>2443409.1100000003</v>
      </c>
      <c r="M45" s="327"/>
      <c r="N45" s="712"/>
      <c r="O45" s="270">
        <v>372632.12999999995</v>
      </c>
      <c r="P45" s="327"/>
      <c r="Q45" s="712"/>
      <c r="R45" s="716"/>
      <c r="S45" s="715"/>
      <c r="T45" s="712"/>
      <c r="U45" s="46"/>
      <c r="V45" s="45"/>
      <c r="W45" s="46"/>
      <c r="X45" s="45"/>
      <c r="Y45" s="46"/>
      <c r="Z45" s="45"/>
      <c r="AA45" s="46"/>
      <c r="AB45" s="45"/>
      <c r="AC45" s="976">
        <f t="shared" si="0"/>
        <v>27500.251193999997</v>
      </c>
      <c r="AD45" s="976">
        <f t="shared" si="1"/>
        <v>2415908.8588060006</v>
      </c>
      <c r="AE45" s="976">
        <f t="shared" si="2"/>
        <v>400132.38119399996</v>
      </c>
      <c r="AF45" s="976"/>
      <c r="AG45" s="976"/>
      <c r="AH45" s="976"/>
      <c r="AI45" s="954"/>
      <c r="AP45" s="982"/>
      <c r="AQ45" s="976"/>
      <c r="AR45" s="954"/>
    </row>
    <row r="46" spans="2:44" ht="15" x14ac:dyDescent="0.25">
      <c r="B46" s="161">
        <f>'1. LDC Info'!$F$18-9</f>
        <v>2007</v>
      </c>
      <c r="C46" s="735" t="s">
        <v>112</v>
      </c>
      <c r="D46" s="716">
        <v>3654054.04</v>
      </c>
      <c r="E46" s="712"/>
      <c r="F46" s="715">
        <v>1195680</v>
      </c>
      <c r="G46" s="712"/>
      <c r="H46" s="715"/>
      <c r="I46" s="712"/>
      <c r="J46" s="714"/>
      <c r="K46" s="712"/>
      <c r="L46" s="715">
        <v>1478872.24</v>
      </c>
      <c r="M46" s="327"/>
      <c r="N46" s="712"/>
      <c r="O46" s="270">
        <v>386222.03999999992</v>
      </c>
      <c r="P46" s="327"/>
      <c r="Q46" s="712"/>
      <c r="R46" s="716">
        <v>326559.75</v>
      </c>
      <c r="S46" s="715"/>
      <c r="T46" s="712"/>
      <c r="U46" s="46"/>
      <c r="V46" s="45"/>
      <c r="W46" s="46"/>
      <c r="X46" s="45"/>
      <c r="Y46" s="46"/>
      <c r="Z46" s="45"/>
      <c r="AA46" s="46"/>
      <c r="AB46" s="45"/>
      <c r="AC46" s="976">
        <f t="shared" si="0"/>
        <v>28503.186551999996</v>
      </c>
      <c r="AD46" s="976">
        <f t="shared" si="1"/>
        <v>1450369.053448</v>
      </c>
      <c r="AE46" s="976">
        <f t="shared" si="2"/>
        <v>414725.22655199992</v>
      </c>
      <c r="AF46" s="976"/>
      <c r="AG46" s="976"/>
      <c r="AH46" s="976"/>
      <c r="AI46" s="954"/>
      <c r="AP46" s="982"/>
      <c r="AQ46" s="976"/>
      <c r="AR46" s="954"/>
    </row>
    <row r="47" spans="2:44" ht="15" x14ac:dyDescent="0.25">
      <c r="B47" s="161">
        <f>'1. LDC Info'!$F$18-9</f>
        <v>2007</v>
      </c>
      <c r="C47" s="735" t="s">
        <v>113</v>
      </c>
      <c r="D47" s="716">
        <v>5700636.46</v>
      </c>
      <c r="E47" s="712"/>
      <c r="F47" s="715">
        <v>1069785</v>
      </c>
      <c r="G47" s="712"/>
      <c r="H47" s="715"/>
      <c r="I47" s="712"/>
      <c r="J47" s="714"/>
      <c r="K47" s="712"/>
      <c r="L47" s="715">
        <v>1645319.18</v>
      </c>
      <c r="M47" s="327"/>
      <c r="N47" s="712"/>
      <c r="O47" s="270">
        <v>379514.45999999996</v>
      </c>
      <c r="P47" s="327"/>
      <c r="Q47" s="712"/>
      <c r="R47" s="716"/>
      <c r="S47" s="715"/>
      <c r="T47" s="712"/>
      <c r="U47" s="46"/>
      <c r="V47" s="45"/>
      <c r="W47" s="46"/>
      <c r="X47" s="45"/>
      <c r="Y47" s="46"/>
      <c r="Z47" s="45"/>
      <c r="AA47" s="46"/>
      <c r="AB47" s="45"/>
      <c r="AC47" s="976">
        <f t="shared" si="0"/>
        <v>28008.167148</v>
      </c>
      <c r="AD47" s="976">
        <f t="shared" si="1"/>
        <v>1617311.0128519998</v>
      </c>
      <c r="AE47" s="976">
        <f t="shared" si="2"/>
        <v>407522.62714799994</v>
      </c>
      <c r="AF47" s="976"/>
      <c r="AG47" s="976"/>
      <c r="AH47" s="976"/>
      <c r="AI47" s="954"/>
      <c r="AP47" s="982"/>
      <c r="AQ47" s="976"/>
      <c r="AR47" s="954"/>
    </row>
    <row r="48" spans="2:44" ht="15" x14ac:dyDescent="0.25">
      <c r="B48" s="161">
        <f>'1. LDC Info'!$F$18-9</f>
        <v>2007</v>
      </c>
      <c r="C48" s="735" t="s">
        <v>103</v>
      </c>
      <c r="D48" s="716">
        <v>8324259.5999999996</v>
      </c>
      <c r="E48" s="712"/>
      <c r="F48" s="715">
        <v>1800083</v>
      </c>
      <c r="G48" s="712"/>
      <c r="H48" s="713"/>
      <c r="I48" s="712"/>
      <c r="J48" s="714"/>
      <c r="K48" s="712"/>
      <c r="L48" s="715">
        <v>1823595.8399999999</v>
      </c>
      <c r="M48" s="327"/>
      <c r="N48" s="712"/>
      <c r="O48" s="270">
        <v>353933.64</v>
      </c>
      <c r="P48" s="327"/>
      <c r="Q48" s="712"/>
      <c r="R48" s="716"/>
      <c r="S48" s="715"/>
      <c r="T48" s="712"/>
      <c r="U48" s="46"/>
      <c r="V48" s="45"/>
      <c r="W48" s="46"/>
      <c r="X48" s="45"/>
      <c r="Y48" s="46"/>
      <c r="Z48" s="45"/>
      <c r="AA48" s="46"/>
      <c r="AB48" s="45"/>
      <c r="AC48" s="976">
        <f t="shared" si="0"/>
        <v>26120.302632000003</v>
      </c>
      <c r="AD48" s="976">
        <f t="shared" si="1"/>
        <v>1797475.5373679998</v>
      </c>
      <c r="AE48" s="976">
        <f t="shared" si="2"/>
        <v>380053.94263200002</v>
      </c>
      <c r="AF48" s="976"/>
      <c r="AG48" s="976"/>
      <c r="AH48" s="976"/>
      <c r="AI48" s="954"/>
      <c r="AP48" s="982"/>
      <c r="AQ48" s="976"/>
      <c r="AR48" s="954"/>
    </row>
    <row r="49" spans="2:44" ht="15" x14ac:dyDescent="0.25">
      <c r="B49" s="161">
        <f>'1. LDC Info'!$F$18-9</f>
        <v>2007</v>
      </c>
      <c r="C49" s="735" t="s">
        <v>104</v>
      </c>
      <c r="D49" s="716">
        <v>7501276.0000000009</v>
      </c>
      <c r="E49" s="712"/>
      <c r="F49" s="715">
        <v>1965939</v>
      </c>
      <c r="G49" s="712"/>
      <c r="H49" s="715"/>
      <c r="I49" s="712"/>
      <c r="J49" s="714"/>
      <c r="K49" s="712"/>
      <c r="L49" s="715">
        <v>1456690.93</v>
      </c>
      <c r="M49" s="327"/>
      <c r="N49" s="712"/>
      <c r="O49" s="270">
        <v>350233.06999999995</v>
      </c>
      <c r="P49" s="327"/>
      <c r="Q49" s="712"/>
      <c r="R49" s="716">
        <v>222878.64</v>
      </c>
      <c r="S49" s="715"/>
      <c r="T49" s="712"/>
      <c r="U49" s="46"/>
      <c r="V49" s="45"/>
      <c r="W49" s="46"/>
      <c r="X49" s="45"/>
      <c r="Y49" s="46"/>
      <c r="Z49" s="45"/>
      <c r="AA49" s="46"/>
      <c r="AB49" s="45"/>
      <c r="AC49" s="976">
        <f t="shared" si="0"/>
        <v>25847.200566</v>
      </c>
      <c r="AD49" s="976">
        <f t="shared" si="1"/>
        <v>1430843.7294339999</v>
      </c>
      <c r="AE49" s="976">
        <f t="shared" si="2"/>
        <v>376080.27056599996</v>
      </c>
      <c r="AF49" s="976"/>
      <c r="AG49" s="976"/>
      <c r="AH49" s="976"/>
      <c r="AI49" s="954"/>
      <c r="AP49" s="982"/>
      <c r="AQ49" s="976"/>
      <c r="AR49" s="954"/>
    </row>
    <row r="50" spans="2:44" ht="15" x14ac:dyDescent="0.25">
      <c r="B50" s="161">
        <f>'1. LDC Info'!$F$18-9</f>
        <v>2007</v>
      </c>
      <c r="C50" s="735" t="s">
        <v>105</v>
      </c>
      <c r="D50" s="716">
        <v>4025655</v>
      </c>
      <c r="E50" s="712"/>
      <c r="F50" s="715">
        <v>777672</v>
      </c>
      <c r="G50" s="712"/>
      <c r="H50" s="715"/>
      <c r="I50" s="712"/>
      <c r="J50" s="714"/>
      <c r="K50" s="712"/>
      <c r="L50" s="715">
        <v>1399220.1400000001</v>
      </c>
      <c r="M50" s="327"/>
      <c r="N50" s="712"/>
      <c r="O50" s="270">
        <v>319086.7</v>
      </c>
      <c r="P50" s="327"/>
      <c r="Q50" s="712"/>
      <c r="R50" s="716"/>
      <c r="S50" s="715"/>
      <c r="T50" s="712"/>
      <c r="U50" s="46"/>
      <c r="V50" s="45"/>
      <c r="W50" s="46"/>
      <c r="X50" s="45"/>
      <c r="Y50" s="46"/>
      <c r="Z50" s="45"/>
      <c r="AA50" s="46"/>
      <c r="AB50" s="45"/>
      <c r="AC50" s="976">
        <f t="shared" si="0"/>
        <v>23548.598460000001</v>
      </c>
      <c r="AD50" s="976">
        <f t="shared" si="1"/>
        <v>1375671.5415400001</v>
      </c>
      <c r="AE50" s="976">
        <f t="shared" si="2"/>
        <v>342635.29846000002</v>
      </c>
      <c r="AF50" s="976"/>
      <c r="AG50" s="976"/>
      <c r="AH50" s="976"/>
      <c r="AI50" s="954"/>
      <c r="AP50" s="982"/>
      <c r="AQ50" s="976"/>
      <c r="AR50" s="954"/>
    </row>
    <row r="51" spans="2:44" ht="15" x14ac:dyDescent="0.25">
      <c r="B51" s="161">
        <f>'1. LDC Info'!$F$18-9</f>
        <v>2007</v>
      </c>
      <c r="C51" s="735" t="s">
        <v>102</v>
      </c>
      <c r="D51" s="716">
        <v>3128491</v>
      </c>
      <c r="E51" s="712">
        <v>10481</v>
      </c>
      <c r="F51" s="715">
        <f>656926-220922+972</f>
        <v>436976</v>
      </c>
      <c r="G51" s="712">
        <v>755</v>
      </c>
      <c r="H51" s="715">
        <v>220922</v>
      </c>
      <c r="I51" s="712">
        <v>40</v>
      </c>
      <c r="J51" s="877">
        <v>972</v>
      </c>
      <c r="K51" s="712"/>
      <c r="L51" s="715">
        <v>1256078.3459999999</v>
      </c>
      <c r="M51" s="327"/>
      <c r="N51" s="712">
        <v>34</v>
      </c>
      <c r="O51" s="270">
        <v>327229.35999999993</v>
      </c>
      <c r="P51" s="327"/>
      <c r="Q51" s="712">
        <v>1</v>
      </c>
      <c r="R51" s="716">
        <v>464217.44</v>
      </c>
      <c r="S51" s="715"/>
      <c r="T51" s="712">
        <v>2390</v>
      </c>
      <c r="U51" s="46"/>
      <c r="V51" s="45"/>
      <c r="W51" s="46"/>
      <c r="X51" s="45"/>
      <c r="Y51" s="46"/>
      <c r="Z51" s="45"/>
      <c r="AA51" s="46"/>
      <c r="AB51" s="45"/>
      <c r="AC51" s="976">
        <f t="shared" si="0"/>
        <v>24149.526767999996</v>
      </c>
      <c r="AD51" s="976">
        <f t="shared" si="1"/>
        <v>1231928.8192319998</v>
      </c>
      <c r="AE51" s="976">
        <f t="shared" si="2"/>
        <v>351378.88676799991</v>
      </c>
      <c r="AF51" s="976"/>
      <c r="AG51" s="976"/>
      <c r="AH51" s="976"/>
      <c r="AI51" s="954"/>
      <c r="AP51" s="982"/>
      <c r="AQ51" s="976"/>
      <c r="AR51" s="954"/>
    </row>
    <row r="52" spans="2:44" ht="15" x14ac:dyDescent="0.25">
      <c r="B52" s="161">
        <f>'1. LDC Info'!$F$18-8</f>
        <v>2008</v>
      </c>
      <c r="C52" s="735" t="s">
        <v>106</v>
      </c>
      <c r="D52" s="716">
        <v>11429789.99</v>
      </c>
      <c r="E52" s="712">
        <v>10481</v>
      </c>
      <c r="F52" s="715">
        <v>2234036.4700000002</v>
      </c>
      <c r="G52" s="712">
        <v>755</v>
      </c>
      <c r="H52" s="713"/>
      <c r="I52" s="712">
        <v>40</v>
      </c>
      <c r="J52" s="714"/>
      <c r="K52" s="712"/>
      <c r="L52" s="715">
        <v>1456428.2239999999</v>
      </c>
      <c r="M52" s="327"/>
      <c r="N52" s="712">
        <v>34</v>
      </c>
      <c r="O52" s="270">
        <v>329003.87</v>
      </c>
      <c r="P52" s="327"/>
      <c r="Q52" s="712">
        <v>1</v>
      </c>
      <c r="R52" s="716"/>
      <c r="S52" s="715"/>
      <c r="T52" s="712">
        <v>2390</v>
      </c>
      <c r="U52" s="46"/>
      <c r="V52" s="45"/>
      <c r="W52" s="46"/>
      <c r="X52" s="45"/>
      <c r="Y52" s="46"/>
      <c r="Z52" s="45"/>
      <c r="AA52" s="46"/>
      <c r="AB52" s="45"/>
      <c r="AC52" s="976">
        <f t="shared" si="0"/>
        <v>24280.485606000002</v>
      </c>
      <c r="AD52" s="976">
        <f t="shared" si="1"/>
        <v>1432147.7383939999</v>
      </c>
      <c r="AE52" s="976">
        <f t="shared" si="2"/>
        <v>353284.355606</v>
      </c>
      <c r="AF52" s="976"/>
      <c r="AG52" s="976"/>
      <c r="AH52" s="976"/>
      <c r="AI52" s="954"/>
      <c r="AP52" s="982"/>
      <c r="AQ52" s="976"/>
      <c r="AR52" s="954"/>
    </row>
    <row r="53" spans="2:44" ht="15" x14ac:dyDescent="0.25">
      <c r="B53" s="161">
        <f>'1. LDC Info'!$F$18-8</f>
        <v>2008</v>
      </c>
      <c r="C53" s="735" t="s">
        <v>107</v>
      </c>
      <c r="D53" s="716">
        <v>7949245.0530000003</v>
      </c>
      <c r="E53" s="712"/>
      <c r="F53" s="715">
        <v>1101955</v>
      </c>
      <c r="G53" s="712"/>
      <c r="H53" s="715"/>
      <c r="I53" s="712"/>
      <c r="J53" s="714"/>
      <c r="K53" s="712"/>
      <c r="L53" s="715">
        <v>1417028.02</v>
      </c>
      <c r="M53" s="327"/>
      <c r="N53" s="712"/>
      <c r="O53" s="270">
        <v>301411.94</v>
      </c>
      <c r="P53" s="327"/>
      <c r="Q53" s="712"/>
      <c r="R53" s="716"/>
      <c r="S53" s="715"/>
      <c r="T53" s="712"/>
      <c r="U53" s="46"/>
      <c r="V53" s="45"/>
      <c r="W53" s="46"/>
      <c r="X53" s="45"/>
      <c r="Y53" s="46"/>
      <c r="Z53" s="45"/>
      <c r="AA53" s="46"/>
      <c r="AB53" s="45"/>
      <c r="AC53" s="976">
        <f t="shared" si="0"/>
        <v>22244.201172000001</v>
      </c>
      <c r="AD53" s="976">
        <f t="shared" si="1"/>
        <v>1394783.818828</v>
      </c>
      <c r="AE53" s="976">
        <f t="shared" si="2"/>
        <v>323656.14117199997</v>
      </c>
      <c r="AF53" s="976"/>
      <c r="AG53" s="976"/>
      <c r="AH53" s="976"/>
      <c r="AI53" s="954"/>
      <c r="AP53" s="982"/>
      <c r="AQ53" s="976"/>
      <c r="AR53" s="954"/>
    </row>
    <row r="54" spans="2:44" ht="15" x14ac:dyDescent="0.25">
      <c r="B54" s="161">
        <f>'1. LDC Info'!$F$18-8</f>
        <v>2008</v>
      </c>
      <c r="C54" s="735" t="s">
        <v>108</v>
      </c>
      <c r="D54" s="716">
        <v>7991460.7999999998</v>
      </c>
      <c r="E54" s="712"/>
      <c r="F54" s="715">
        <v>1134232.8</v>
      </c>
      <c r="G54" s="712"/>
      <c r="H54" s="715"/>
      <c r="I54" s="712"/>
      <c r="J54" s="714"/>
      <c r="K54" s="712"/>
      <c r="L54" s="715">
        <v>1395771.13</v>
      </c>
      <c r="M54" s="327"/>
      <c r="N54" s="712"/>
      <c r="O54" s="270">
        <v>312389.94999999995</v>
      </c>
      <c r="P54" s="327"/>
      <c r="Q54" s="712"/>
      <c r="R54" s="716">
        <v>363906.05</v>
      </c>
      <c r="S54" s="715"/>
      <c r="T54" s="712"/>
      <c r="U54" s="46"/>
      <c r="V54" s="45"/>
      <c r="W54" s="46"/>
      <c r="X54" s="45"/>
      <c r="Y54" s="46"/>
      <c r="Z54" s="45"/>
      <c r="AA54" s="46"/>
      <c r="AB54" s="45"/>
      <c r="AC54" s="976">
        <f t="shared" si="0"/>
        <v>23054.378309999996</v>
      </c>
      <c r="AD54" s="976">
        <f t="shared" si="1"/>
        <v>1372716.7516899998</v>
      </c>
      <c r="AE54" s="976">
        <f t="shared" si="2"/>
        <v>335444.32830999995</v>
      </c>
      <c r="AF54" s="976"/>
      <c r="AG54" s="976"/>
      <c r="AH54" s="976"/>
      <c r="AI54" s="954"/>
      <c r="AP54" s="982"/>
      <c r="AQ54" s="976"/>
      <c r="AR54" s="954"/>
    </row>
    <row r="55" spans="2:44" ht="15" x14ac:dyDescent="0.25">
      <c r="B55" s="161">
        <f>'1. LDC Info'!$F$18-8</f>
        <v>2008</v>
      </c>
      <c r="C55" s="735" t="s">
        <v>109</v>
      </c>
      <c r="D55" s="716">
        <v>6336104.2999999998</v>
      </c>
      <c r="E55" s="712"/>
      <c r="F55" s="715">
        <v>1209743.6000000001</v>
      </c>
      <c r="G55" s="712"/>
      <c r="H55" s="715"/>
      <c r="I55" s="712"/>
      <c r="J55" s="714"/>
      <c r="K55" s="712"/>
      <c r="L55" s="715">
        <v>-313623.99</v>
      </c>
      <c r="M55" s="327"/>
      <c r="N55" s="712"/>
      <c r="O55" s="270">
        <v>313623.99</v>
      </c>
      <c r="P55" s="327"/>
      <c r="Q55" s="712"/>
      <c r="R55" s="716"/>
      <c r="S55" s="715"/>
      <c r="T55" s="712"/>
      <c r="U55" s="46"/>
      <c r="V55" s="45"/>
      <c r="W55" s="46"/>
      <c r="X55" s="45"/>
      <c r="Y55" s="46"/>
      <c r="Z55" s="45"/>
      <c r="AA55" s="46"/>
      <c r="AB55" s="45"/>
      <c r="AC55" s="976">
        <f t="shared" si="0"/>
        <v>23145.450462000001</v>
      </c>
      <c r="AD55" s="976">
        <f t="shared" si="1"/>
        <v>-336769.44046199997</v>
      </c>
      <c r="AE55" s="976">
        <f t="shared" si="2"/>
        <v>336769.44046199997</v>
      </c>
      <c r="AF55" s="976"/>
      <c r="AG55" s="976"/>
      <c r="AH55" s="976"/>
      <c r="AI55" s="954"/>
      <c r="AP55" s="982"/>
      <c r="AQ55" s="976"/>
      <c r="AR55" s="954"/>
    </row>
    <row r="56" spans="2:44" ht="15" x14ac:dyDescent="0.25">
      <c r="B56" s="161">
        <f>'1. LDC Info'!$F$18-8</f>
        <v>2008</v>
      </c>
      <c r="C56" s="735" t="s">
        <v>110</v>
      </c>
      <c r="D56" s="716">
        <v>8186260.2500000009</v>
      </c>
      <c r="E56" s="712"/>
      <c r="F56" s="715">
        <v>1364631</v>
      </c>
      <c r="G56" s="712"/>
      <c r="H56" s="713"/>
      <c r="I56" s="712"/>
      <c r="J56" s="714"/>
      <c r="K56" s="712"/>
      <c r="L56" s="715">
        <v>1378102.73</v>
      </c>
      <c r="M56" s="327"/>
      <c r="N56" s="712"/>
      <c r="O56" s="270">
        <v>330914.46999999991</v>
      </c>
      <c r="P56" s="327"/>
      <c r="Q56" s="712"/>
      <c r="R56" s="716"/>
      <c r="S56" s="715"/>
      <c r="T56" s="712"/>
      <c r="U56" s="46"/>
      <c r="V56" s="45"/>
      <c r="W56" s="46"/>
      <c r="X56" s="45"/>
      <c r="Y56" s="46"/>
      <c r="Z56" s="45"/>
      <c r="AA56" s="46"/>
      <c r="AB56" s="45"/>
      <c r="AC56" s="976">
        <f t="shared" si="0"/>
        <v>24421.487885999995</v>
      </c>
      <c r="AD56" s="976">
        <f t="shared" si="1"/>
        <v>1353681.242114</v>
      </c>
      <c r="AE56" s="976">
        <f t="shared" si="2"/>
        <v>355335.95788599993</v>
      </c>
      <c r="AF56" s="976"/>
      <c r="AG56" s="976"/>
      <c r="AH56" s="976"/>
      <c r="AI56" s="954"/>
      <c r="AP56" s="982"/>
      <c r="AQ56" s="976"/>
      <c r="AR56" s="954"/>
    </row>
    <row r="57" spans="2:44" ht="15" x14ac:dyDescent="0.25">
      <c r="B57" s="161">
        <f>'1. LDC Info'!$F$18-8</f>
        <v>2008</v>
      </c>
      <c r="C57" s="735" t="s">
        <v>111</v>
      </c>
      <c r="D57" s="716">
        <v>3449747.12</v>
      </c>
      <c r="E57" s="712"/>
      <c r="F57" s="715">
        <v>509420.51</v>
      </c>
      <c r="G57" s="712"/>
      <c r="H57" s="715"/>
      <c r="I57" s="712"/>
      <c r="J57" s="714"/>
      <c r="K57" s="712"/>
      <c r="L57" s="715">
        <v>1240203.9500000002</v>
      </c>
      <c r="M57" s="327"/>
      <c r="N57" s="712"/>
      <c r="O57" s="270">
        <v>376652.81</v>
      </c>
      <c r="P57" s="327"/>
      <c r="Q57" s="712"/>
      <c r="R57" s="716"/>
      <c r="S57" s="715"/>
      <c r="T57" s="712"/>
      <c r="U57" s="46"/>
      <c r="V57" s="45"/>
      <c r="W57" s="46"/>
      <c r="X57" s="45"/>
      <c r="Y57" s="46"/>
      <c r="Z57" s="45"/>
      <c r="AA57" s="46"/>
      <c r="AB57" s="45"/>
      <c r="AC57" s="976">
        <f t="shared" si="0"/>
        <v>27796.977378000003</v>
      </c>
      <c r="AD57" s="976">
        <f t="shared" si="1"/>
        <v>1212406.9726220001</v>
      </c>
      <c r="AE57" s="976">
        <f t="shared" si="2"/>
        <v>404449.78737799998</v>
      </c>
      <c r="AF57" s="976"/>
      <c r="AG57" s="976"/>
      <c r="AH57" s="976"/>
      <c r="AI57" s="954"/>
      <c r="AP57" s="982"/>
      <c r="AQ57" s="976"/>
      <c r="AR57" s="954"/>
    </row>
    <row r="58" spans="2:44" ht="15" x14ac:dyDescent="0.25">
      <c r="B58" s="161">
        <f>'1. LDC Info'!$F$18-8</f>
        <v>2008</v>
      </c>
      <c r="C58" s="735" t="s">
        <v>112</v>
      </c>
      <c r="D58" s="716">
        <v>5897430.0899999999</v>
      </c>
      <c r="E58" s="712"/>
      <c r="F58" s="715">
        <v>1428778</v>
      </c>
      <c r="G58" s="712"/>
      <c r="H58" s="715"/>
      <c r="I58" s="712"/>
      <c r="J58" s="714"/>
      <c r="K58" s="712"/>
      <c r="L58" s="715">
        <v>3286939.38</v>
      </c>
      <c r="M58" s="327"/>
      <c r="N58" s="712"/>
      <c r="O58" s="270">
        <v>403858.91</v>
      </c>
      <c r="P58" s="327"/>
      <c r="Q58" s="712"/>
      <c r="R58" s="716">
        <v>536799.06000000006</v>
      </c>
      <c r="S58" s="715"/>
      <c r="T58" s="712"/>
      <c r="U58" s="46"/>
      <c r="V58" s="45"/>
      <c r="W58" s="46"/>
      <c r="X58" s="45"/>
      <c r="Y58" s="46"/>
      <c r="Z58" s="45"/>
      <c r="AA58" s="46"/>
      <c r="AB58" s="45"/>
      <c r="AC58" s="976">
        <f t="shared" si="0"/>
        <v>29804.787558</v>
      </c>
      <c r="AD58" s="976">
        <f t="shared" si="1"/>
        <v>3257134.5924419998</v>
      </c>
      <c r="AE58" s="976">
        <f t="shared" si="2"/>
        <v>433663.69755799999</v>
      </c>
      <c r="AF58" s="976"/>
      <c r="AG58" s="976"/>
      <c r="AH58" s="976"/>
      <c r="AI58" s="954"/>
      <c r="AP58" s="982"/>
      <c r="AQ58" s="976"/>
      <c r="AR58" s="954"/>
    </row>
    <row r="59" spans="2:44" ht="15" x14ac:dyDescent="0.25">
      <c r="B59" s="161">
        <f>'1. LDC Info'!$F$18-8</f>
        <v>2008</v>
      </c>
      <c r="C59" s="735" t="s">
        <v>113</v>
      </c>
      <c r="D59" s="716">
        <v>5353568.5</v>
      </c>
      <c r="E59" s="712"/>
      <c r="F59" s="715">
        <v>1070606.49</v>
      </c>
      <c r="G59" s="712"/>
      <c r="H59" s="715"/>
      <c r="I59" s="712"/>
      <c r="J59" s="714"/>
      <c r="K59" s="712"/>
      <c r="L59" s="715">
        <v>1719633.6</v>
      </c>
      <c r="M59" s="327"/>
      <c r="N59" s="712"/>
      <c r="O59" s="270">
        <v>382087.69</v>
      </c>
      <c r="P59" s="327"/>
      <c r="Q59" s="712"/>
      <c r="R59" s="716"/>
      <c r="S59" s="715"/>
      <c r="T59" s="712"/>
      <c r="U59" s="46"/>
      <c r="V59" s="45"/>
      <c r="W59" s="46"/>
      <c r="X59" s="45"/>
      <c r="Y59" s="46"/>
      <c r="Z59" s="45"/>
      <c r="AA59" s="46"/>
      <c r="AB59" s="45"/>
      <c r="AC59" s="976">
        <f t="shared" si="0"/>
        <v>28198.071522000002</v>
      </c>
      <c r="AD59" s="976">
        <f t="shared" si="1"/>
        <v>1691435.5284780001</v>
      </c>
      <c r="AE59" s="976">
        <f t="shared" si="2"/>
        <v>410285.76152200002</v>
      </c>
      <c r="AF59" s="976"/>
      <c r="AG59" s="976"/>
      <c r="AH59" s="976"/>
      <c r="AI59" s="954"/>
      <c r="AP59" s="982"/>
      <c r="AQ59" s="976"/>
      <c r="AR59" s="954"/>
    </row>
    <row r="60" spans="2:44" ht="15" x14ac:dyDescent="0.25">
      <c r="B60" s="161">
        <f>'1. LDC Info'!$F$18-8</f>
        <v>2008</v>
      </c>
      <c r="C60" s="735" t="s">
        <v>103</v>
      </c>
      <c r="D60" s="716">
        <v>7019330</v>
      </c>
      <c r="E60" s="712"/>
      <c r="F60" s="715">
        <v>1904225</v>
      </c>
      <c r="G60" s="712"/>
      <c r="H60" s="713"/>
      <c r="I60" s="712"/>
      <c r="J60" s="714"/>
      <c r="K60" s="712"/>
      <c r="L60" s="715">
        <v>1716115.9400000002</v>
      </c>
      <c r="M60" s="327"/>
      <c r="N60" s="712"/>
      <c r="O60" s="270">
        <v>360163.38</v>
      </c>
      <c r="P60" s="327"/>
      <c r="Q60" s="712"/>
      <c r="R60" s="716">
        <v>336088.67</v>
      </c>
      <c r="S60" s="715"/>
      <c r="T60" s="712"/>
      <c r="U60" s="46"/>
      <c r="V60" s="45"/>
      <c r="W60" s="46"/>
      <c r="X60" s="45"/>
      <c r="Y60" s="46"/>
      <c r="Z60" s="45"/>
      <c r="AA60" s="46"/>
      <c r="AB60" s="45"/>
      <c r="AC60" s="976">
        <f t="shared" si="0"/>
        <v>26580.057444000002</v>
      </c>
      <c r="AD60" s="976">
        <f t="shared" si="1"/>
        <v>1689535.8825560003</v>
      </c>
      <c r="AE60" s="976">
        <f t="shared" si="2"/>
        <v>386743.43744399998</v>
      </c>
      <c r="AF60" s="976"/>
      <c r="AG60" s="976"/>
      <c r="AH60" s="976"/>
      <c r="AI60" s="954"/>
      <c r="AP60" s="982"/>
      <c r="AQ60" s="976"/>
      <c r="AR60" s="954"/>
    </row>
    <row r="61" spans="2:44" ht="15" x14ac:dyDescent="0.25">
      <c r="B61" s="161">
        <f>'1. LDC Info'!$F$18-8</f>
        <v>2008</v>
      </c>
      <c r="C61" s="735" t="s">
        <v>104</v>
      </c>
      <c r="D61" s="716">
        <v>7183197</v>
      </c>
      <c r="E61" s="712"/>
      <c r="F61" s="715">
        <v>1700645</v>
      </c>
      <c r="G61" s="712"/>
      <c r="H61" s="715"/>
      <c r="I61" s="712"/>
      <c r="J61" s="714"/>
      <c r="K61" s="712"/>
      <c r="L61" s="715">
        <v>1457449.78</v>
      </c>
      <c r="M61" s="327"/>
      <c r="N61" s="712"/>
      <c r="O61" s="270">
        <v>336042.38</v>
      </c>
      <c r="P61" s="327"/>
      <c r="Q61" s="712"/>
      <c r="R61" s="716"/>
      <c r="S61" s="715"/>
      <c r="T61" s="712"/>
      <c r="U61" s="46"/>
      <c r="V61" s="45"/>
      <c r="W61" s="46"/>
      <c r="X61" s="45"/>
      <c r="Y61" s="46"/>
      <c r="Z61" s="45"/>
      <c r="AA61" s="46"/>
      <c r="AB61" s="45"/>
      <c r="AC61" s="976">
        <f t="shared" si="0"/>
        <v>24799.927644000003</v>
      </c>
      <c r="AD61" s="976">
        <f t="shared" si="1"/>
        <v>1432649.8523560001</v>
      </c>
      <c r="AE61" s="976">
        <f t="shared" si="2"/>
        <v>360842.30764399999</v>
      </c>
      <c r="AF61" s="976"/>
      <c r="AG61" s="976"/>
      <c r="AH61" s="976"/>
      <c r="AI61" s="954"/>
      <c r="AP61" s="982"/>
      <c r="AQ61" s="976"/>
      <c r="AR61" s="954"/>
    </row>
    <row r="62" spans="2:44" ht="15" x14ac:dyDescent="0.25">
      <c r="B62" s="161">
        <f>'1. LDC Info'!$F$18-8</f>
        <v>2008</v>
      </c>
      <c r="C62" s="735" t="s">
        <v>105</v>
      </c>
      <c r="D62" s="716">
        <v>4481671</v>
      </c>
      <c r="E62" s="712"/>
      <c r="F62" s="715">
        <v>889534</v>
      </c>
      <c r="G62" s="712"/>
      <c r="H62" s="715"/>
      <c r="I62" s="712"/>
      <c r="J62" s="714"/>
      <c r="K62" s="712"/>
      <c r="L62" s="715">
        <v>-320582.86</v>
      </c>
      <c r="M62" s="327"/>
      <c r="N62" s="712"/>
      <c r="O62" s="270">
        <v>320582.86</v>
      </c>
      <c r="P62" s="327"/>
      <c r="Q62" s="712"/>
      <c r="R62" s="716"/>
      <c r="S62" s="715"/>
      <c r="T62" s="712"/>
      <c r="U62" s="46"/>
      <c r="V62" s="45"/>
      <c r="W62" s="46"/>
      <c r="X62" s="45"/>
      <c r="Y62" s="46"/>
      <c r="Z62" s="45"/>
      <c r="AA62" s="46"/>
      <c r="AB62" s="45"/>
      <c r="AC62" s="976">
        <f t="shared" si="0"/>
        <v>23659.015068000001</v>
      </c>
      <c r="AD62" s="976">
        <f t="shared" si="1"/>
        <v>-344241.87506799999</v>
      </c>
      <c r="AE62" s="976">
        <f t="shared" si="2"/>
        <v>344241.87506799999</v>
      </c>
      <c r="AF62" s="976"/>
      <c r="AG62" s="976"/>
      <c r="AH62" s="976"/>
      <c r="AI62" s="954"/>
      <c r="AP62" s="982"/>
      <c r="AQ62" s="976"/>
      <c r="AR62" s="954"/>
    </row>
    <row r="63" spans="2:44" ht="15" x14ac:dyDescent="0.25">
      <c r="B63" s="161">
        <f>'1. LDC Info'!$F$18-8</f>
        <v>2008</v>
      </c>
      <c r="C63" s="735" t="s">
        <v>102</v>
      </c>
      <c r="D63" s="716">
        <v>3401121</v>
      </c>
      <c r="E63" s="712">
        <v>10836</v>
      </c>
      <c r="F63" s="715">
        <f>716825.5-173292+972</f>
        <v>544505.5</v>
      </c>
      <c r="G63" s="712">
        <v>758</v>
      </c>
      <c r="H63" s="715">
        <v>173292</v>
      </c>
      <c r="I63" s="712">
        <v>40</v>
      </c>
      <c r="J63" s="877">
        <v>972</v>
      </c>
      <c r="K63" s="712"/>
      <c r="L63" s="715">
        <v>2952582.88</v>
      </c>
      <c r="M63" s="327"/>
      <c r="N63" s="712">
        <v>28</v>
      </c>
      <c r="O63" s="270">
        <v>332660.37</v>
      </c>
      <c r="P63" s="327"/>
      <c r="Q63" s="712">
        <v>1</v>
      </c>
      <c r="R63" s="716">
        <v>506606.11499999999</v>
      </c>
      <c r="S63" s="715"/>
      <c r="T63" s="712">
        <v>2453</v>
      </c>
      <c r="U63" s="46"/>
      <c r="V63" s="45"/>
      <c r="W63" s="46"/>
      <c r="X63" s="45"/>
      <c r="Y63" s="46"/>
      <c r="Z63" s="45"/>
      <c r="AA63" s="46"/>
      <c r="AB63" s="45"/>
      <c r="AC63" s="976">
        <f t="shared" si="0"/>
        <v>24550.335306000001</v>
      </c>
      <c r="AD63" s="976">
        <f t="shared" si="1"/>
        <v>2928032.5446939999</v>
      </c>
      <c r="AE63" s="976">
        <f t="shared" si="2"/>
        <v>357210.70530600002</v>
      </c>
      <c r="AF63" s="976"/>
      <c r="AG63" s="976"/>
      <c r="AH63" s="976"/>
      <c r="AI63" s="954"/>
      <c r="AP63" s="982"/>
      <c r="AQ63" s="976"/>
      <c r="AR63" s="954"/>
    </row>
    <row r="64" spans="2:44" ht="15" x14ac:dyDescent="0.25">
      <c r="B64" s="161">
        <f>'1. LDC Info'!$F$18-7</f>
        <v>2009</v>
      </c>
      <c r="C64" s="735" t="s">
        <v>106</v>
      </c>
      <c r="D64" s="716">
        <v>11486197</v>
      </c>
      <c r="E64" s="712">
        <v>10836</v>
      </c>
      <c r="F64" s="715">
        <v>1761409.6129999999</v>
      </c>
      <c r="G64" s="712">
        <v>758</v>
      </c>
      <c r="H64" s="713"/>
      <c r="I64" s="712">
        <v>40</v>
      </c>
      <c r="J64" s="714"/>
      <c r="K64" s="712"/>
      <c r="L64" s="715">
        <v>1648537.92</v>
      </c>
      <c r="M64" s="717">
        <v>4079.8999999999996</v>
      </c>
      <c r="N64" s="712">
        <v>28</v>
      </c>
      <c r="O64" s="270">
        <v>325317.21000000002</v>
      </c>
      <c r="P64" s="327">
        <v>515.5</v>
      </c>
      <c r="Q64" s="712">
        <v>1</v>
      </c>
      <c r="R64" s="716">
        <v>168868.70499999999</v>
      </c>
      <c r="S64" s="717">
        <v>408.94</v>
      </c>
      <c r="T64" s="712">
        <v>2473</v>
      </c>
      <c r="U64" s="46"/>
      <c r="V64" s="45"/>
      <c r="W64" s="46"/>
      <c r="X64" s="45"/>
      <c r="Y64" s="46"/>
      <c r="Z64" s="45"/>
      <c r="AA64" s="46"/>
      <c r="AB64" s="45"/>
      <c r="AC64" s="976">
        <f t="shared" si="0"/>
        <v>24008.410098000004</v>
      </c>
      <c r="AD64" s="976">
        <f t="shared" si="1"/>
        <v>1624529.509902</v>
      </c>
      <c r="AE64" s="976">
        <f t="shared" si="2"/>
        <v>349325.62009800004</v>
      </c>
      <c r="AF64" s="976"/>
      <c r="AG64" s="976"/>
      <c r="AH64" s="976"/>
      <c r="AI64" s="954"/>
      <c r="AP64" s="982"/>
      <c r="AQ64" s="976"/>
      <c r="AR64" s="954"/>
    </row>
    <row r="65" spans="2:44" ht="15" x14ac:dyDescent="0.25">
      <c r="B65" s="161">
        <f>'1. LDC Info'!$F$18-7</f>
        <v>2009</v>
      </c>
      <c r="C65" s="735" t="s">
        <v>107</v>
      </c>
      <c r="D65" s="716">
        <v>4642716</v>
      </c>
      <c r="E65" s="712"/>
      <c r="F65" s="715">
        <v>577554</v>
      </c>
      <c r="G65" s="712"/>
      <c r="H65" s="715"/>
      <c r="I65" s="712"/>
      <c r="J65" s="714"/>
      <c r="K65" s="712"/>
      <c r="L65" s="715">
        <v>1513344.9200000002</v>
      </c>
      <c r="M65" s="717">
        <v>3588.38</v>
      </c>
      <c r="N65" s="712"/>
      <c r="O65" s="270">
        <v>298766.79999999993</v>
      </c>
      <c r="P65" s="327">
        <v>532.79999999999995</v>
      </c>
      <c r="Q65" s="712"/>
      <c r="R65" s="716"/>
      <c r="S65" s="717">
        <v>408.94</v>
      </c>
      <c r="T65" s="712"/>
      <c r="U65" s="46"/>
      <c r="V65" s="45"/>
      <c r="W65" s="46"/>
      <c r="X65" s="45"/>
      <c r="Y65" s="46"/>
      <c r="Z65" s="45"/>
      <c r="AA65" s="46"/>
      <c r="AB65" s="45"/>
      <c r="AC65" s="976">
        <f t="shared" si="0"/>
        <v>22048.989839999995</v>
      </c>
      <c r="AD65" s="976">
        <f t="shared" si="1"/>
        <v>1491295.9301600002</v>
      </c>
      <c r="AE65" s="976">
        <f t="shared" si="2"/>
        <v>320815.78983999992</v>
      </c>
      <c r="AF65" s="976"/>
      <c r="AG65" s="976"/>
      <c r="AH65" s="976"/>
      <c r="AI65" s="954"/>
      <c r="AP65" s="982"/>
      <c r="AQ65" s="976"/>
      <c r="AR65" s="954"/>
    </row>
    <row r="66" spans="2:44" ht="15" x14ac:dyDescent="0.25">
      <c r="B66" s="161">
        <f>'1. LDC Info'!$F$18-7</f>
        <v>2009</v>
      </c>
      <c r="C66" s="735" t="s">
        <v>108</v>
      </c>
      <c r="D66" s="716">
        <v>9203100</v>
      </c>
      <c r="E66" s="712"/>
      <c r="F66" s="715">
        <v>1793617</v>
      </c>
      <c r="G66" s="712"/>
      <c r="H66" s="715"/>
      <c r="I66" s="712"/>
      <c r="J66" s="714"/>
      <c r="K66" s="712"/>
      <c r="L66" s="715">
        <v>1227989.43</v>
      </c>
      <c r="M66" s="717">
        <v>3497.68</v>
      </c>
      <c r="N66" s="712"/>
      <c r="O66" s="270">
        <v>322550.67999999993</v>
      </c>
      <c r="P66" s="327">
        <v>504</v>
      </c>
      <c r="Q66" s="712"/>
      <c r="R66" s="716"/>
      <c r="S66" s="717">
        <v>414.95</v>
      </c>
      <c r="T66" s="712"/>
      <c r="U66" s="46"/>
      <c r="V66" s="45"/>
      <c r="W66" s="46"/>
      <c r="X66" s="45"/>
      <c r="Y66" s="46"/>
      <c r="Z66" s="45"/>
      <c r="AA66" s="46"/>
      <c r="AB66" s="45"/>
      <c r="AC66" s="976">
        <f t="shared" si="0"/>
        <v>23804.240183999998</v>
      </c>
      <c r="AD66" s="976">
        <f t="shared" si="1"/>
        <v>1204185.1898159999</v>
      </c>
      <c r="AE66" s="976">
        <f t="shared" si="2"/>
        <v>346354.92018399993</v>
      </c>
      <c r="AF66" s="976"/>
      <c r="AG66" s="976"/>
      <c r="AH66" s="976"/>
      <c r="AI66" s="954"/>
      <c r="AP66" s="982"/>
      <c r="AQ66" s="976"/>
      <c r="AR66" s="954"/>
    </row>
    <row r="67" spans="2:44" ht="15" x14ac:dyDescent="0.25">
      <c r="B67" s="161">
        <f>'1. LDC Info'!$F$18-7</f>
        <v>2009</v>
      </c>
      <c r="C67" s="735" t="s">
        <v>109</v>
      </c>
      <c r="D67" s="716">
        <v>9343681</v>
      </c>
      <c r="E67" s="712"/>
      <c r="F67" s="715">
        <v>1603944</v>
      </c>
      <c r="G67" s="712"/>
      <c r="H67" s="715"/>
      <c r="I67" s="712"/>
      <c r="J67" s="714"/>
      <c r="K67" s="712"/>
      <c r="L67" s="715">
        <v>1497535.4500000002</v>
      </c>
      <c r="M67" s="717">
        <v>3714.7400000000002</v>
      </c>
      <c r="N67" s="712"/>
      <c r="O67" s="270">
        <v>311980.92</v>
      </c>
      <c r="P67" s="327">
        <v>584.6</v>
      </c>
      <c r="Q67" s="712"/>
      <c r="R67" s="716"/>
      <c r="S67" s="717">
        <v>414.95</v>
      </c>
      <c r="T67" s="712"/>
      <c r="U67" s="46"/>
      <c r="V67" s="45"/>
      <c r="W67" s="46"/>
      <c r="X67" s="45"/>
      <c r="Y67" s="46"/>
      <c r="Z67" s="45"/>
      <c r="AA67" s="46"/>
      <c r="AB67" s="45"/>
      <c r="AC67" s="976">
        <f t="shared" si="0"/>
        <v>23024.191896</v>
      </c>
      <c r="AD67" s="976">
        <f t="shared" si="1"/>
        <v>1474511.2581040002</v>
      </c>
      <c r="AE67" s="976">
        <f t="shared" si="2"/>
        <v>335005.11189599999</v>
      </c>
      <c r="AF67" s="976"/>
      <c r="AG67" s="976"/>
      <c r="AH67" s="976"/>
      <c r="AI67" s="954"/>
      <c r="AP67" s="982"/>
      <c r="AQ67" s="976"/>
      <c r="AR67" s="954"/>
    </row>
    <row r="68" spans="2:44" ht="15" x14ac:dyDescent="0.25">
      <c r="B68" s="161">
        <f>'1. LDC Info'!$F$18-7</f>
        <v>2009</v>
      </c>
      <c r="C68" s="735" t="s">
        <v>110</v>
      </c>
      <c r="D68" s="716">
        <v>8264192</v>
      </c>
      <c r="E68" s="712"/>
      <c r="F68" s="715">
        <v>1321252</v>
      </c>
      <c r="G68" s="712"/>
      <c r="H68" s="713"/>
      <c r="I68" s="712"/>
      <c r="J68" s="714"/>
      <c r="K68" s="712"/>
      <c r="L68" s="715">
        <v>1266559.51</v>
      </c>
      <c r="M68" s="717">
        <v>3635.73</v>
      </c>
      <c r="N68" s="712"/>
      <c r="O68" s="270">
        <v>333903.69</v>
      </c>
      <c r="P68" s="327">
        <v>590.4</v>
      </c>
      <c r="Q68" s="712"/>
      <c r="R68" s="716">
        <v>613937.19999999995</v>
      </c>
      <c r="S68" s="717">
        <v>414.95</v>
      </c>
      <c r="T68" s="712"/>
      <c r="U68" s="46"/>
      <c r="V68" s="45"/>
      <c r="W68" s="46"/>
      <c r="X68" s="45"/>
      <c r="Y68" s="46"/>
      <c r="Z68" s="45"/>
      <c r="AA68" s="46"/>
      <c r="AB68" s="45"/>
      <c r="AC68" s="976">
        <f t="shared" si="0"/>
        <v>24642.092322</v>
      </c>
      <c r="AD68" s="976">
        <f t="shared" si="1"/>
        <v>1241917.4176779999</v>
      </c>
      <c r="AE68" s="976">
        <f t="shared" si="2"/>
        <v>358545.78232200001</v>
      </c>
      <c r="AF68" s="976"/>
      <c r="AG68" s="976"/>
      <c r="AH68" s="976"/>
      <c r="AI68" s="954"/>
      <c r="AP68" s="982"/>
      <c r="AQ68" s="976"/>
      <c r="AR68" s="954"/>
    </row>
    <row r="69" spans="2:44" ht="15" x14ac:dyDescent="0.25">
      <c r="B69" s="161">
        <f>'1. LDC Info'!$F$18-7</f>
        <v>2009</v>
      </c>
      <c r="C69" s="735" t="s">
        <v>111</v>
      </c>
      <c r="D69" s="716">
        <v>3544440.64</v>
      </c>
      <c r="E69" s="712"/>
      <c r="F69" s="715">
        <v>528890.42999999993</v>
      </c>
      <c r="G69" s="712"/>
      <c r="H69" s="715"/>
      <c r="I69" s="712"/>
      <c r="J69" s="714"/>
      <c r="K69" s="712"/>
      <c r="L69" s="715">
        <v>1476118.87</v>
      </c>
      <c r="M69" s="717">
        <v>4268.51</v>
      </c>
      <c r="N69" s="712"/>
      <c r="O69" s="270">
        <v>346356.97999999992</v>
      </c>
      <c r="P69" s="327">
        <v>636.5</v>
      </c>
      <c r="Q69" s="712"/>
      <c r="R69" s="716"/>
      <c r="S69" s="717">
        <v>414.95</v>
      </c>
      <c r="T69" s="712"/>
      <c r="U69" s="46"/>
      <c r="V69" s="45"/>
      <c r="W69" s="46"/>
      <c r="X69" s="45"/>
      <c r="Y69" s="46"/>
      <c r="Z69" s="45"/>
      <c r="AA69" s="46"/>
      <c r="AB69" s="45"/>
      <c r="AC69" s="976">
        <f t="shared" si="0"/>
        <v>25561.145123999995</v>
      </c>
      <c r="AD69" s="976">
        <f t="shared" si="1"/>
        <v>1450557.7248760001</v>
      </c>
      <c r="AE69" s="976">
        <f t="shared" si="2"/>
        <v>371918.1251239999</v>
      </c>
      <c r="AF69" s="976"/>
      <c r="AG69" s="976"/>
      <c r="AH69" s="976"/>
      <c r="AI69" s="954"/>
      <c r="AP69" s="982"/>
      <c r="AQ69" s="976"/>
      <c r="AR69" s="954"/>
    </row>
    <row r="70" spans="2:44" ht="15" x14ac:dyDescent="0.25">
      <c r="B70" s="161">
        <f>'1. LDC Info'!$F$18-7</f>
        <v>2009</v>
      </c>
      <c r="C70" s="735" t="s">
        <v>112</v>
      </c>
      <c r="D70" s="716">
        <v>7288171.3199999994</v>
      </c>
      <c r="E70" s="712"/>
      <c r="F70" s="715">
        <v>1701091.98</v>
      </c>
      <c r="G70" s="712"/>
      <c r="H70" s="715"/>
      <c r="I70" s="712"/>
      <c r="J70" s="714"/>
      <c r="K70" s="712"/>
      <c r="L70" s="715">
        <v>1474070.13</v>
      </c>
      <c r="M70" s="717">
        <v>4381.3100000000004</v>
      </c>
      <c r="N70" s="712"/>
      <c r="O70" s="270">
        <v>392607.96</v>
      </c>
      <c r="P70" s="327">
        <v>671</v>
      </c>
      <c r="Q70" s="712"/>
      <c r="R70" s="716">
        <v>252828.62</v>
      </c>
      <c r="S70" s="717">
        <v>414.95</v>
      </c>
      <c r="T70" s="712"/>
      <c r="U70" s="46"/>
      <c r="V70" s="45"/>
      <c r="W70" s="46"/>
      <c r="X70" s="45"/>
      <c r="Y70" s="46"/>
      <c r="Z70" s="45"/>
      <c r="AA70" s="46"/>
      <c r="AB70" s="45"/>
      <c r="AC70" s="976">
        <f t="shared" si="0"/>
        <v>28974.467448000003</v>
      </c>
      <c r="AD70" s="976">
        <f t="shared" si="1"/>
        <v>1445095.6625519998</v>
      </c>
      <c r="AE70" s="976">
        <f t="shared" si="2"/>
        <v>421582.427448</v>
      </c>
      <c r="AF70" s="976"/>
      <c r="AG70" s="976"/>
      <c r="AH70" s="976"/>
      <c r="AI70" s="954"/>
      <c r="AP70" s="982"/>
      <c r="AQ70" s="976"/>
      <c r="AR70" s="954"/>
    </row>
    <row r="71" spans="2:44" ht="15" x14ac:dyDescent="0.25">
      <c r="B71" s="161">
        <f>'1. LDC Info'!$F$18-7</f>
        <v>2009</v>
      </c>
      <c r="C71" s="735" t="s">
        <v>113</v>
      </c>
      <c r="D71" s="716">
        <v>6147100</v>
      </c>
      <c r="E71" s="712"/>
      <c r="F71" s="715">
        <v>2525576</v>
      </c>
      <c r="G71" s="712"/>
      <c r="H71" s="715"/>
      <c r="I71" s="712"/>
      <c r="J71" s="714"/>
      <c r="K71" s="712"/>
      <c r="L71" s="715">
        <v>1623493.26</v>
      </c>
      <c r="M71" s="717">
        <v>4096.21</v>
      </c>
      <c r="N71" s="712"/>
      <c r="O71" s="270">
        <v>405962.81</v>
      </c>
      <c r="P71" s="327">
        <v>668.2</v>
      </c>
      <c r="Q71" s="712"/>
      <c r="R71" s="716">
        <v>128302.54</v>
      </c>
      <c r="S71" s="717">
        <v>414.95</v>
      </c>
      <c r="T71" s="712"/>
      <c r="U71" s="46"/>
      <c r="V71" s="45"/>
      <c r="W71" s="46"/>
      <c r="X71" s="45"/>
      <c r="Y71" s="46"/>
      <c r="Z71" s="45"/>
      <c r="AA71" s="46"/>
      <c r="AB71" s="45"/>
      <c r="AC71" s="976">
        <f t="shared" si="0"/>
        <v>29960.055378000001</v>
      </c>
      <c r="AD71" s="976">
        <f t="shared" si="1"/>
        <v>1593533.204622</v>
      </c>
      <c r="AE71" s="976">
        <f t="shared" si="2"/>
        <v>435922.86537800002</v>
      </c>
      <c r="AF71" s="976"/>
      <c r="AG71" s="976"/>
      <c r="AH71" s="976"/>
      <c r="AI71" s="954"/>
      <c r="AP71" s="982"/>
      <c r="AQ71" s="976"/>
      <c r="AR71" s="954"/>
    </row>
    <row r="72" spans="2:44" ht="15" x14ac:dyDescent="0.25">
      <c r="B72" s="161">
        <f>'1. LDC Info'!$F$18-7</f>
        <v>2009</v>
      </c>
      <c r="C72" s="735" t="s">
        <v>103</v>
      </c>
      <c r="D72" s="716">
        <v>5440937</v>
      </c>
      <c r="E72" s="712"/>
      <c r="F72" s="715">
        <v>111572</v>
      </c>
      <c r="G72" s="712"/>
      <c r="H72" s="713"/>
      <c r="I72" s="712"/>
      <c r="J72" s="714"/>
      <c r="K72" s="712"/>
      <c r="L72" s="715">
        <v>1745187.6899999997</v>
      </c>
      <c r="M72" s="717">
        <v>4375.7</v>
      </c>
      <c r="N72" s="712"/>
      <c r="O72" s="270">
        <v>361913.15</v>
      </c>
      <c r="P72" s="327">
        <v>642.20000000000005</v>
      </c>
      <c r="Q72" s="712"/>
      <c r="R72" s="716"/>
      <c r="S72" s="717">
        <v>413.74</v>
      </c>
      <c r="T72" s="712"/>
      <c r="U72" s="46"/>
      <c r="V72" s="45"/>
      <c r="W72" s="46"/>
      <c r="X72" s="45"/>
      <c r="Y72" s="46"/>
      <c r="Z72" s="45"/>
      <c r="AA72" s="46"/>
      <c r="AB72" s="45"/>
      <c r="AC72" s="976">
        <f t="shared" si="0"/>
        <v>26709.190470000005</v>
      </c>
      <c r="AD72" s="976">
        <f t="shared" si="1"/>
        <v>1718478.4995299997</v>
      </c>
      <c r="AE72" s="976">
        <f t="shared" si="2"/>
        <v>388622.34047000005</v>
      </c>
      <c r="AF72" s="976"/>
      <c r="AG72" s="976"/>
      <c r="AH72" s="976"/>
      <c r="AI72" s="954"/>
      <c r="AP72" s="982"/>
      <c r="AQ72" s="976"/>
      <c r="AR72" s="954"/>
    </row>
    <row r="73" spans="2:44" ht="15" x14ac:dyDescent="0.25">
      <c r="B73" s="161">
        <f>'1. LDC Info'!$F$18-7</f>
        <v>2009</v>
      </c>
      <c r="C73" s="735" t="s">
        <v>104</v>
      </c>
      <c r="D73" s="716">
        <v>5624044</v>
      </c>
      <c r="E73" s="712"/>
      <c r="F73" s="715">
        <v>1541456.16</v>
      </c>
      <c r="G73" s="712"/>
      <c r="H73" s="715"/>
      <c r="I73" s="712"/>
      <c r="J73" s="714"/>
      <c r="K73" s="712"/>
      <c r="L73" s="715">
        <v>1533697.6099999999</v>
      </c>
      <c r="M73" s="717">
        <v>4322.6099999999997</v>
      </c>
      <c r="N73" s="712"/>
      <c r="O73" s="270">
        <v>338114.57999999996</v>
      </c>
      <c r="P73" s="327">
        <v>564.5</v>
      </c>
      <c r="Q73" s="712"/>
      <c r="R73" s="716"/>
      <c r="S73" s="717">
        <v>413.74</v>
      </c>
      <c r="T73" s="712"/>
      <c r="U73" s="46"/>
      <c r="V73" s="45"/>
      <c r="W73" s="46"/>
      <c r="X73" s="45"/>
      <c r="Y73" s="46"/>
      <c r="Z73" s="45"/>
      <c r="AA73" s="46"/>
      <c r="AB73" s="45"/>
      <c r="AC73" s="976">
        <f t="shared" si="0"/>
        <v>24952.856003999997</v>
      </c>
      <c r="AD73" s="976">
        <f t="shared" si="1"/>
        <v>1508744.7539959999</v>
      </c>
      <c r="AE73" s="976">
        <f t="shared" si="2"/>
        <v>363067.43600399996</v>
      </c>
      <c r="AF73" s="976"/>
      <c r="AG73" s="976"/>
      <c r="AH73" s="976"/>
      <c r="AI73" s="954"/>
      <c r="AP73" s="982"/>
      <c r="AQ73" s="976"/>
      <c r="AR73" s="954"/>
    </row>
    <row r="74" spans="2:44" ht="15" x14ac:dyDescent="0.25">
      <c r="B74" s="161">
        <f>'1. LDC Info'!$F$18-7</f>
        <v>2009</v>
      </c>
      <c r="C74" s="735" t="s">
        <v>105</v>
      </c>
      <c r="D74" s="716">
        <v>6656675</v>
      </c>
      <c r="E74" s="712"/>
      <c r="F74" s="715">
        <v>1293291.56</v>
      </c>
      <c r="G74" s="712"/>
      <c r="H74" s="715"/>
      <c r="I74" s="712"/>
      <c r="J74" s="714"/>
      <c r="K74" s="712"/>
      <c r="L74" s="715">
        <v>111650.51000000005</v>
      </c>
      <c r="M74" s="717">
        <v>639.91999999999996</v>
      </c>
      <c r="N74" s="712"/>
      <c r="O74" s="270">
        <v>334022.75999999995</v>
      </c>
      <c r="P74" s="327">
        <v>584.64</v>
      </c>
      <c r="Q74" s="712"/>
      <c r="R74" s="716">
        <v>442520.58</v>
      </c>
      <c r="S74" s="717">
        <v>413.74</v>
      </c>
      <c r="T74" s="712"/>
      <c r="U74" s="46"/>
      <c r="V74" s="45"/>
      <c r="W74" s="46"/>
      <c r="X74" s="45"/>
      <c r="Y74" s="46"/>
      <c r="Z74" s="45"/>
      <c r="AA74" s="46"/>
      <c r="AB74" s="45"/>
      <c r="AC74" s="976">
        <f t="shared" si="0"/>
        <v>24650.879687999997</v>
      </c>
      <c r="AD74" s="976">
        <f t="shared" si="1"/>
        <v>86999.630312000052</v>
      </c>
      <c r="AE74" s="976">
        <f t="shared" si="2"/>
        <v>358673.63968799997</v>
      </c>
      <c r="AF74" s="976"/>
      <c r="AG74" s="976"/>
      <c r="AH74" s="976"/>
      <c r="AI74" s="954"/>
      <c r="AP74" s="982"/>
      <c r="AQ74" s="976"/>
      <c r="AR74" s="954"/>
    </row>
    <row r="75" spans="2:44" ht="15" x14ac:dyDescent="0.25">
      <c r="B75" s="161">
        <f>'1. LDC Info'!$F$18-7</f>
        <v>2009</v>
      </c>
      <c r="C75" s="735" t="s">
        <v>102</v>
      </c>
      <c r="D75" s="716">
        <v>5077756.4000000004</v>
      </c>
      <c r="E75" s="712">
        <v>11001</v>
      </c>
      <c r="F75" s="715">
        <f>851617.8+810-242143</f>
        <v>610284.80000000005</v>
      </c>
      <c r="G75" s="712">
        <v>776</v>
      </c>
      <c r="H75" s="327">
        <f>13129+242143</f>
        <v>255272</v>
      </c>
      <c r="I75" s="712">
        <v>25</v>
      </c>
      <c r="J75" s="877">
        <v>810</v>
      </c>
      <c r="K75" s="712"/>
      <c r="L75" s="715">
        <v>1754302.21</v>
      </c>
      <c r="M75" s="717">
        <v>3211</v>
      </c>
      <c r="N75" s="712">
        <v>32</v>
      </c>
      <c r="O75" s="270">
        <v>371712.79</v>
      </c>
      <c r="P75" s="327">
        <v>529.91999999999996</v>
      </c>
      <c r="Q75" s="712">
        <v>1</v>
      </c>
      <c r="R75" s="716">
        <v>116668.53</v>
      </c>
      <c r="S75" s="717">
        <v>413.74</v>
      </c>
      <c r="T75" s="712">
        <v>2473</v>
      </c>
      <c r="U75" s="46"/>
      <c r="V75" s="45"/>
      <c r="W75" s="46"/>
      <c r="X75" s="45"/>
      <c r="Y75" s="46"/>
      <c r="Z75" s="45"/>
      <c r="AA75" s="46"/>
      <c r="AB75" s="45"/>
      <c r="AC75" s="976">
        <f t="shared" si="0"/>
        <v>27432.403902000002</v>
      </c>
      <c r="AD75" s="976">
        <f t="shared" si="1"/>
        <v>1726869.8060979999</v>
      </c>
      <c r="AE75" s="976">
        <f t="shared" si="2"/>
        <v>399145.19390199997</v>
      </c>
      <c r="AF75" s="976"/>
      <c r="AG75" s="976"/>
      <c r="AH75" s="976"/>
      <c r="AI75" s="954"/>
      <c r="AP75" s="982"/>
      <c r="AQ75" s="976"/>
      <c r="AR75" s="954"/>
    </row>
    <row r="76" spans="2:44" ht="15" x14ac:dyDescent="0.25">
      <c r="B76" s="161">
        <f>'1. LDC Info'!$F$18-6</f>
        <v>2010</v>
      </c>
      <c r="C76" s="735" t="s">
        <v>106</v>
      </c>
      <c r="D76" s="716">
        <v>7048705.6000000006</v>
      </c>
      <c r="E76" s="712">
        <v>11001</v>
      </c>
      <c r="F76" s="715">
        <f>1424723.2</f>
        <v>1424723.2</v>
      </c>
      <c r="G76" s="712">
        <v>776</v>
      </c>
      <c r="H76" s="327">
        <v>29838</v>
      </c>
      <c r="I76" s="712">
        <v>25</v>
      </c>
      <c r="J76" s="714"/>
      <c r="K76" s="712"/>
      <c r="L76" s="715">
        <v>-338688.3</v>
      </c>
      <c r="M76" s="717">
        <v>3143.59</v>
      </c>
      <c r="N76" s="712">
        <v>32</v>
      </c>
      <c r="O76" s="270">
        <v>338688.3</v>
      </c>
      <c r="P76" s="327">
        <v>529.91999999999996</v>
      </c>
      <c r="Q76" s="712">
        <v>1</v>
      </c>
      <c r="R76" s="716"/>
      <c r="S76" s="717">
        <v>413.74</v>
      </c>
      <c r="T76" s="712">
        <v>2473</v>
      </c>
      <c r="U76" s="46"/>
      <c r="V76" s="45"/>
      <c r="W76" s="46"/>
      <c r="X76" s="45"/>
      <c r="Y76" s="46"/>
      <c r="Z76" s="45"/>
      <c r="AA76" s="46"/>
      <c r="AB76" s="45"/>
      <c r="AC76" s="976">
        <f t="shared" si="0"/>
        <v>24995.196540000001</v>
      </c>
      <c r="AD76" s="976">
        <f t="shared" si="1"/>
        <v>-363683.49653999996</v>
      </c>
      <c r="AE76" s="976">
        <f t="shared" si="2"/>
        <v>363683.49653999996</v>
      </c>
      <c r="AF76" s="976"/>
      <c r="AG76" s="976"/>
      <c r="AH76" s="976"/>
      <c r="AI76" s="954"/>
      <c r="AP76" s="982"/>
      <c r="AQ76" s="976"/>
      <c r="AR76" s="954"/>
    </row>
    <row r="77" spans="2:44" ht="15" x14ac:dyDescent="0.25">
      <c r="B77" s="161">
        <f>'1. LDC Info'!$F$18-6</f>
        <v>2010</v>
      </c>
      <c r="C77" s="735" t="s">
        <v>107</v>
      </c>
      <c r="D77" s="716">
        <v>2142148</v>
      </c>
      <c r="E77" s="712"/>
      <c r="F77" s="715">
        <v>394719</v>
      </c>
      <c r="G77" s="712"/>
      <c r="H77" s="327">
        <v>6884</v>
      </c>
      <c r="I77" s="712"/>
      <c r="J77" s="714"/>
      <c r="K77" s="712"/>
      <c r="L77" s="715">
        <v>1471856.23</v>
      </c>
      <c r="M77" s="717">
        <v>3249.59</v>
      </c>
      <c r="N77" s="712"/>
      <c r="O77" s="270">
        <v>296383.76999999996</v>
      </c>
      <c r="P77" s="327">
        <v>512.64</v>
      </c>
      <c r="Q77" s="712"/>
      <c r="R77" s="716">
        <v>236872.47</v>
      </c>
      <c r="S77" s="717">
        <v>413.74</v>
      </c>
      <c r="T77" s="712"/>
      <c r="U77" s="46"/>
      <c r="V77" s="45"/>
      <c r="W77" s="46"/>
      <c r="X77" s="45"/>
      <c r="Y77" s="46"/>
      <c r="Z77" s="45"/>
      <c r="AA77" s="46"/>
      <c r="AB77" s="45"/>
      <c r="AC77" s="976">
        <f t="shared" si="0"/>
        <v>21873.122226</v>
      </c>
      <c r="AD77" s="976">
        <f t="shared" si="1"/>
        <v>1449983.1077739999</v>
      </c>
      <c r="AE77" s="976">
        <f t="shared" si="2"/>
        <v>318256.89222599997</v>
      </c>
      <c r="AF77" s="976"/>
      <c r="AG77" s="976"/>
      <c r="AH77" s="976"/>
      <c r="AI77" s="954"/>
      <c r="AP77" s="982"/>
      <c r="AQ77" s="976"/>
      <c r="AR77" s="954"/>
    </row>
    <row r="78" spans="2:44" ht="15" x14ac:dyDescent="0.25">
      <c r="B78" s="161">
        <f>'1. LDC Info'!$F$18-6</f>
        <v>2010</v>
      </c>
      <c r="C78" s="735" t="s">
        <v>108</v>
      </c>
      <c r="D78" s="716">
        <v>14412625</v>
      </c>
      <c r="E78" s="712"/>
      <c r="F78" s="715">
        <v>2381792</v>
      </c>
      <c r="G78" s="712"/>
      <c r="H78" s="327">
        <v>44109</v>
      </c>
      <c r="I78" s="712"/>
      <c r="J78" s="714"/>
      <c r="K78" s="712"/>
      <c r="L78" s="715">
        <v>1726724.28</v>
      </c>
      <c r="M78" s="717">
        <v>3294.67</v>
      </c>
      <c r="N78" s="712"/>
      <c r="O78" s="270">
        <v>334687.71999999997</v>
      </c>
      <c r="P78" s="327">
        <v>535.67999999999995</v>
      </c>
      <c r="Q78" s="712"/>
      <c r="R78" s="716">
        <v>179563</v>
      </c>
      <c r="S78" s="717">
        <v>413.74</v>
      </c>
      <c r="T78" s="712"/>
      <c r="U78" s="46"/>
      <c r="V78" s="45"/>
      <c r="W78" s="46"/>
      <c r="X78" s="45"/>
      <c r="Y78" s="46"/>
      <c r="Z78" s="45"/>
      <c r="AA78" s="46"/>
      <c r="AB78" s="45"/>
      <c r="AC78" s="976">
        <f t="shared" si="0"/>
        <v>24699.953735999999</v>
      </c>
      <c r="AD78" s="976">
        <f t="shared" si="1"/>
        <v>1702024.326264</v>
      </c>
      <c r="AE78" s="976">
        <f t="shared" si="2"/>
        <v>359387.67373599997</v>
      </c>
      <c r="AF78" s="976"/>
      <c r="AG78" s="976"/>
      <c r="AH78" s="976"/>
      <c r="AI78" s="954"/>
      <c r="AP78" s="982"/>
      <c r="AQ78" s="976"/>
      <c r="AR78" s="954"/>
    </row>
    <row r="79" spans="2:44" ht="15" x14ac:dyDescent="0.25">
      <c r="B79" s="161">
        <f>'1. LDC Info'!$F$18-6</f>
        <v>2010</v>
      </c>
      <c r="C79" s="735" t="s">
        <v>109</v>
      </c>
      <c r="D79" s="716">
        <v>6466793</v>
      </c>
      <c r="E79" s="712"/>
      <c r="F79" s="715">
        <v>1386657</v>
      </c>
      <c r="G79" s="712"/>
      <c r="H79" s="327">
        <v>26919</v>
      </c>
      <c r="I79" s="712"/>
      <c r="J79" s="714"/>
      <c r="K79" s="712"/>
      <c r="L79" s="715">
        <v>1429238.39</v>
      </c>
      <c r="M79" s="717">
        <v>3181.3</v>
      </c>
      <c r="N79" s="712"/>
      <c r="O79" s="270">
        <v>334650.60999999993</v>
      </c>
      <c r="P79" s="327">
        <v>576</v>
      </c>
      <c r="Q79" s="712"/>
      <c r="R79" s="716">
        <v>162807</v>
      </c>
      <c r="S79" s="717">
        <v>413.74</v>
      </c>
      <c r="T79" s="712"/>
      <c r="U79" s="46"/>
      <c r="V79" s="45"/>
      <c r="W79" s="46"/>
      <c r="X79" s="45"/>
      <c r="Y79" s="46"/>
      <c r="Z79" s="45"/>
      <c r="AA79" s="46"/>
      <c r="AB79" s="45"/>
      <c r="AC79" s="976">
        <f t="shared" si="0"/>
        <v>24697.215017999995</v>
      </c>
      <c r="AD79" s="976">
        <f t="shared" si="1"/>
        <v>1404541.1749819999</v>
      </c>
      <c r="AE79" s="976">
        <f t="shared" si="2"/>
        <v>359347.82501799992</v>
      </c>
      <c r="AF79" s="976"/>
      <c r="AG79" s="976"/>
      <c r="AH79" s="976"/>
      <c r="AI79" s="954"/>
      <c r="AP79" s="982"/>
      <c r="AQ79" s="976"/>
      <c r="AR79" s="954"/>
    </row>
    <row r="80" spans="2:44" ht="15" x14ac:dyDescent="0.25">
      <c r="B80" s="161">
        <f>'1. LDC Info'!$F$18-6</f>
        <v>2010</v>
      </c>
      <c r="C80" s="735" t="s">
        <v>110</v>
      </c>
      <c r="D80" s="716">
        <v>7247433</v>
      </c>
      <c r="E80" s="712"/>
      <c r="F80" s="715">
        <v>1194098</v>
      </c>
      <c r="G80" s="712"/>
      <c r="H80" s="327">
        <v>21023</v>
      </c>
      <c r="I80" s="712"/>
      <c r="J80" s="714"/>
      <c r="K80" s="712"/>
      <c r="L80" s="715">
        <v>1336181.6200000001</v>
      </c>
      <c r="M80" s="717">
        <v>3260.03</v>
      </c>
      <c r="N80" s="712"/>
      <c r="O80" s="270">
        <v>375222.38</v>
      </c>
      <c r="P80" s="327">
        <v>659.52</v>
      </c>
      <c r="Q80" s="712"/>
      <c r="R80" s="716">
        <v>144395</v>
      </c>
      <c r="S80" s="717">
        <v>413.74</v>
      </c>
      <c r="T80" s="712"/>
      <c r="U80" s="46"/>
      <c r="V80" s="45"/>
      <c r="W80" s="46"/>
      <c r="X80" s="45"/>
      <c r="Y80" s="46"/>
      <c r="Z80" s="45"/>
      <c r="AA80" s="46"/>
      <c r="AB80" s="45"/>
      <c r="AC80" s="976">
        <f t="shared" si="0"/>
        <v>27691.411644000003</v>
      </c>
      <c r="AD80" s="976">
        <f t="shared" si="1"/>
        <v>1308490.208356</v>
      </c>
      <c r="AE80" s="976">
        <f t="shared" si="2"/>
        <v>402913.79164399998</v>
      </c>
      <c r="AF80" s="976"/>
      <c r="AG80" s="976"/>
      <c r="AH80" s="976"/>
      <c r="AI80" s="954"/>
      <c r="AP80" s="982"/>
      <c r="AQ80" s="976"/>
      <c r="AR80" s="954"/>
    </row>
    <row r="81" spans="2:44" ht="15" x14ac:dyDescent="0.25">
      <c r="B81" s="161">
        <f>'1. LDC Info'!$F$18-6</f>
        <v>2010</v>
      </c>
      <c r="C81" s="735" t="s">
        <v>111</v>
      </c>
      <c r="D81" s="716">
        <v>3255415</v>
      </c>
      <c r="E81" s="712"/>
      <c r="F81" s="715">
        <v>429052</v>
      </c>
      <c r="G81" s="712"/>
      <c r="H81" s="327">
        <v>13129</v>
      </c>
      <c r="I81" s="712"/>
      <c r="J81" s="714"/>
      <c r="K81" s="712"/>
      <c r="L81" s="715">
        <v>1172416.77</v>
      </c>
      <c r="M81" s="717">
        <v>4194.3899999999994</v>
      </c>
      <c r="N81" s="712"/>
      <c r="O81" s="270">
        <v>372202.22999999992</v>
      </c>
      <c r="P81" s="327">
        <v>676.8</v>
      </c>
      <c r="Q81" s="712"/>
      <c r="R81" s="716">
        <v>120812</v>
      </c>
      <c r="S81" s="717">
        <v>413.74</v>
      </c>
      <c r="T81" s="712"/>
      <c r="U81" s="46"/>
      <c r="V81" s="45"/>
      <c r="W81" s="46"/>
      <c r="X81" s="45"/>
      <c r="Y81" s="46"/>
      <c r="Z81" s="45"/>
      <c r="AA81" s="46"/>
      <c r="AB81" s="45"/>
      <c r="AC81" s="976">
        <f t="shared" si="0"/>
        <v>27468.524573999995</v>
      </c>
      <c r="AD81" s="976">
        <f t="shared" si="1"/>
        <v>1144948.2454260001</v>
      </c>
      <c r="AE81" s="976">
        <f t="shared" si="2"/>
        <v>399670.7545739999</v>
      </c>
      <c r="AF81" s="976"/>
      <c r="AG81" s="976"/>
      <c r="AH81" s="976"/>
      <c r="AI81" s="954"/>
      <c r="AP81" s="982"/>
      <c r="AQ81" s="976"/>
      <c r="AR81" s="954"/>
    </row>
    <row r="82" spans="2:44" ht="15" x14ac:dyDescent="0.25">
      <c r="B82" s="161">
        <f>'1. LDC Info'!$F$18-6</f>
        <v>2010</v>
      </c>
      <c r="C82" s="735" t="s">
        <v>112</v>
      </c>
      <c r="D82" s="716">
        <v>7452907</v>
      </c>
      <c r="E82" s="712"/>
      <c r="F82" s="715">
        <v>1897280</v>
      </c>
      <c r="G82" s="712"/>
      <c r="H82" s="327">
        <v>35390</v>
      </c>
      <c r="I82" s="712"/>
      <c r="J82" s="714"/>
      <c r="K82" s="712"/>
      <c r="L82" s="715">
        <v>1466447.86</v>
      </c>
      <c r="M82" s="717">
        <v>3948.6600000000003</v>
      </c>
      <c r="N82" s="712"/>
      <c r="O82" s="270">
        <v>415419.14</v>
      </c>
      <c r="P82" s="327">
        <v>734.4</v>
      </c>
      <c r="Q82" s="712"/>
      <c r="R82" s="716">
        <v>107896</v>
      </c>
      <c r="S82" s="717">
        <v>413.74</v>
      </c>
      <c r="T82" s="712"/>
      <c r="U82" s="46"/>
      <c r="V82" s="45"/>
      <c r="W82" s="46"/>
      <c r="X82" s="45"/>
      <c r="Y82" s="46"/>
      <c r="Z82" s="45"/>
      <c r="AA82" s="46"/>
      <c r="AB82" s="45"/>
      <c r="AC82" s="976">
        <f t="shared" si="0"/>
        <v>30657.932532000003</v>
      </c>
      <c r="AD82" s="976">
        <f t="shared" si="1"/>
        <v>1435789.9274680002</v>
      </c>
      <c r="AE82" s="976">
        <f t="shared" si="2"/>
        <v>446077.07253200002</v>
      </c>
      <c r="AF82" s="976"/>
      <c r="AG82" s="976"/>
      <c r="AH82" s="976"/>
      <c r="AI82" s="954"/>
      <c r="AP82" s="982"/>
      <c r="AQ82" s="976"/>
      <c r="AR82" s="954"/>
    </row>
    <row r="83" spans="2:44" ht="15" x14ac:dyDescent="0.25">
      <c r="B83" s="161">
        <f>'1. LDC Info'!$F$18-6</f>
        <v>2010</v>
      </c>
      <c r="C83" s="735" t="s">
        <v>113</v>
      </c>
      <c r="D83" s="716">
        <v>3468926</v>
      </c>
      <c r="E83" s="712"/>
      <c r="F83" s="715">
        <v>615671</v>
      </c>
      <c r="G83" s="712"/>
      <c r="H83" s="327">
        <v>13131</v>
      </c>
      <c r="I83" s="712"/>
      <c r="J83" s="714"/>
      <c r="K83" s="712"/>
      <c r="L83" s="715">
        <v>1463434.96</v>
      </c>
      <c r="M83" s="717">
        <v>4515.1899999999996</v>
      </c>
      <c r="N83" s="712"/>
      <c r="O83" s="270">
        <v>417015.03999999992</v>
      </c>
      <c r="P83" s="327">
        <v>705.6</v>
      </c>
      <c r="Q83" s="712"/>
      <c r="R83" s="716">
        <v>95264</v>
      </c>
      <c r="S83" s="717">
        <v>413.74</v>
      </c>
      <c r="T83" s="712"/>
      <c r="U83" s="46"/>
      <c r="V83" s="45"/>
      <c r="W83" s="46"/>
      <c r="X83" s="45"/>
      <c r="Y83" s="46"/>
      <c r="Z83" s="45"/>
      <c r="AA83" s="46"/>
      <c r="AB83" s="45"/>
      <c r="AC83" s="976">
        <f t="shared" si="0"/>
        <v>30775.709951999997</v>
      </c>
      <c r="AD83" s="976">
        <f t="shared" si="1"/>
        <v>1432659.2500479999</v>
      </c>
      <c r="AE83" s="976">
        <f t="shared" si="2"/>
        <v>447790.74995199993</v>
      </c>
      <c r="AF83" s="976"/>
      <c r="AG83" s="976"/>
      <c r="AH83" s="976"/>
      <c r="AI83" s="954"/>
      <c r="AP83" s="982"/>
      <c r="AQ83" s="976"/>
      <c r="AR83" s="954"/>
    </row>
    <row r="84" spans="2:44" ht="15" x14ac:dyDescent="0.25">
      <c r="B84" s="161">
        <f>'1. LDC Info'!$F$18-6</f>
        <v>2010</v>
      </c>
      <c r="C84" s="735" t="s">
        <v>103</v>
      </c>
      <c r="D84" s="716">
        <v>9458882</v>
      </c>
      <c r="E84" s="712"/>
      <c r="F84" s="715">
        <v>2242092</v>
      </c>
      <c r="G84" s="712"/>
      <c r="H84" s="327">
        <v>35391</v>
      </c>
      <c r="I84" s="712"/>
      <c r="J84" s="714"/>
      <c r="K84" s="712"/>
      <c r="L84" s="715">
        <v>1745641.05</v>
      </c>
      <c r="M84" s="717">
        <v>4097.4699999999993</v>
      </c>
      <c r="N84" s="712"/>
      <c r="O84" s="270">
        <v>363280.94999999995</v>
      </c>
      <c r="P84" s="327">
        <v>682.56</v>
      </c>
      <c r="Q84" s="712"/>
      <c r="R84" s="716">
        <v>104159</v>
      </c>
      <c r="S84" s="717">
        <v>413.74</v>
      </c>
      <c r="T84" s="712"/>
      <c r="U84" s="46"/>
      <c r="V84" s="45"/>
      <c r="W84" s="46"/>
      <c r="X84" s="45"/>
      <c r="Y84" s="46"/>
      <c r="Z84" s="45"/>
      <c r="AA84" s="46"/>
      <c r="AB84" s="45"/>
      <c r="AC84" s="976">
        <f t="shared" si="0"/>
        <v>26810.134109999999</v>
      </c>
      <c r="AD84" s="976">
        <f t="shared" si="1"/>
        <v>1718830.9158900001</v>
      </c>
      <c r="AE84" s="976">
        <f t="shared" si="2"/>
        <v>390091.08410999994</v>
      </c>
      <c r="AF84" s="976"/>
      <c r="AG84" s="976"/>
      <c r="AH84" s="976"/>
      <c r="AI84" s="954"/>
      <c r="AP84" s="982"/>
      <c r="AQ84" s="976"/>
      <c r="AR84" s="954"/>
    </row>
    <row r="85" spans="2:44" ht="15" x14ac:dyDescent="0.25">
      <c r="B85" s="161">
        <f>'1. LDC Info'!$F$18-6</f>
        <v>2010</v>
      </c>
      <c r="C85" s="735" t="s">
        <v>104</v>
      </c>
      <c r="D85" s="716">
        <v>8153555</v>
      </c>
      <c r="E85" s="712"/>
      <c r="F85" s="715">
        <v>2150591</v>
      </c>
      <c r="G85" s="712"/>
      <c r="H85" s="327">
        <v>28663</v>
      </c>
      <c r="I85" s="712"/>
      <c r="J85" s="714"/>
      <c r="K85" s="712"/>
      <c r="L85" s="715">
        <v>3570657.04</v>
      </c>
      <c r="M85" s="717">
        <v>4231.07</v>
      </c>
      <c r="N85" s="712"/>
      <c r="O85" s="270">
        <v>350795.95999999996</v>
      </c>
      <c r="P85" s="327">
        <v>607.67999999999995</v>
      </c>
      <c r="Q85" s="712"/>
      <c r="R85" s="716">
        <v>254131</v>
      </c>
      <c r="S85" s="717">
        <v>417.55</v>
      </c>
      <c r="T85" s="712"/>
      <c r="U85" s="46"/>
      <c r="V85" s="45"/>
      <c r="W85" s="46"/>
      <c r="X85" s="45"/>
      <c r="Y85" s="46"/>
      <c r="Z85" s="45"/>
      <c r="AA85" s="46"/>
      <c r="AB85" s="45"/>
      <c r="AC85" s="976">
        <f t="shared" si="0"/>
        <v>25888.741847999998</v>
      </c>
      <c r="AD85" s="976">
        <f t="shared" si="1"/>
        <v>3544768.2981520002</v>
      </c>
      <c r="AE85" s="976">
        <f t="shared" si="2"/>
        <v>376684.70184799994</v>
      </c>
      <c r="AF85" s="976"/>
      <c r="AG85" s="976"/>
      <c r="AH85" s="976"/>
      <c r="AI85" s="954"/>
      <c r="AP85" s="982"/>
      <c r="AQ85" s="976"/>
      <c r="AR85" s="954"/>
    </row>
    <row r="86" spans="2:44" ht="15" x14ac:dyDescent="0.25">
      <c r="B86" s="161">
        <f>'1. LDC Info'!$F$18-6</f>
        <v>2010</v>
      </c>
      <c r="C86" s="735" t="s">
        <v>105</v>
      </c>
      <c r="D86" s="716">
        <v>7282262</v>
      </c>
      <c r="E86" s="712"/>
      <c r="F86" s="715">
        <v>1609055</v>
      </c>
      <c r="G86" s="712"/>
      <c r="H86" s="327">
        <v>34878</v>
      </c>
      <c r="I86" s="712"/>
      <c r="J86" s="714"/>
      <c r="K86" s="712"/>
      <c r="L86" s="715">
        <v>1357200.75</v>
      </c>
      <c r="M86" s="717">
        <v>3753.2699999999995</v>
      </c>
      <c r="N86" s="712"/>
      <c r="O86" s="270">
        <v>331007.24999999994</v>
      </c>
      <c r="P86" s="327">
        <v>558.72</v>
      </c>
      <c r="Q86" s="712"/>
      <c r="R86" s="716">
        <v>159191</v>
      </c>
      <c r="S86" s="717">
        <v>417.55</v>
      </c>
      <c r="T86" s="712"/>
      <c r="U86" s="46"/>
      <c r="V86" s="45"/>
      <c r="W86" s="46"/>
      <c r="X86" s="45"/>
      <c r="Y86" s="46"/>
      <c r="Z86" s="45"/>
      <c r="AA86" s="46"/>
      <c r="AB86" s="45"/>
      <c r="AC86" s="976">
        <f t="shared" si="0"/>
        <v>24428.335049999998</v>
      </c>
      <c r="AD86" s="976">
        <f t="shared" si="1"/>
        <v>1332772.4149499999</v>
      </c>
      <c r="AE86" s="976">
        <f t="shared" si="2"/>
        <v>355435.58504999994</v>
      </c>
      <c r="AF86" s="976"/>
      <c r="AG86" s="976"/>
      <c r="AH86" s="976"/>
      <c r="AI86" s="954"/>
      <c r="AP86" s="982"/>
      <c r="AQ86" s="976"/>
      <c r="AR86" s="954"/>
    </row>
    <row r="87" spans="2:44" ht="15" x14ac:dyDescent="0.25">
      <c r="B87" s="161">
        <f>'1. LDC Info'!$F$18-6</f>
        <v>2010</v>
      </c>
      <c r="C87" s="735" t="s">
        <v>102</v>
      </c>
      <c r="D87" s="716">
        <v>8185812</v>
      </c>
      <c r="E87" s="712">
        <v>11238</v>
      </c>
      <c r="F87" s="715">
        <v>1561395</v>
      </c>
      <c r="G87" s="712">
        <v>777</v>
      </c>
      <c r="H87" s="327">
        <v>33376</v>
      </c>
      <c r="I87" s="712">
        <v>48</v>
      </c>
      <c r="J87" s="714"/>
      <c r="K87" s="712"/>
      <c r="L87" s="715">
        <v>1228296.3700000001</v>
      </c>
      <c r="M87" s="717">
        <v>3246.4700000000003</v>
      </c>
      <c r="N87" s="712">
        <v>30</v>
      </c>
      <c r="O87" s="270">
        <v>334309.62999999995</v>
      </c>
      <c r="P87" s="327">
        <v>521.28</v>
      </c>
      <c r="Q87" s="712">
        <v>1</v>
      </c>
      <c r="R87" s="716">
        <v>171091</v>
      </c>
      <c r="S87" s="717">
        <v>417.55</v>
      </c>
      <c r="T87" s="712">
        <v>2493</v>
      </c>
      <c r="U87" s="46"/>
      <c r="V87" s="45"/>
      <c r="W87" s="46"/>
      <c r="X87" s="45"/>
      <c r="Y87" s="46"/>
      <c r="Z87" s="45"/>
      <c r="AA87" s="46"/>
      <c r="AB87" s="45"/>
      <c r="AC87" s="976">
        <f t="shared" si="0"/>
        <v>24672.050693999998</v>
      </c>
      <c r="AD87" s="976">
        <f t="shared" si="1"/>
        <v>1203624.3193060001</v>
      </c>
      <c r="AE87" s="976">
        <f t="shared" si="2"/>
        <v>358981.68069399992</v>
      </c>
      <c r="AF87" s="976"/>
      <c r="AG87" s="976"/>
      <c r="AH87" s="976"/>
      <c r="AI87" s="954"/>
      <c r="AP87" s="982"/>
      <c r="AQ87" s="976"/>
      <c r="AR87" s="954"/>
    </row>
    <row r="88" spans="2:44" ht="15" x14ac:dyDescent="0.25">
      <c r="B88" s="161">
        <f>'1. LDC Info'!$F$18-5</f>
        <v>2011</v>
      </c>
      <c r="C88" s="735" t="s">
        <v>106</v>
      </c>
      <c r="D88" s="716">
        <v>8215597</v>
      </c>
      <c r="E88" s="712">
        <v>11238</v>
      </c>
      <c r="F88" s="715">
        <v>1416392</v>
      </c>
      <c r="G88" s="712">
        <v>777</v>
      </c>
      <c r="H88" s="327">
        <v>24335</v>
      </c>
      <c r="I88" s="712">
        <v>48</v>
      </c>
      <c r="J88" s="714"/>
      <c r="K88" s="712"/>
      <c r="L88" s="715">
        <v>1409114.9000000001</v>
      </c>
      <c r="M88" s="717">
        <v>3305.1999999999994</v>
      </c>
      <c r="N88" s="712">
        <v>30</v>
      </c>
      <c r="O88" s="270">
        <v>327179.09999999998</v>
      </c>
      <c r="P88" s="327">
        <v>518.4</v>
      </c>
      <c r="Q88" s="712">
        <v>1</v>
      </c>
      <c r="R88" s="716">
        <v>185705</v>
      </c>
      <c r="S88" s="717">
        <v>417.6</v>
      </c>
      <c r="T88" s="712">
        <v>2493</v>
      </c>
      <c r="U88" s="47"/>
      <c r="V88" s="45"/>
      <c r="W88" s="47"/>
      <c r="X88" s="45"/>
      <c r="Y88" s="47"/>
      <c r="Z88" s="45"/>
      <c r="AA88" s="47"/>
      <c r="AB88" s="45"/>
      <c r="AC88" s="976">
        <f t="shared" si="0"/>
        <v>24145.817579999999</v>
      </c>
      <c r="AD88" s="976">
        <f t="shared" si="1"/>
        <v>1384969.0824200001</v>
      </c>
      <c r="AE88" s="976">
        <f t="shared" si="2"/>
        <v>351324.91757999995</v>
      </c>
      <c r="AF88" s="976"/>
      <c r="AG88" s="976"/>
      <c r="AH88" s="976"/>
      <c r="AI88" s="954"/>
      <c r="AP88" s="982"/>
      <c r="AQ88" s="976"/>
      <c r="AR88" s="954"/>
    </row>
    <row r="89" spans="2:44" ht="15" x14ac:dyDescent="0.25">
      <c r="B89" s="161">
        <f>'1. LDC Info'!$F$18-5</f>
        <v>2011</v>
      </c>
      <c r="C89" s="735" t="s">
        <v>107</v>
      </c>
      <c r="D89" s="716">
        <v>8528836</v>
      </c>
      <c r="E89" s="712"/>
      <c r="F89" s="715">
        <v>1507044</v>
      </c>
      <c r="G89" s="712"/>
      <c r="H89" s="327">
        <v>24439</v>
      </c>
      <c r="I89" s="712"/>
      <c r="J89" s="714"/>
      <c r="K89" s="712"/>
      <c r="L89" s="715">
        <v>1461940.99</v>
      </c>
      <c r="M89" s="617">
        <v>3389</v>
      </c>
      <c r="N89" s="712"/>
      <c r="O89" s="270">
        <v>294143.01</v>
      </c>
      <c r="P89" s="327">
        <v>518.4</v>
      </c>
      <c r="Q89" s="712"/>
      <c r="R89" s="716">
        <v>181356</v>
      </c>
      <c r="S89" s="717">
        <v>417.9</v>
      </c>
      <c r="T89" s="712"/>
      <c r="U89" s="47"/>
      <c r="V89" s="45"/>
      <c r="W89" s="47"/>
      <c r="X89" s="45"/>
      <c r="Y89" s="47"/>
      <c r="Z89" s="45"/>
      <c r="AA89" s="47"/>
      <c r="AB89" s="45"/>
      <c r="AC89" s="976">
        <f t="shared" si="0"/>
        <v>21707.754138</v>
      </c>
      <c r="AD89" s="976">
        <f t="shared" si="1"/>
        <v>1440233.2358619999</v>
      </c>
      <c r="AE89" s="976">
        <f t="shared" si="2"/>
        <v>315850.76413800003</v>
      </c>
      <c r="AF89" s="976"/>
      <c r="AG89" s="976"/>
      <c r="AH89" s="976"/>
      <c r="AI89" s="954"/>
      <c r="AP89" s="982"/>
      <c r="AQ89" s="976"/>
      <c r="AR89" s="954"/>
    </row>
    <row r="90" spans="2:44" ht="15" x14ac:dyDescent="0.25">
      <c r="B90" s="161">
        <f>'1. LDC Info'!$F$18-5</f>
        <v>2011</v>
      </c>
      <c r="C90" s="735" t="s">
        <v>108</v>
      </c>
      <c r="D90" s="716">
        <v>9434065</v>
      </c>
      <c r="E90" s="712"/>
      <c r="F90" s="715">
        <v>1772621</v>
      </c>
      <c r="G90" s="712"/>
      <c r="H90" s="327">
        <v>28321</v>
      </c>
      <c r="I90" s="712"/>
      <c r="J90" s="714"/>
      <c r="K90" s="712"/>
      <c r="L90" s="715">
        <v>1265193.99</v>
      </c>
      <c r="M90" s="717">
        <v>3298.92</v>
      </c>
      <c r="N90" s="712"/>
      <c r="O90" s="270">
        <v>327251.01</v>
      </c>
      <c r="P90" s="327">
        <v>521.28</v>
      </c>
      <c r="Q90" s="712"/>
      <c r="R90" s="716">
        <v>164432</v>
      </c>
      <c r="S90" s="717">
        <v>417.9</v>
      </c>
      <c r="T90" s="712"/>
      <c r="U90" s="47"/>
      <c r="V90" s="45"/>
      <c r="W90" s="47"/>
      <c r="X90" s="45"/>
      <c r="Y90" s="47"/>
      <c r="Z90" s="45"/>
      <c r="AA90" s="47"/>
      <c r="AB90" s="45"/>
      <c r="AC90" s="976">
        <f t="shared" ref="AC90:AC110" si="3">O90*0.0738</f>
        <v>24151.124538000004</v>
      </c>
      <c r="AD90" s="976">
        <f t="shared" ref="AD90:AD135" si="4">L90-AC90</f>
        <v>1241042.865462</v>
      </c>
      <c r="AE90" s="976">
        <f t="shared" ref="AE90:AE135" si="5">AC90+O90</f>
        <v>351402.13453799998</v>
      </c>
      <c r="AF90" s="976"/>
      <c r="AG90" s="976"/>
      <c r="AH90" s="976"/>
      <c r="AI90" s="954"/>
      <c r="AP90" s="982"/>
      <c r="AQ90" s="976"/>
      <c r="AR90" s="954"/>
    </row>
    <row r="91" spans="2:44" ht="15" x14ac:dyDescent="0.25">
      <c r="B91" s="161">
        <f>'1. LDC Info'!$F$18-5</f>
        <v>2011</v>
      </c>
      <c r="C91" s="735" t="s">
        <v>109</v>
      </c>
      <c r="D91" s="716">
        <v>5713857</v>
      </c>
      <c r="E91" s="712"/>
      <c r="F91" s="715">
        <v>990358</v>
      </c>
      <c r="G91" s="712"/>
      <c r="H91" s="327">
        <v>22693</v>
      </c>
      <c r="I91" s="712"/>
      <c r="J91" s="714"/>
      <c r="K91" s="712"/>
      <c r="L91" s="715">
        <v>1409064.81</v>
      </c>
      <c r="M91" s="717">
        <v>3332.3</v>
      </c>
      <c r="N91" s="712"/>
      <c r="O91" s="270">
        <v>319944.18999999994</v>
      </c>
      <c r="P91" s="327">
        <v>576</v>
      </c>
      <c r="Q91" s="712"/>
      <c r="R91" s="716">
        <v>145837</v>
      </c>
      <c r="S91" s="717">
        <v>417.9</v>
      </c>
      <c r="T91" s="712"/>
      <c r="U91" s="47"/>
      <c r="V91" s="45"/>
      <c r="W91" s="47"/>
      <c r="X91" s="45"/>
      <c r="Y91" s="47"/>
      <c r="Z91" s="45"/>
      <c r="AA91" s="47"/>
      <c r="AB91" s="45"/>
      <c r="AC91" s="976">
        <f t="shared" si="3"/>
        <v>23611.881221999996</v>
      </c>
      <c r="AD91" s="976">
        <f t="shared" si="4"/>
        <v>1385452.9287780002</v>
      </c>
      <c r="AE91" s="976">
        <f t="shared" si="5"/>
        <v>343556.07122199994</v>
      </c>
      <c r="AF91" s="976"/>
      <c r="AG91" s="976"/>
      <c r="AH91" s="976"/>
      <c r="AI91" s="954"/>
      <c r="AP91" s="982"/>
      <c r="AQ91" s="976"/>
      <c r="AR91" s="954"/>
    </row>
    <row r="92" spans="2:44" ht="15" x14ac:dyDescent="0.25">
      <c r="B92" s="161">
        <f>'1. LDC Info'!$F$18-5</f>
        <v>2011</v>
      </c>
      <c r="C92" s="735" t="s">
        <v>110</v>
      </c>
      <c r="D92" s="716">
        <v>7733483</v>
      </c>
      <c r="E92" s="712"/>
      <c r="F92" s="715">
        <v>2537623</v>
      </c>
      <c r="G92" s="712"/>
      <c r="H92" s="327">
        <v>29121</v>
      </c>
      <c r="I92" s="712"/>
      <c r="J92" s="714"/>
      <c r="K92" s="712"/>
      <c r="L92" s="715">
        <v>1206295.48</v>
      </c>
      <c r="M92" s="717">
        <v>3243.9799999999996</v>
      </c>
      <c r="N92" s="712"/>
      <c r="O92" s="270">
        <v>353954.51999999996</v>
      </c>
      <c r="P92" s="327">
        <v>659.52</v>
      </c>
      <c r="Q92" s="712"/>
      <c r="R92" s="716">
        <v>122018</v>
      </c>
      <c r="S92" s="717">
        <v>417.9</v>
      </c>
      <c r="T92" s="712"/>
      <c r="U92" s="47"/>
      <c r="V92" s="45"/>
      <c r="W92" s="47"/>
      <c r="X92" s="45"/>
      <c r="Y92" s="47"/>
      <c r="Z92" s="45"/>
      <c r="AA92" s="47"/>
      <c r="AB92" s="45"/>
      <c r="AC92" s="976">
        <f t="shared" si="3"/>
        <v>26121.843575999999</v>
      </c>
      <c r="AD92" s="976">
        <f t="shared" si="4"/>
        <v>1180173.6364239999</v>
      </c>
      <c r="AE92" s="976">
        <f t="shared" si="5"/>
        <v>380076.36357599997</v>
      </c>
      <c r="AF92" s="976"/>
      <c r="AG92" s="976"/>
      <c r="AH92" s="976"/>
      <c r="AI92" s="954"/>
      <c r="AP92" s="982"/>
      <c r="AQ92" s="976"/>
      <c r="AR92" s="954"/>
    </row>
    <row r="93" spans="2:44" ht="15" x14ac:dyDescent="0.25">
      <c r="B93" s="161">
        <f>'1. LDC Info'!$F$18-5</f>
        <v>2011</v>
      </c>
      <c r="C93" s="735" t="s">
        <v>111</v>
      </c>
      <c r="D93" s="716">
        <v>5612751</v>
      </c>
      <c r="E93" s="712"/>
      <c r="F93" s="715">
        <v>1050442</v>
      </c>
      <c r="G93" s="712"/>
      <c r="H93" s="327">
        <v>22693</v>
      </c>
      <c r="I93" s="712"/>
      <c r="J93" s="714"/>
      <c r="K93" s="712"/>
      <c r="L93" s="715">
        <v>1307087.1200000001</v>
      </c>
      <c r="M93" s="717">
        <v>3937.74</v>
      </c>
      <c r="N93" s="712"/>
      <c r="O93" s="270">
        <v>353949.88</v>
      </c>
      <c r="P93" s="327">
        <v>653.76</v>
      </c>
      <c r="Q93" s="712"/>
      <c r="R93" s="716">
        <v>109064</v>
      </c>
      <c r="S93" s="717">
        <v>417.9</v>
      </c>
      <c r="T93" s="712"/>
      <c r="U93" s="47"/>
      <c r="V93" s="45"/>
      <c r="W93" s="47"/>
      <c r="X93" s="45"/>
      <c r="Y93" s="47"/>
      <c r="Z93" s="45"/>
      <c r="AA93" s="47"/>
      <c r="AB93" s="45"/>
      <c r="AC93" s="976">
        <f t="shared" si="3"/>
        <v>26121.501144000002</v>
      </c>
      <c r="AD93" s="976">
        <f t="shared" si="4"/>
        <v>1280965.618856</v>
      </c>
      <c r="AE93" s="976">
        <f t="shared" si="5"/>
        <v>380071.38114399998</v>
      </c>
      <c r="AF93" s="976"/>
      <c r="AG93" s="976"/>
      <c r="AH93" s="976"/>
      <c r="AI93" s="954"/>
      <c r="AP93" s="982"/>
      <c r="AQ93" s="976"/>
      <c r="AR93" s="954"/>
    </row>
    <row r="94" spans="2:44" ht="15" x14ac:dyDescent="0.25">
      <c r="B94" s="161">
        <f>'1. LDC Info'!$F$18-5</f>
        <v>2011</v>
      </c>
      <c r="C94" s="735" t="s">
        <v>112</v>
      </c>
      <c r="D94" s="716">
        <v>4564596</v>
      </c>
      <c r="E94" s="712"/>
      <c r="F94" s="715">
        <v>135672</v>
      </c>
      <c r="G94" s="712"/>
      <c r="H94" s="327">
        <v>25907</v>
      </c>
      <c r="I94" s="712"/>
      <c r="J94" s="714"/>
      <c r="K94" s="712"/>
      <c r="L94" s="715">
        <v>1488493.6099999999</v>
      </c>
      <c r="M94" s="717">
        <v>4202.9599999999991</v>
      </c>
      <c r="N94" s="712"/>
      <c r="O94" s="270">
        <v>417351.38999999996</v>
      </c>
      <c r="P94" s="327">
        <v>699.84</v>
      </c>
      <c r="Q94" s="712"/>
      <c r="R94" s="716">
        <v>96214</v>
      </c>
      <c r="S94" s="717">
        <v>417.9</v>
      </c>
      <c r="T94" s="712"/>
      <c r="U94" s="47"/>
      <c r="V94" s="45"/>
      <c r="W94" s="47"/>
      <c r="X94" s="45"/>
      <c r="Y94" s="47"/>
      <c r="Z94" s="45"/>
      <c r="AA94" s="47"/>
      <c r="AB94" s="45"/>
      <c r="AC94" s="976">
        <f t="shared" si="3"/>
        <v>30800.532582</v>
      </c>
      <c r="AD94" s="976">
        <f t="shared" si="4"/>
        <v>1457693.077418</v>
      </c>
      <c r="AE94" s="976">
        <f t="shared" si="5"/>
        <v>448151.92258199997</v>
      </c>
      <c r="AF94" s="976"/>
      <c r="AG94" s="976"/>
      <c r="AH94" s="976"/>
      <c r="AI94" s="954"/>
      <c r="AP94" s="982"/>
      <c r="AQ94" s="976"/>
      <c r="AR94" s="954"/>
    </row>
    <row r="95" spans="2:44" ht="15" x14ac:dyDescent="0.25">
      <c r="B95" s="161">
        <f>'1. LDC Info'!$F$18-5</f>
        <v>2011</v>
      </c>
      <c r="C95" s="735" t="s">
        <v>113</v>
      </c>
      <c r="D95" s="716">
        <v>9322324</v>
      </c>
      <c r="E95" s="712"/>
      <c r="F95" s="715">
        <v>2291449</v>
      </c>
      <c r="G95" s="712"/>
      <c r="H95" s="327">
        <v>29121</v>
      </c>
      <c r="I95" s="712"/>
      <c r="J95" s="714"/>
      <c r="K95" s="712"/>
      <c r="L95" s="715">
        <v>1837251.2100000002</v>
      </c>
      <c r="M95" s="717">
        <v>4755.7599999999993</v>
      </c>
      <c r="N95" s="712"/>
      <c r="O95" s="270">
        <v>406961.79</v>
      </c>
      <c r="P95" s="327">
        <v>656.64</v>
      </c>
      <c r="Q95" s="712"/>
      <c r="R95" s="716">
        <v>105199</v>
      </c>
      <c r="S95" s="717">
        <v>417.9</v>
      </c>
      <c r="T95" s="712"/>
      <c r="U95" s="47"/>
      <c r="V95" s="45"/>
      <c r="W95" s="47"/>
      <c r="X95" s="45"/>
      <c r="Y95" s="47"/>
      <c r="Z95" s="45"/>
      <c r="AA95" s="47"/>
      <c r="AB95" s="45"/>
      <c r="AC95" s="976">
        <f t="shared" si="3"/>
        <v>30033.780102000001</v>
      </c>
      <c r="AD95" s="976">
        <f t="shared" si="4"/>
        <v>1807217.4298980001</v>
      </c>
      <c r="AE95" s="976">
        <f t="shared" si="5"/>
        <v>436995.57010199997</v>
      </c>
      <c r="AF95" s="976"/>
      <c r="AG95" s="976"/>
      <c r="AH95" s="976"/>
      <c r="AI95" s="954"/>
      <c r="AP95" s="982"/>
      <c r="AQ95" s="976"/>
      <c r="AR95" s="954"/>
    </row>
    <row r="96" spans="2:44" ht="15" x14ac:dyDescent="0.25">
      <c r="B96" s="161">
        <f>'1. LDC Info'!$F$18-5</f>
        <v>2011</v>
      </c>
      <c r="C96" s="735" t="s">
        <v>103</v>
      </c>
      <c r="D96" s="716">
        <v>5732831</v>
      </c>
      <c r="E96" s="712"/>
      <c r="F96" s="715">
        <v>1101012</v>
      </c>
      <c r="G96" s="712"/>
      <c r="H96" s="327">
        <v>22693</v>
      </c>
      <c r="I96" s="712"/>
      <c r="J96" s="714"/>
      <c r="K96" s="712"/>
      <c r="L96" s="715">
        <v>1651969.36</v>
      </c>
      <c r="M96" s="717">
        <v>4214.6200000000008</v>
      </c>
      <c r="N96" s="712"/>
      <c r="O96" s="270">
        <v>368617.63999999996</v>
      </c>
      <c r="P96" s="327">
        <v>708.48</v>
      </c>
      <c r="Q96" s="712"/>
      <c r="R96" s="716">
        <v>120242</v>
      </c>
      <c r="S96" s="717">
        <v>417.9</v>
      </c>
      <c r="T96" s="712"/>
      <c r="U96" s="47"/>
      <c r="V96" s="45"/>
      <c r="W96" s="47"/>
      <c r="X96" s="45"/>
      <c r="Y96" s="47"/>
      <c r="Z96" s="45"/>
      <c r="AA96" s="47"/>
      <c r="AB96" s="45"/>
      <c r="AC96" s="976">
        <f t="shared" si="3"/>
        <v>27203.981831999998</v>
      </c>
      <c r="AD96" s="976">
        <f t="shared" si="4"/>
        <v>1624765.3781680001</v>
      </c>
      <c r="AE96" s="976">
        <f t="shared" si="5"/>
        <v>395821.62183199998</v>
      </c>
      <c r="AF96" s="976"/>
      <c r="AG96" s="976"/>
      <c r="AH96" s="976"/>
      <c r="AI96" s="954"/>
      <c r="AP96" s="982"/>
      <c r="AQ96" s="976"/>
      <c r="AR96" s="954"/>
    </row>
    <row r="97" spans="1:47" ht="15" x14ac:dyDescent="0.25">
      <c r="B97" s="161">
        <f>'1. LDC Info'!$F$18-5</f>
        <v>2011</v>
      </c>
      <c r="C97" s="735" t="s">
        <v>104</v>
      </c>
      <c r="D97" s="716">
        <v>5926431</v>
      </c>
      <c r="E97" s="712"/>
      <c r="F97" s="715">
        <v>1478055</v>
      </c>
      <c r="G97" s="712"/>
      <c r="H97" s="327">
        <v>25907</v>
      </c>
      <c r="I97" s="712"/>
      <c r="J97" s="714"/>
      <c r="K97" s="712"/>
      <c r="L97" s="715">
        <v>1509604.53</v>
      </c>
      <c r="M97" s="717">
        <v>4524.0200000000004</v>
      </c>
      <c r="N97" s="712"/>
      <c r="O97" s="270">
        <v>345765.47</v>
      </c>
      <c r="P97" s="327">
        <v>593.28</v>
      </c>
      <c r="Q97" s="712"/>
      <c r="R97" s="716">
        <v>135181</v>
      </c>
      <c r="S97" s="717">
        <v>417.9</v>
      </c>
      <c r="T97" s="712"/>
      <c r="U97" s="47"/>
      <c r="V97" s="45"/>
      <c r="W97" s="47"/>
      <c r="X97" s="45"/>
      <c r="Y97" s="47"/>
      <c r="Z97" s="45"/>
      <c r="AA97" s="47"/>
      <c r="AB97" s="45"/>
      <c r="AC97" s="976">
        <f t="shared" si="3"/>
        <v>25517.491686000001</v>
      </c>
      <c r="AD97" s="976">
        <f t="shared" si="4"/>
        <v>1484087.038314</v>
      </c>
      <c r="AE97" s="976">
        <f t="shared" si="5"/>
        <v>371282.961686</v>
      </c>
      <c r="AF97" s="976"/>
      <c r="AG97" s="976"/>
      <c r="AH97" s="976"/>
      <c r="AI97" s="954"/>
      <c r="AP97" s="982"/>
      <c r="AQ97" s="976"/>
      <c r="AR97" s="954"/>
    </row>
    <row r="98" spans="1:47" ht="15" x14ac:dyDescent="0.25">
      <c r="B98" s="161">
        <f>'1. LDC Info'!$F$18-5</f>
        <v>2011</v>
      </c>
      <c r="C98" s="735" t="s">
        <v>105</v>
      </c>
      <c r="D98" s="716">
        <v>7086830</v>
      </c>
      <c r="E98" s="712"/>
      <c r="F98" s="715">
        <v>1539786</v>
      </c>
      <c r="G98" s="712"/>
      <c r="H98" s="327">
        <v>29087</v>
      </c>
      <c r="I98" s="712"/>
      <c r="J98" s="714"/>
      <c r="K98" s="712"/>
      <c r="L98" s="715">
        <v>1342790.34</v>
      </c>
      <c r="M98" s="717">
        <v>3862.8</v>
      </c>
      <c r="N98" s="712"/>
      <c r="O98" s="270">
        <v>325881.65999999992</v>
      </c>
      <c r="P98" s="327">
        <v>547.20000000000005</v>
      </c>
      <c r="Q98" s="712"/>
      <c r="R98" s="716">
        <v>159313</v>
      </c>
      <c r="S98" s="717">
        <v>417.9</v>
      </c>
      <c r="T98" s="712"/>
      <c r="U98" s="47"/>
      <c r="V98" s="45"/>
      <c r="W98" s="47"/>
      <c r="X98" s="45"/>
      <c r="Y98" s="47"/>
      <c r="Z98" s="45"/>
      <c r="AA98" s="47"/>
      <c r="AB98" s="45"/>
      <c r="AC98" s="976">
        <f t="shared" si="3"/>
        <v>24050.066507999996</v>
      </c>
      <c r="AD98" s="976">
        <f t="shared" si="4"/>
        <v>1318740.2734920001</v>
      </c>
      <c r="AE98" s="976">
        <f t="shared" si="5"/>
        <v>349931.72650799993</v>
      </c>
      <c r="AF98" s="976"/>
      <c r="AG98" s="976"/>
      <c r="AH98" s="976"/>
      <c r="AI98" s="954"/>
      <c r="AP98" s="982"/>
      <c r="AQ98" s="976"/>
      <c r="AR98" s="954"/>
    </row>
    <row r="99" spans="1:47" ht="15" x14ac:dyDescent="0.25">
      <c r="B99" s="161">
        <f>'1. LDC Info'!$F$18-5</f>
        <v>2011</v>
      </c>
      <c r="C99" s="735" t="s">
        <v>102</v>
      </c>
      <c r="D99" s="716">
        <v>6151842</v>
      </c>
      <c r="E99" s="712">
        <v>11503</v>
      </c>
      <c r="F99" s="715">
        <v>1128425</v>
      </c>
      <c r="G99" s="712">
        <v>785</v>
      </c>
      <c r="H99" s="327">
        <v>25873</v>
      </c>
      <c r="I99" s="712">
        <v>45</v>
      </c>
      <c r="J99" s="714"/>
      <c r="K99" s="712"/>
      <c r="L99" s="715">
        <v>1185004.08</v>
      </c>
      <c r="M99" s="717">
        <v>3291.2000000000007</v>
      </c>
      <c r="N99" s="712">
        <v>35</v>
      </c>
      <c r="O99" s="270">
        <v>360222.92</v>
      </c>
      <c r="P99" s="327">
        <v>532.79999999999995</v>
      </c>
      <c r="Q99" s="712">
        <v>1</v>
      </c>
      <c r="R99" s="716">
        <v>171222</v>
      </c>
      <c r="S99" s="717">
        <v>417.9</v>
      </c>
      <c r="T99" s="712">
        <v>2494</v>
      </c>
      <c r="U99" s="47"/>
      <c r="V99" s="45"/>
      <c r="W99" s="47"/>
      <c r="X99" s="45"/>
      <c r="Y99" s="47"/>
      <c r="Z99" s="45"/>
      <c r="AA99" s="47"/>
      <c r="AB99" s="45"/>
      <c r="AC99" s="976">
        <f t="shared" si="3"/>
        <v>26584.451496000001</v>
      </c>
      <c r="AD99" s="976">
        <f t="shared" si="4"/>
        <v>1158419.6285040001</v>
      </c>
      <c r="AE99" s="976">
        <f t="shared" si="5"/>
        <v>386807.37149599998</v>
      </c>
      <c r="AF99" s="976"/>
      <c r="AG99" s="976"/>
      <c r="AH99" s="976"/>
      <c r="AI99" s="974"/>
      <c r="AJ99" s="974"/>
      <c r="AP99" s="982"/>
      <c r="AQ99" s="976"/>
      <c r="AR99" s="954"/>
    </row>
    <row r="100" spans="1:47" ht="15" x14ac:dyDescent="0.25">
      <c r="B100" s="161">
        <f>'1. LDC Info'!$F$18-4</f>
        <v>2012</v>
      </c>
      <c r="C100" s="735" t="s">
        <v>106</v>
      </c>
      <c r="D100" s="716">
        <v>8222590.22255331</v>
      </c>
      <c r="E100" s="712">
        <v>11503</v>
      </c>
      <c r="F100" s="713">
        <v>1343371.7385231399</v>
      </c>
      <c r="G100" s="712">
        <v>785</v>
      </c>
      <c r="H100" s="715">
        <v>25861.746903808547</v>
      </c>
      <c r="I100" s="712">
        <v>45</v>
      </c>
      <c r="J100" s="714"/>
      <c r="K100" s="712"/>
      <c r="L100" s="715">
        <v>1458539.3640975973</v>
      </c>
      <c r="M100" s="327">
        <v>3427.68</v>
      </c>
      <c r="N100" s="712">
        <v>35</v>
      </c>
      <c r="O100" s="730">
        <v>342672.63999999996</v>
      </c>
      <c r="P100" s="327">
        <v>529.91999999999996</v>
      </c>
      <c r="Q100" s="712">
        <v>1</v>
      </c>
      <c r="R100" s="716">
        <v>181355.58</v>
      </c>
      <c r="S100" s="718">
        <v>417.87</v>
      </c>
      <c r="T100" s="712">
        <v>2494</v>
      </c>
      <c r="U100" s="47"/>
      <c r="V100" s="45"/>
      <c r="W100" s="47"/>
      <c r="X100" s="45"/>
      <c r="Y100" s="47"/>
      <c r="Z100" s="45"/>
      <c r="AA100" s="47"/>
      <c r="AB100" s="45"/>
      <c r="AC100" s="976">
        <f t="shared" si="3"/>
        <v>25289.240832</v>
      </c>
      <c r="AD100" s="976">
        <f t="shared" si="4"/>
        <v>1433250.1232655973</v>
      </c>
      <c r="AE100" s="976">
        <f t="shared" si="5"/>
        <v>367961.88083199994</v>
      </c>
      <c r="AF100" s="976"/>
      <c r="AG100" s="976"/>
      <c r="AH100" s="976"/>
      <c r="AI100" s="974">
        <f>O100+L100</f>
        <v>1801212.0040975972</v>
      </c>
      <c r="AJ100" s="974">
        <f>AI100*1.0738</f>
        <v>1934141.45</v>
      </c>
      <c r="AK100" s="976"/>
      <c r="AL100" s="954"/>
      <c r="AM100" s="954"/>
      <c r="AO100" s="983">
        <f>AJ100+AN100</f>
        <v>1934141.45</v>
      </c>
      <c r="AP100" s="982"/>
      <c r="AQ100" s="976"/>
      <c r="AR100" s="954"/>
      <c r="AT100" s="981"/>
      <c r="AU100" s="976"/>
    </row>
    <row r="101" spans="1:47" ht="15" x14ac:dyDescent="0.25">
      <c r="B101" s="161">
        <f>'1. LDC Info'!$F$18-4</f>
        <v>2012</v>
      </c>
      <c r="C101" s="735" t="s">
        <v>107</v>
      </c>
      <c r="D101" s="716">
        <v>7163271.8502653874</v>
      </c>
      <c r="E101" s="712"/>
      <c r="F101" s="715">
        <v>1216956.5881366979</v>
      </c>
      <c r="G101" s="712"/>
      <c r="H101" s="715">
        <v>26149.743924015267</v>
      </c>
      <c r="I101" s="712"/>
      <c r="J101" s="714"/>
      <c r="K101" s="712"/>
      <c r="L101" s="715">
        <v>1357754.0002439932</v>
      </c>
      <c r="M101" s="327">
        <v>3310.38</v>
      </c>
      <c r="N101" s="712"/>
      <c r="O101" s="730">
        <v>294351.01</v>
      </c>
      <c r="P101" s="327">
        <v>524.16</v>
      </c>
      <c r="Q101" s="712"/>
      <c r="R101" s="716">
        <v>138576.42238569699</v>
      </c>
      <c r="S101" s="718">
        <v>417.87</v>
      </c>
      <c r="T101" s="712"/>
      <c r="U101" s="47"/>
      <c r="V101" s="45"/>
      <c r="W101" s="47"/>
      <c r="X101" s="45"/>
      <c r="Y101" s="47"/>
      <c r="Z101" s="45"/>
      <c r="AA101" s="47"/>
      <c r="AB101" s="45"/>
      <c r="AC101" s="976">
        <f t="shared" si="3"/>
        <v>21723.104538000003</v>
      </c>
      <c r="AD101" s="976">
        <f t="shared" si="4"/>
        <v>1336030.8957059933</v>
      </c>
      <c r="AE101" s="976">
        <f t="shared" si="5"/>
        <v>316074.11453800002</v>
      </c>
      <c r="AF101" s="976"/>
      <c r="AG101" s="976"/>
      <c r="AH101" s="976"/>
      <c r="AI101" s="974">
        <f t="shared" ref="AI101:AI135" si="6">O101+L101</f>
        <v>1652105.0102439933</v>
      </c>
      <c r="AJ101" s="974">
        <f t="shared" ref="AJ101:AJ110" si="7">AI101*1.0738</f>
        <v>1774030.36</v>
      </c>
      <c r="AK101" s="976"/>
      <c r="AL101" s="954"/>
      <c r="AO101" s="984">
        <f t="shared" ref="AO101:AO135" si="8">AJ101+AN101</f>
        <v>1774030.36</v>
      </c>
      <c r="AP101" s="982"/>
      <c r="AQ101" s="976"/>
      <c r="AR101" s="954"/>
      <c r="AT101" s="981"/>
      <c r="AU101" s="976"/>
    </row>
    <row r="102" spans="1:47" ht="15" x14ac:dyDescent="0.25">
      <c r="B102" s="161">
        <f>'1. LDC Info'!$F$18-4</f>
        <v>2012</v>
      </c>
      <c r="C102" s="735" t="s">
        <v>108</v>
      </c>
      <c r="D102" s="716">
        <v>6395212.7106806962</v>
      </c>
      <c r="E102" s="712"/>
      <c r="F102" s="715">
        <v>1185181.3949157277</v>
      </c>
      <c r="G102" s="712"/>
      <c r="H102" s="715">
        <v>27459.940404134461</v>
      </c>
      <c r="I102" s="712"/>
      <c r="J102" s="714"/>
      <c r="K102" s="712"/>
      <c r="L102" s="715">
        <v>1507333.4148724156</v>
      </c>
      <c r="M102" s="327">
        <v>4107.87</v>
      </c>
      <c r="N102" s="712"/>
      <c r="O102" s="730">
        <v>313705.95</v>
      </c>
      <c r="P102" s="327">
        <v>532.79999999999995</v>
      </c>
      <c r="Q102" s="712"/>
      <c r="R102" s="716">
        <v>146447.40664866377</v>
      </c>
      <c r="S102" s="718">
        <v>419.62</v>
      </c>
      <c r="T102" s="712"/>
      <c r="U102" s="47"/>
      <c r="V102" s="45"/>
      <c r="W102" s="47"/>
      <c r="X102" s="45"/>
      <c r="Y102" s="47"/>
      <c r="Z102" s="45"/>
      <c r="AA102" s="47"/>
      <c r="AB102" s="45"/>
      <c r="AC102" s="976">
        <f t="shared" si="3"/>
        <v>23151.499110000001</v>
      </c>
      <c r="AD102" s="976">
        <f t="shared" si="4"/>
        <v>1484181.9157624156</v>
      </c>
      <c r="AE102" s="976">
        <f t="shared" si="5"/>
        <v>336857.44910999999</v>
      </c>
      <c r="AF102" s="976"/>
      <c r="AG102" s="976"/>
      <c r="AH102" s="976"/>
      <c r="AI102" s="974">
        <f t="shared" si="6"/>
        <v>1821039.3648724156</v>
      </c>
      <c r="AJ102" s="974">
        <f t="shared" si="7"/>
        <v>1955432.07</v>
      </c>
      <c r="AK102" s="976"/>
      <c r="AL102" s="954"/>
      <c r="AO102" s="984">
        <f t="shared" si="8"/>
        <v>1955432.07</v>
      </c>
      <c r="AP102" s="982"/>
      <c r="AQ102" s="976"/>
      <c r="AR102" s="954"/>
      <c r="AT102" s="981"/>
      <c r="AU102" s="976"/>
    </row>
    <row r="103" spans="1:47" ht="15" x14ac:dyDescent="0.25">
      <c r="B103" s="161">
        <f>'1. LDC Info'!$F$18-4</f>
        <v>2012</v>
      </c>
      <c r="C103" s="735" t="s">
        <v>109</v>
      </c>
      <c r="D103" s="716">
        <v>5989647.9746717568</v>
      </c>
      <c r="E103" s="712"/>
      <c r="F103" s="715">
        <v>1062399.5995902782</v>
      </c>
      <c r="G103" s="712"/>
      <c r="H103" s="715">
        <v>23611.509451531798</v>
      </c>
      <c r="I103" s="712"/>
      <c r="J103" s="714"/>
      <c r="K103" s="712"/>
      <c r="L103" s="715">
        <v>967586.9880129263</v>
      </c>
      <c r="M103" s="327">
        <v>2726.9500000000003</v>
      </c>
      <c r="N103" s="712"/>
      <c r="O103" s="730">
        <v>302337.42994200002</v>
      </c>
      <c r="P103" s="327">
        <v>501.12</v>
      </c>
      <c r="Q103" s="712">
        <v>1</v>
      </c>
      <c r="R103" s="716">
        <v>122529.09954371915</v>
      </c>
      <c r="S103" s="718">
        <v>419.62</v>
      </c>
      <c r="T103" s="712"/>
      <c r="U103" s="47"/>
      <c r="V103" s="45"/>
      <c r="W103" s="47"/>
      <c r="X103" s="45"/>
      <c r="Y103" s="47"/>
      <c r="Z103" s="45"/>
      <c r="AA103" s="47"/>
      <c r="AB103" s="45"/>
      <c r="AC103" s="976">
        <f t="shared" si="3"/>
        <v>22312.502329719602</v>
      </c>
      <c r="AD103" s="976">
        <f t="shared" si="4"/>
        <v>945274.4856832067</v>
      </c>
      <c r="AE103" s="976">
        <f t="shared" si="5"/>
        <v>324649.93227171962</v>
      </c>
      <c r="AF103" s="976"/>
      <c r="AG103" s="976"/>
      <c r="AH103" s="976"/>
      <c r="AI103" s="974">
        <f t="shared" si="6"/>
        <v>1269924.4179549264</v>
      </c>
      <c r="AJ103" s="974">
        <f t="shared" si="7"/>
        <v>1363644.84</v>
      </c>
      <c r="AK103" s="976"/>
      <c r="AL103" s="954"/>
      <c r="AO103" s="984">
        <f t="shared" si="8"/>
        <v>1363644.84</v>
      </c>
      <c r="AP103" s="982">
        <v>155548.44</v>
      </c>
      <c r="AQ103" s="976">
        <f>O103-AP103</f>
        <v>146788.98994200001</v>
      </c>
      <c r="AR103" s="954"/>
      <c r="AT103" s="981"/>
      <c r="AU103" s="976"/>
    </row>
    <row r="104" spans="1:47" ht="15" x14ac:dyDescent="0.25">
      <c r="B104" s="161">
        <f>'1. LDC Info'!$F$18-4</f>
        <v>2012</v>
      </c>
      <c r="C104" s="735" t="s">
        <v>110</v>
      </c>
      <c r="D104" s="716">
        <v>5732499.2922990965</v>
      </c>
      <c r="E104" s="712"/>
      <c r="F104" s="715">
        <v>1223758.0594096284</v>
      </c>
      <c r="G104" s="712"/>
      <c r="H104" s="715">
        <v>23611.509451531798</v>
      </c>
      <c r="I104" s="712"/>
      <c r="J104" s="714"/>
      <c r="K104" s="712"/>
      <c r="L104" s="715">
        <v>1482868.6904760492</v>
      </c>
      <c r="M104" s="327">
        <v>4622.4400000000005</v>
      </c>
      <c r="N104" s="712"/>
      <c r="O104" s="730">
        <v>289242.14318181813</v>
      </c>
      <c r="P104" s="327">
        <v>619.44000000000005</v>
      </c>
      <c r="Q104" s="712">
        <v>1</v>
      </c>
      <c r="R104" s="716">
        <v>114819.11723624173</v>
      </c>
      <c r="S104" s="718">
        <v>439.92</v>
      </c>
      <c r="T104" s="712"/>
      <c r="U104" s="47"/>
      <c r="V104" s="45"/>
      <c r="W104" s="47"/>
      <c r="X104" s="45"/>
      <c r="Y104" s="47"/>
      <c r="Z104" s="45"/>
      <c r="AA104" s="47"/>
      <c r="AB104" s="45"/>
      <c r="AC104" s="976">
        <f t="shared" si="3"/>
        <v>21346.070166818179</v>
      </c>
      <c r="AD104" s="976">
        <f t="shared" si="4"/>
        <v>1461522.6203092311</v>
      </c>
      <c r="AE104" s="976">
        <f t="shared" si="5"/>
        <v>310588.21334863629</v>
      </c>
      <c r="AF104" s="976"/>
      <c r="AG104" s="976"/>
      <c r="AH104" s="976"/>
      <c r="AI104" s="974">
        <f t="shared" si="6"/>
        <v>1772110.8336578673</v>
      </c>
      <c r="AJ104" s="975">
        <f t="shared" si="7"/>
        <v>1902892.613181818</v>
      </c>
      <c r="AK104" s="976"/>
      <c r="AL104" s="954"/>
      <c r="AM104" s="954">
        <f>O104</f>
        <v>289242.14318181813</v>
      </c>
      <c r="AN104" s="976">
        <f>AM104*1.0738</f>
        <v>310588.21334863635</v>
      </c>
      <c r="AO104" s="984">
        <f>AJ104+AN104</f>
        <v>2213480.8265304542</v>
      </c>
      <c r="AQ104" s="976"/>
      <c r="AR104" s="954"/>
      <c r="AT104" s="981"/>
      <c r="AU104" s="976"/>
    </row>
    <row r="105" spans="1:47" ht="15" x14ac:dyDescent="0.25">
      <c r="B105" s="161">
        <f>'1. LDC Info'!$F$18-4</f>
        <v>2012</v>
      </c>
      <c r="C105" s="735" t="s">
        <v>111</v>
      </c>
      <c r="D105" s="716">
        <v>6521954.7630133154</v>
      </c>
      <c r="E105" s="712"/>
      <c r="F105" s="715">
        <v>1404100.1769252254</v>
      </c>
      <c r="G105" s="712"/>
      <c r="H105" s="715">
        <v>23611.509451531798</v>
      </c>
      <c r="I105" s="712"/>
      <c r="J105" s="714"/>
      <c r="K105" s="712"/>
      <c r="L105" s="715">
        <v>1576503.1130005587</v>
      </c>
      <c r="M105" s="327">
        <v>4701.59</v>
      </c>
      <c r="N105" s="712"/>
      <c r="O105" s="730">
        <v>328062.7</v>
      </c>
      <c r="P105" s="327">
        <v>632.20000000000005</v>
      </c>
      <c r="Q105" s="712">
        <v>1</v>
      </c>
      <c r="R105" s="716">
        <v>101291.58208399291</v>
      </c>
      <c r="S105" s="718">
        <v>439.92</v>
      </c>
      <c r="T105" s="712"/>
      <c r="U105" s="47"/>
      <c r="V105" s="45"/>
      <c r="W105" s="47"/>
      <c r="X105" s="45"/>
      <c r="Y105" s="47"/>
      <c r="Z105" s="45"/>
      <c r="AA105" s="47"/>
      <c r="AB105" s="45"/>
      <c r="AC105" s="976">
        <f t="shared" si="3"/>
        <v>24211.027260000003</v>
      </c>
      <c r="AD105" s="976">
        <f t="shared" si="4"/>
        <v>1552292.0857405588</v>
      </c>
      <c r="AE105" s="976">
        <f t="shared" si="5"/>
        <v>352273.72726000001</v>
      </c>
      <c r="AF105" s="976"/>
      <c r="AG105" s="976"/>
      <c r="AH105" s="976"/>
      <c r="AI105" s="974">
        <f t="shared" si="6"/>
        <v>1904565.8130005586</v>
      </c>
      <c r="AJ105" s="974">
        <f t="shared" si="7"/>
        <v>2045122.77</v>
      </c>
      <c r="AK105" s="976"/>
      <c r="AL105" s="954"/>
      <c r="AM105" s="954">
        <f t="shared" ref="AM105:AM135" si="9">O105</f>
        <v>328062.7</v>
      </c>
      <c r="AN105" s="976">
        <f t="shared" ref="AN105:AN110" si="10">AM105*1.0738</f>
        <v>352273.72726000001</v>
      </c>
      <c r="AO105" s="984">
        <f t="shared" si="8"/>
        <v>2397396.4972600001</v>
      </c>
      <c r="AQ105" s="976"/>
      <c r="AR105" s="954"/>
      <c r="AT105" s="981"/>
      <c r="AU105" s="976"/>
    </row>
    <row r="106" spans="1:47" ht="15" x14ac:dyDescent="0.25">
      <c r="B106" s="161">
        <f>'1. LDC Info'!$F$18-4</f>
        <v>2012</v>
      </c>
      <c r="C106" s="735" t="s">
        <v>112</v>
      </c>
      <c r="D106" s="716">
        <v>8263702.0579197314</v>
      </c>
      <c r="E106" s="712"/>
      <c r="F106" s="715">
        <v>1786225.1233820652</v>
      </c>
      <c r="G106" s="712"/>
      <c r="H106" s="715">
        <v>23611.509451531798</v>
      </c>
      <c r="I106" s="712"/>
      <c r="J106" s="714"/>
      <c r="K106" s="712"/>
      <c r="L106" s="715">
        <v>1845411.5634699198</v>
      </c>
      <c r="M106" s="327">
        <v>4677.9399999999996</v>
      </c>
      <c r="N106" s="712"/>
      <c r="O106" s="730">
        <v>361437.16999999993</v>
      </c>
      <c r="P106" s="327">
        <v>664.47</v>
      </c>
      <c r="Q106" s="712">
        <v>1</v>
      </c>
      <c r="R106" s="716">
        <v>110749.85566626315</v>
      </c>
      <c r="S106" s="718">
        <v>439.92</v>
      </c>
      <c r="T106" s="712"/>
      <c r="U106" s="47"/>
      <c r="V106" s="45"/>
      <c r="W106" s="47"/>
      <c r="X106" s="45"/>
      <c r="Y106" s="47"/>
      <c r="Z106" s="45"/>
      <c r="AA106" s="47"/>
      <c r="AB106" s="45"/>
      <c r="AC106" s="976">
        <f t="shared" si="3"/>
        <v>26674.063145999997</v>
      </c>
      <c r="AD106" s="976">
        <f t="shared" si="4"/>
        <v>1818737.5003239198</v>
      </c>
      <c r="AE106" s="976">
        <f t="shared" si="5"/>
        <v>388111.2331459999</v>
      </c>
      <c r="AF106" s="976"/>
      <c r="AG106" s="976"/>
      <c r="AH106" s="976"/>
      <c r="AI106" s="974">
        <f t="shared" si="6"/>
        <v>2206848.7334699198</v>
      </c>
      <c r="AJ106" s="974">
        <f t="shared" si="7"/>
        <v>2369714.17</v>
      </c>
      <c r="AK106" s="976"/>
      <c r="AL106" s="954"/>
      <c r="AM106" s="954">
        <f t="shared" si="9"/>
        <v>361437.16999999993</v>
      </c>
      <c r="AN106" s="976">
        <f t="shared" si="10"/>
        <v>388111.23314599996</v>
      </c>
      <c r="AO106" s="984">
        <f t="shared" si="8"/>
        <v>2757825.4031459996</v>
      </c>
      <c r="AQ106" s="976"/>
      <c r="AR106" s="954"/>
      <c r="AT106" s="981"/>
      <c r="AU106" s="976"/>
    </row>
    <row r="107" spans="1:47" ht="15" x14ac:dyDescent="0.25">
      <c r="B107" s="161">
        <f>'1. LDC Info'!$F$18-4</f>
        <v>2012</v>
      </c>
      <c r="C107" s="735" t="s">
        <v>113</v>
      </c>
      <c r="D107" s="716">
        <v>7328447.006238942</v>
      </c>
      <c r="E107" s="712"/>
      <c r="F107" s="715">
        <v>1661771.2263711705</v>
      </c>
      <c r="G107" s="712"/>
      <c r="H107" s="715">
        <v>23611.509451531798</v>
      </c>
      <c r="I107" s="712"/>
      <c r="J107" s="714"/>
      <c r="K107" s="712"/>
      <c r="L107" s="715">
        <v>1783907.4878860123</v>
      </c>
      <c r="M107" s="327">
        <v>5069.1899999999996</v>
      </c>
      <c r="N107" s="712"/>
      <c r="O107" s="730">
        <v>353766.65999999992</v>
      </c>
      <c r="P107" s="327">
        <v>600.47</v>
      </c>
      <c r="Q107" s="712">
        <v>1</v>
      </c>
      <c r="R107" s="716">
        <v>127041.54949250397</v>
      </c>
      <c r="S107" s="718">
        <v>441.5</v>
      </c>
      <c r="T107" s="712"/>
      <c r="U107" s="47"/>
      <c r="V107" s="45"/>
      <c r="W107" s="47"/>
      <c r="X107" s="45"/>
      <c r="Y107" s="47"/>
      <c r="Z107" s="45"/>
      <c r="AA107" s="47"/>
      <c r="AB107" s="45"/>
      <c r="AC107" s="976">
        <f t="shared" si="3"/>
        <v>26107.979507999997</v>
      </c>
      <c r="AD107" s="976">
        <f t="shared" si="4"/>
        <v>1757799.5083780123</v>
      </c>
      <c r="AE107" s="976">
        <f t="shared" si="5"/>
        <v>379874.63950799993</v>
      </c>
      <c r="AF107" s="976"/>
      <c r="AG107" s="976"/>
      <c r="AH107" s="976"/>
      <c r="AI107" s="974">
        <f t="shared" si="6"/>
        <v>2137674.1478860122</v>
      </c>
      <c r="AJ107" s="974">
        <f t="shared" si="7"/>
        <v>2295434.5</v>
      </c>
      <c r="AK107" s="976"/>
      <c r="AL107" s="954"/>
      <c r="AM107" s="954">
        <f t="shared" si="9"/>
        <v>353766.65999999992</v>
      </c>
      <c r="AN107" s="976">
        <f t="shared" si="10"/>
        <v>379874.63950799993</v>
      </c>
      <c r="AO107" s="984">
        <f t="shared" si="8"/>
        <v>2675309.1395080001</v>
      </c>
      <c r="AQ107" s="976"/>
      <c r="AR107" s="954"/>
      <c r="AT107" s="981"/>
      <c r="AU107" s="976"/>
    </row>
    <row r="108" spans="1:47" ht="15" x14ac:dyDescent="0.25">
      <c r="B108" s="161">
        <f>'1. LDC Info'!$F$18-4</f>
        <v>2012</v>
      </c>
      <c r="C108" s="735" t="s">
        <v>103</v>
      </c>
      <c r="D108" s="716">
        <v>5865364.5032125898</v>
      </c>
      <c r="E108" s="712"/>
      <c r="F108" s="715">
        <v>1263872.8466337647</v>
      </c>
      <c r="G108" s="712"/>
      <c r="H108" s="715">
        <v>23611.509451531798</v>
      </c>
      <c r="I108" s="712"/>
      <c r="J108" s="714"/>
      <c r="K108" s="712"/>
      <c r="L108" s="715">
        <v>1519867.010646303</v>
      </c>
      <c r="M108" s="327">
        <v>4575.82</v>
      </c>
      <c r="N108" s="712"/>
      <c r="O108" s="730">
        <v>299623.36</v>
      </c>
      <c r="P108" s="327">
        <v>566.75</v>
      </c>
      <c r="Q108" s="712">
        <v>1</v>
      </c>
      <c r="R108" s="716">
        <v>142825.30961914518</v>
      </c>
      <c r="S108" s="718">
        <v>441.5</v>
      </c>
      <c r="T108" s="712"/>
      <c r="U108" s="47"/>
      <c r="V108" s="45"/>
      <c r="W108" s="47"/>
      <c r="X108" s="45"/>
      <c r="Y108" s="47"/>
      <c r="Z108" s="45"/>
      <c r="AA108" s="47"/>
      <c r="AB108" s="45"/>
      <c r="AC108" s="976">
        <f t="shared" si="3"/>
        <v>22112.203968000002</v>
      </c>
      <c r="AD108" s="976">
        <f t="shared" si="4"/>
        <v>1497754.8066783031</v>
      </c>
      <c r="AE108" s="976">
        <f t="shared" si="5"/>
        <v>321735.563968</v>
      </c>
      <c r="AF108" s="976"/>
      <c r="AG108" s="976"/>
      <c r="AH108" s="976"/>
      <c r="AI108" s="974">
        <f t="shared" si="6"/>
        <v>1819490.3706463031</v>
      </c>
      <c r="AJ108" s="974">
        <f t="shared" si="7"/>
        <v>1953768.7600000005</v>
      </c>
      <c r="AK108" s="976"/>
      <c r="AL108" s="954"/>
      <c r="AM108" s="954">
        <f t="shared" si="9"/>
        <v>299623.36</v>
      </c>
      <c r="AN108" s="976">
        <f t="shared" si="10"/>
        <v>321735.563968</v>
      </c>
      <c r="AO108" s="984">
        <f t="shared" si="8"/>
        <v>2275504.3239680007</v>
      </c>
      <c r="AQ108" s="976"/>
      <c r="AR108" s="954"/>
      <c r="AT108" s="981"/>
      <c r="AU108" s="976"/>
    </row>
    <row r="109" spans="1:47" ht="15" x14ac:dyDescent="0.25">
      <c r="B109" s="161">
        <f>'1. LDC Info'!$F$18-4</f>
        <v>2012</v>
      </c>
      <c r="C109" s="735" t="s">
        <v>104</v>
      </c>
      <c r="D109" s="722">
        <v>6103420.7840581052</v>
      </c>
      <c r="E109" s="712"/>
      <c r="F109" s="715">
        <v>1125777.5770555916</v>
      </c>
      <c r="G109" s="712"/>
      <c r="H109" s="715">
        <v>23611.509451531798</v>
      </c>
      <c r="I109" s="712"/>
      <c r="J109" s="714"/>
      <c r="K109" s="712"/>
      <c r="L109" s="715">
        <v>1391235.4968597505</v>
      </c>
      <c r="M109" s="327">
        <v>3643.29</v>
      </c>
      <c r="N109" s="712"/>
      <c r="O109" s="730">
        <v>293645.43999999994</v>
      </c>
      <c r="P109" s="327">
        <v>533.62</v>
      </c>
      <c r="Q109" s="712">
        <v>1</v>
      </c>
      <c r="R109" s="716">
        <v>168321.82698575285</v>
      </c>
      <c r="S109" s="718">
        <v>441.5</v>
      </c>
      <c r="T109" s="712"/>
      <c r="U109" s="47"/>
      <c r="V109" s="45"/>
      <c r="W109" s="47"/>
      <c r="X109" s="45"/>
      <c r="Y109" s="47"/>
      <c r="Z109" s="45"/>
      <c r="AA109" s="47"/>
      <c r="AB109" s="45"/>
      <c r="AC109" s="976">
        <f t="shared" si="3"/>
        <v>21671.033471999996</v>
      </c>
      <c r="AD109" s="976">
        <f t="shared" si="4"/>
        <v>1369564.4633877506</v>
      </c>
      <c r="AE109" s="976">
        <f t="shared" si="5"/>
        <v>315316.47347199993</v>
      </c>
      <c r="AF109" s="976"/>
      <c r="AG109" s="976"/>
      <c r="AH109" s="976"/>
      <c r="AI109" s="974">
        <f t="shared" si="6"/>
        <v>1684880.9368597504</v>
      </c>
      <c r="AJ109" s="974">
        <f t="shared" si="7"/>
        <v>1809225.1500000001</v>
      </c>
      <c r="AK109" s="976"/>
      <c r="AL109" s="954"/>
      <c r="AM109" s="954">
        <f t="shared" si="9"/>
        <v>293645.43999999994</v>
      </c>
      <c r="AN109" s="976">
        <f t="shared" si="10"/>
        <v>315316.47347199998</v>
      </c>
      <c r="AO109" s="984">
        <f t="shared" si="8"/>
        <v>2124541.623472</v>
      </c>
      <c r="AQ109" s="976"/>
      <c r="AR109" s="954"/>
      <c r="AT109" s="981"/>
      <c r="AU109" s="976"/>
    </row>
    <row r="110" spans="1:47" ht="15" x14ac:dyDescent="0.25">
      <c r="B110" s="161">
        <f>'1. LDC Info'!$F$18-4</f>
        <v>2012</v>
      </c>
      <c r="C110" s="735" t="s">
        <v>105</v>
      </c>
      <c r="D110" s="716">
        <v>6842060.11732936</v>
      </c>
      <c r="E110" s="712"/>
      <c r="F110" s="715">
        <v>1173214.9455256541</v>
      </c>
      <c r="G110" s="712"/>
      <c r="H110" s="715">
        <v>23611.509451531798</v>
      </c>
      <c r="I110" s="712"/>
      <c r="J110" s="714"/>
      <c r="K110" s="712"/>
      <c r="L110" s="715">
        <v>1326448.7630713354</v>
      </c>
      <c r="M110" s="327">
        <v>3262.3</v>
      </c>
      <c r="N110" s="712"/>
      <c r="O110" s="730">
        <v>280120.03000000003</v>
      </c>
      <c r="P110" s="327">
        <v>492.58</v>
      </c>
      <c r="Q110" s="712">
        <v>1</v>
      </c>
      <c r="R110" s="716">
        <v>180904.68386255702</v>
      </c>
      <c r="S110" s="718">
        <v>441.5</v>
      </c>
      <c r="T110" s="712"/>
      <c r="U110" s="47"/>
      <c r="V110" s="45"/>
      <c r="W110" s="47"/>
      <c r="X110" s="45"/>
      <c r="Y110" s="47"/>
      <c r="Z110" s="45"/>
      <c r="AA110" s="47"/>
      <c r="AB110" s="45"/>
      <c r="AC110" s="976">
        <f t="shared" si="3"/>
        <v>20672.858214000003</v>
      </c>
      <c r="AD110" s="976">
        <f t="shared" si="4"/>
        <v>1305775.9048573354</v>
      </c>
      <c r="AE110" s="976">
        <f t="shared" si="5"/>
        <v>300792.88821400004</v>
      </c>
      <c r="AF110" s="976"/>
      <c r="AG110" s="976"/>
      <c r="AH110" s="976"/>
      <c r="AI110" s="974">
        <f t="shared" si="6"/>
        <v>1606568.7930713354</v>
      </c>
      <c r="AJ110" s="974">
        <f t="shared" si="7"/>
        <v>1725133.57</v>
      </c>
      <c r="AK110" s="976"/>
      <c r="AL110" s="954"/>
      <c r="AM110" s="954">
        <f t="shared" si="9"/>
        <v>280120.03000000003</v>
      </c>
      <c r="AN110" s="976">
        <f t="shared" si="10"/>
        <v>300792.88821400004</v>
      </c>
      <c r="AO110" s="984">
        <f t="shared" si="8"/>
        <v>2025926.4582140001</v>
      </c>
      <c r="AQ110" s="976"/>
      <c r="AR110" s="954"/>
      <c r="AT110" s="981"/>
      <c r="AU110" s="976"/>
    </row>
    <row r="111" spans="1:47" ht="15" x14ac:dyDescent="0.25">
      <c r="A111" s="954"/>
      <c r="B111" s="161">
        <f>'1. LDC Info'!$F$18-4</f>
        <v>2012</v>
      </c>
      <c r="C111" s="735" t="s">
        <v>102</v>
      </c>
      <c r="D111" s="716">
        <v>8159867.7705827942</v>
      </c>
      <c r="E111" s="712">
        <v>11715</v>
      </c>
      <c r="F111" s="715">
        <v>1300320.3515263645</v>
      </c>
      <c r="G111" s="712">
        <v>787</v>
      </c>
      <c r="H111" s="715">
        <v>22012.025901942645</v>
      </c>
      <c r="I111" s="712">
        <v>43</v>
      </c>
      <c r="J111" s="714"/>
      <c r="K111" s="712"/>
      <c r="L111" s="715">
        <v>1396071.6432192412</v>
      </c>
      <c r="M111" s="327">
        <v>3469.52</v>
      </c>
      <c r="N111" s="712">
        <v>35</v>
      </c>
      <c r="O111" s="730">
        <v>302891.28000000009</v>
      </c>
      <c r="P111" s="327">
        <v>501.38</v>
      </c>
      <c r="Q111" s="712">
        <v>1</v>
      </c>
      <c r="R111" s="716">
        <v>196579.50046253469</v>
      </c>
      <c r="S111" s="718">
        <v>442</v>
      </c>
      <c r="T111" s="712">
        <v>2682</v>
      </c>
      <c r="U111" s="47"/>
      <c r="V111" s="45"/>
      <c r="W111" s="47"/>
      <c r="X111" s="45"/>
      <c r="Y111" s="47"/>
      <c r="Z111" s="45"/>
      <c r="AA111" s="47"/>
      <c r="AB111" s="45"/>
      <c r="AC111" s="976">
        <f>O111*0.081</f>
        <v>24534.193680000008</v>
      </c>
      <c r="AD111" s="976">
        <f t="shared" si="4"/>
        <v>1371537.4495392411</v>
      </c>
      <c r="AE111" s="976">
        <f t="shared" si="5"/>
        <v>327425.47368000011</v>
      </c>
      <c r="AF111" s="976"/>
      <c r="AG111" s="976"/>
      <c r="AH111" s="976"/>
      <c r="AI111" s="974">
        <f t="shared" si="6"/>
        <v>1698962.9232192412</v>
      </c>
      <c r="AJ111" s="974">
        <f>AI111*1.081</f>
        <v>1836578.9199999997</v>
      </c>
      <c r="AK111" s="976">
        <f>SUM(AJ100:AJ111)</f>
        <v>22965119.173181813</v>
      </c>
      <c r="AL111" s="954">
        <v>23100098.809999999</v>
      </c>
      <c r="AM111" s="954">
        <f t="shared" si="9"/>
        <v>302891.28000000009</v>
      </c>
      <c r="AN111" s="976">
        <f>AM111*1.081</f>
        <v>327425.47368000005</v>
      </c>
      <c r="AO111" s="984">
        <f t="shared" si="8"/>
        <v>2164004.3936799997</v>
      </c>
      <c r="AQ111" s="976"/>
      <c r="AR111" s="954"/>
      <c r="AT111" s="981"/>
    </row>
    <row r="112" spans="1:47" ht="15" x14ac:dyDescent="0.25">
      <c r="A112" s="954"/>
      <c r="B112" s="161">
        <f>'1. LDC Info'!$F$18-3</f>
        <v>2013</v>
      </c>
      <c r="C112" s="735" t="s">
        <v>106</v>
      </c>
      <c r="D112" s="716">
        <v>8377247.3913043477</v>
      </c>
      <c r="E112" s="712">
        <v>11715</v>
      </c>
      <c r="F112" s="713">
        <v>1386128.0943570768</v>
      </c>
      <c r="G112" s="712">
        <v>787</v>
      </c>
      <c r="H112" s="715">
        <v>22012.025901942645</v>
      </c>
      <c r="I112" s="712">
        <v>43</v>
      </c>
      <c r="J112" s="714"/>
      <c r="K112" s="712"/>
      <c r="L112" s="715">
        <v>1459153.4800647548</v>
      </c>
      <c r="M112" s="327">
        <v>3492.8900000000003</v>
      </c>
      <c r="N112" s="712">
        <v>35</v>
      </c>
      <c r="O112" s="730">
        <v>284454.05</v>
      </c>
      <c r="P112" s="327">
        <v>483.89</v>
      </c>
      <c r="Q112" s="712">
        <v>1</v>
      </c>
      <c r="R112" s="716">
        <v>191828.00185013877</v>
      </c>
      <c r="S112" s="718">
        <v>442</v>
      </c>
      <c r="T112" s="712">
        <v>2682</v>
      </c>
      <c r="U112" s="46"/>
      <c r="V112" s="45"/>
      <c r="W112" s="46"/>
      <c r="X112" s="45"/>
      <c r="Y112" s="46"/>
      <c r="Z112" s="45"/>
      <c r="AA112" s="46"/>
      <c r="AB112" s="45"/>
      <c r="AC112" s="976">
        <f t="shared" ref="AC112:AC135" si="11">O112*0.081</f>
        <v>23040.778050000001</v>
      </c>
      <c r="AD112" s="976">
        <f t="shared" si="4"/>
        <v>1436112.7020147548</v>
      </c>
      <c r="AE112" s="976">
        <f t="shared" si="5"/>
        <v>307494.82805000001</v>
      </c>
      <c r="AF112" s="976"/>
      <c r="AG112" s="976"/>
      <c r="AH112" s="976"/>
      <c r="AI112" s="974">
        <f t="shared" si="6"/>
        <v>1743607.5300647549</v>
      </c>
      <c r="AJ112" s="974">
        <f t="shared" ref="AJ112:AJ135" si="12">AI112*1.081</f>
        <v>1884839.74</v>
      </c>
      <c r="AK112" s="974"/>
      <c r="AL112" s="954">
        <f>AL111-AK111</f>
        <v>134979.63681818545</v>
      </c>
      <c r="AM112" s="954">
        <f t="shared" si="9"/>
        <v>284454.05</v>
      </c>
      <c r="AN112" s="976">
        <f t="shared" ref="AN112:AN135" si="13">AM112*1.081</f>
        <v>307494.82804999995</v>
      </c>
      <c r="AO112" s="984">
        <f t="shared" si="8"/>
        <v>2192334.5680499999</v>
      </c>
      <c r="AQ112" s="976"/>
      <c r="AR112" s="954"/>
      <c r="AT112" s="954"/>
    </row>
    <row r="113" spans="1:46" ht="15" x14ac:dyDescent="0.25">
      <c r="A113" s="954"/>
      <c r="B113" s="161">
        <f>'1. LDC Info'!$F$18-3</f>
        <v>2013</v>
      </c>
      <c r="C113" s="735" t="s">
        <v>107</v>
      </c>
      <c r="D113" s="716">
        <v>7734167.8075855691</v>
      </c>
      <c r="E113" s="712"/>
      <c r="F113" s="715">
        <v>1288061.0545790936</v>
      </c>
      <c r="G113" s="712"/>
      <c r="H113" s="715">
        <v>22012.025901942645</v>
      </c>
      <c r="I113" s="712"/>
      <c r="J113" s="714"/>
      <c r="K113" s="712"/>
      <c r="L113" s="715">
        <v>1338573.8563089734</v>
      </c>
      <c r="M113" s="327">
        <v>3448.61</v>
      </c>
      <c r="N113" s="712"/>
      <c r="O113" s="730">
        <v>256456.93</v>
      </c>
      <c r="P113" s="327">
        <v>465.94</v>
      </c>
      <c r="Q113" s="712">
        <v>1</v>
      </c>
      <c r="R113" s="716">
        <v>173927.00277520815</v>
      </c>
      <c r="S113" s="718">
        <v>442</v>
      </c>
      <c r="T113" s="712"/>
      <c r="U113" s="46"/>
      <c r="V113" s="45"/>
      <c r="W113" s="46"/>
      <c r="X113" s="45"/>
      <c r="Y113" s="46"/>
      <c r="Z113" s="45"/>
      <c r="AA113" s="46"/>
      <c r="AB113" s="45"/>
      <c r="AC113" s="976">
        <f t="shared" si="11"/>
        <v>20773.011330000001</v>
      </c>
      <c r="AD113" s="976">
        <f t="shared" si="4"/>
        <v>1317800.8449789735</v>
      </c>
      <c r="AE113" s="976">
        <f t="shared" si="5"/>
        <v>277229.94133</v>
      </c>
      <c r="AF113" s="976"/>
      <c r="AG113" s="976"/>
      <c r="AH113" s="976"/>
      <c r="AI113" s="974">
        <f t="shared" si="6"/>
        <v>1595030.7863089733</v>
      </c>
      <c r="AJ113" s="974">
        <f t="shared" si="12"/>
        <v>1724228.28</v>
      </c>
      <c r="AL113" s="954"/>
      <c r="AM113" s="954">
        <f t="shared" si="9"/>
        <v>256456.93</v>
      </c>
      <c r="AN113" s="976">
        <f t="shared" si="13"/>
        <v>277229.94133</v>
      </c>
      <c r="AO113" s="984">
        <f t="shared" si="8"/>
        <v>2001458.2213300001</v>
      </c>
      <c r="AQ113" s="976"/>
      <c r="AR113" s="954"/>
      <c r="AT113" s="954"/>
    </row>
    <row r="114" spans="1:46" ht="15" x14ac:dyDescent="0.25">
      <c r="A114" s="954"/>
      <c r="B114" s="161">
        <f>'1. LDC Info'!$F$18-3</f>
        <v>2013</v>
      </c>
      <c r="C114" s="735" t="s">
        <v>108</v>
      </c>
      <c r="D114" s="716">
        <v>7601859.8334875125</v>
      </c>
      <c r="E114" s="712"/>
      <c r="F114" s="715">
        <v>1307377.1692876967</v>
      </c>
      <c r="G114" s="712"/>
      <c r="H114" s="715">
        <v>22062.025901942645</v>
      </c>
      <c r="I114" s="712"/>
      <c r="J114" s="714"/>
      <c r="K114" s="712"/>
      <c r="L114" s="715">
        <v>1429847.603691027</v>
      </c>
      <c r="M114" s="327">
        <v>3402.77</v>
      </c>
      <c r="N114" s="712"/>
      <c r="O114" s="730">
        <v>281841.61</v>
      </c>
      <c r="P114" s="327">
        <v>468</v>
      </c>
      <c r="Q114" s="712">
        <v>1</v>
      </c>
      <c r="R114" s="716">
        <v>154302.51618871416</v>
      </c>
      <c r="S114" s="718">
        <v>442.24</v>
      </c>
      <c r="T114" s="712"/>
      <c r="U114" s="46"/>
      <c r="V114" s="45"/>
      <c r="W114" s="46"/>
      <c r="X114" s="45"/>
      <c r="Y114" s="46"/>
      <c r="Z114" s="45"/>
      <c r="AA114" s="46"/>
      <c r="AB114" s="45"/>
      <c r="AC114" s="976">
        <f t="shared" si="11"/>
        <v>22829.170409999999</v>
      </c>
      <c r="AD114" s="976">
        <f t="shared" si="4"/>
        <v>1407018.433281027</v>
      </c>
      <c r="AE114" s="976">
        <f t="shared" si="5"/>
        <v>304670.78041000001</v>
      </c>
      <c r="AF114" s="976"/>
      <c r="AG114" s="976"/>
      <c r="AH114" s="976"/>
      <c r="AI114" s="974">
        <f t="shared" si="6"/>
        <v>1711689.2136910269</v>
      </c>
      <c r="AJ114" s="974">
        <f t="shared" si="12"/>
        <v>1850336.04</v>
      </c>
      <c r="AL114" s="954"/>
      <c r="AM114" s="954">
        <f t="shared" si="9"/>
        <v>281841.61</v>
      </c>
      <c r="AN114" s="976">
        <f t="shared" si="13"/>
        <v>304670.78040999995</v>
      </c>
      <c r="AO114" s="984">
        <f t="shared" si="8"/>
        <v>2155006.8204100002</v>
      </c>
      <c r="AQ114" s="976"/>
      <c r="AR114" s="954"/>
    </row>
    <row r="115" spans="1:46" ht="15" x14ac:dyDescent="0.25">
      <c r="A115" s="954"/>
      <c r="B115" s="161">
        <f>'1. LDC Info'!$F$18-3</f>
        <v>2013</v>
      </c>
      <c r="C115" s="735" t="s">
        <v>109</v>
      </c>
      <c r="D115" s="716">
        <v>6435226.8085106378</v>
      </c>
      <c r="E115" s="712"/>
      <c r="F115" s="715">
        <v>1157649.1766882518</v>
      </c>
      <c r="G115" s="712"/>
      <c r="H115" s="715">
        <v>21962.025901942648</v>
      </c>
      <c r="I115" s="712"/>
      <c r="J115" s="714"/>
      <c r="K115" s="712"/>
      <c r="L115" s="715">
        <v>1319226.3993154487</v>
      </c>
      <c r="M115" s="327">
        <v>3543.01</v>
      </c>
      <c r="N115" s="712"/>
      <c r="O115" s="730">
        <v>277471.14</v>
      </c>
      <c r="P115" s="327">
        <v>516.22</v>
      </c>
      <c r="Q115" s="712">
        <v>1</v>
      </c>
      <c r="R115" s="716">
        <v>129134.0795559667</v>
      </c>
      <c r="S115" s="718">
        <v>442.24</v>
      </c>
      <c r="T115" s="712"/>
      <c r="U115" s="46"/>
      <c r="V115" s="45"/>
      <c r="W115" s="46"/>
      <c r="X115" s="45"/>
      <c r="Y115" s="46"/>
      <c r="Z115" s="45"/>
      <c r="AA115" s="46"/>
      <c r="AB115" s="45"/>
      <c r="AC115" s="976">
        <f t="shared" si="11"/>
        <v>22475.162340000003</v>
      </c>
      <c r="AD115" s="976">
        <f t="shared" si="4"/>
        <v>1296751.2369754487</v>
      </c>
      <c r="AE115" s="976">
        <f t="shared" si="5"/>
        <v>299946.30233999999</v>
      </c>
      <c r="AF115" s="976"/>
      <c r="AG115" s="976"/>
      <c r="AH115" s="976"/>
      <c r="AI115" s="974">
        <f t="shared" si="6"/>
        <v>1596697.5393154486</v>
      </c>
      <c r="AJ115" s="974">
        <f t="shared" si="12"/>
        <v>1726030.0399999998</v>
      </c>
      <c r="AL115" s="954"/>
      <c r="AM115" s="954">
        <f t="shared" si="9"/>
        <v>277471.14</v>
      </c>
      <c r="AN115" s="976">
        <f t="shared" si="13"/>
        <v>299946.30233999999</v>
      </c>
      <c r="AO115" s="984">
        <f t="shared" si="8"/>
        <v>2025976.3423399997</v>
      </c>
      <c r="AQ115" s="976"/>
      <c r="AR115" s="954"/>
    </row>
    <row r="116" spans="1:46" ht="15" x14ac:dyDescent="0.25">
      <c r="A116" s="954"/>
      <c r="B116" s="161">
        <f>'1. LDC Info'!$F$18-3</f>
        <v>2013</v>
      </c>
      <c r="C116" s="735" t="s">
        <v>110</v>
      </c>
      <c r="D116" s="716">
        <v>5952309.7409805739</v>
      </c>
      <c r="E116" s="712"/>
      <c r="F116" s="715">
        <v>1277882.6549491212</v>
      </c>
      <c r="G116" s="712"/>
      <c r="H116" s="715">
        <v>21962.025901942648</v>
      </c>
      <c r="I116" s="712"/>
      <c r="J116" s="714"/>
      <c r="K116" s="712"/>
      <c r="L116" s="715">
        <v>1485679.0742923219</v>
      </c>
      <c r="M116" s="327">
        <v>4471.6400000000003</v>
      </c>
      <c r="N116" s="712"/>
      <c r="O116" s="730">
        <v>307911.49</v>
      </c>
      <c r="P116" s="327">
        <v>627.41999999999996</v>
      </c>
      <c r="Q116" s="712">
        <v>1</v>
      </c>
      <c r="R116" s="716">
        <v>115424.64384828862</v>
      </c>
      <c r="S116" s="718">
        <v>442.24</v>
      </c>
      <c r="T116" s="712"/>
      <c r="U116" s="46"/>
      <c r="V116" s="45"/>
      <c r="W116" s="46"/>
      <c r="X116" s="45"/>
      <c r="Y116" s="46"/>
      <c r="Z116" s="45"/>
      <c r="AA116" s="46"/>
      <c r="AB116" s="45"/>
      <c r="AC116" s="976">
        <f t="shared" si="11"/>
        <v>24940.830689999999</v>
      </c>
      <c r="AD116" s="976">
        <f t="shared" si="4"/>
        <v>1460738.2436023219</v>
      </c>
      <c r="AE116" s="976">
        <f t="shared" si="5"/>
        <v>332852.32068999996</v>
      </c>
      <c r="AF116" s="976"/>
      <c r="AG116" s="976"/>
      <c r="AH116" s="976"/>
      <c r="AI116" s="974">
        <f t="shared" si="6"/>
        <v>1793590.5642923219</v>
      </c>
      <c r="AJ116" s="974">
        <f t="shared" si="12"/>
        <v>1938871.4</v>
      </c>
      <c r="AL116" s="954"/>
      <c r="AM116" s="954">
        <f t="shared" si="9"/>
        <v>307911.49</v>
      </c>
      <c r="AN116" s="976">
        <f t="shared" si="13"/>
        <v>332852.32068999996</v>
      </c>
      <c r="AO116" s="984">
        <f t="shared" si="8"/>
        <v>2271723.7206899999</v>
      </c>
      <c r="AQ116" s="976"/>
      <c r="AR116" s="954"/>
    </row>
    <row r="117" spans="1:46" ht="15" x14ac:dyDescent="0.25">
      <c r="A117" s="954"/>
      <c r="B117" s="161">
        <f>'1. LDC Info'!$F$18-3</f>
        <v>2013</v>
      </c>
      <c r="C117" s="735" t="s">
        <v>111</v>
      </c>
      <c r="D117" s="716">
        <v>6277996.3922294173</v>
      </c>
      <c r="E117" s="712"/>
      <c r="F117" s="715">
        <v>1399540.6197964847</v>
      </c>
      <c r="G117" s="712"/>
      <c r="H117" s="715">
        <v>21962.025901942648</v>
      </c>
      <c r="I117" s="712"/>
      <c r="J117" s="714"/>
      <c r="K117" s="712"/>
      <c r="L117" s="715">
        <v>1568347.2905827938</v>
      </c>
      <c r="M117" s="327">
        <v>4598.2300000000005</v>
      </c>
      <c r="N117" s="712"/>
      <c r="O117" s="730">
        <v>318570.48000000004</v>
      </c>
      <c r="P117" s="327">
        <v>604.41</v>
      </c>
      <c r="Q117" s="712">
        <v>1</v>
      </c>
      <c r="R117" s="716">
        <v>101825.76318223866</v>
      </c>
      <c r="S117" s="718">
        <v>442.24</v>
      </c>
      <c r="T117" s="712"/>
      <c r="U117" s="46"/>
      <c r="V117" s="45"/>
      <c r="W117" s="46"/>
      <c r="X117" s="45"/>
      <c r="Y117" s="46"/>
      <c r="Z117" s="45"/>
      <c r="AA117" s="46"/>
      <c r="AB117" s="45"/>
      <c r="AC117" s="976">
        <f t="shared" si="11"/>
        <v>25804.208880000006</v>
      </c>
      <c r="AD117" s="976">
        <f t="shared" si="4"/>
        <v>1542543.0817027937</v>
      </c>
      <c r="AE117" s="976">
        <f t="shared" si="5"/>
        <v>344374.68888000003</v>
      </c>
      <c r="AF117" s="976"/>
      <c r="AG117" s="976"/>
      <c r="AH117" s="976"/>
      <c r="AI117" s="974">
        <f t="shared" si="6"/>
        <v>1886917.7705827937</v>
      </c>
      <c r="AJ117" s="974">
        <f t="shared" si="12"/>
        <v>2039758.1099999999</v>
      </c>
      <c r="AL117" s="954"/>
      <c r="AM117" s="954">
        <f t="shared" si="9"/>
        <v>318570.48000000004</v>
      </c>
      <c r="AN117" s="976">
        <f t="shared" si="13"/>
        <v>344374.68888000003</v>
      </c>
      <c r="AO117" s="984">
        <f t="shared" si="8"/>
        <v>2384132.7988799997</v>
      </c>
      <c r="AQ117" s="976"/>
      <c r="AR117" s="954"/>
    </row>
    <row r="118" spans="1:46" ht="15" x14ac:dyDescent="0.25">
      <c r="A118" s="954"/>
      <c r="B118" s="161">
        <f>'1. LDC Info'!$F$18-3</f>
        <v>2013</v>
      </c>
      <c r="C118" s="735" t="s">
        <v>112</v>
      </c>
      <c r="D118" s="716">
        <v>7988735.6521739131</v>
      </c>
      <c r="E118" s="712"/>
      <c r="F118" s="715">
        <v>1747658.5013876043</v>
      </c>
      <c r="G118" s="712"/>
      <c r="H118" s="715">
        <v>21962.025901942648</v>
      </c>
      <c r="I118" s="712"/>
      <c r="J118" s="714"/>
      <c r="K118" s="712"/>
      <c r="L118" s="715">
        <v>1762624.2747641071</v>
      </c>
      <c r="M118" s="327">
        <v>4615.0600000000004</v>
      </c>
      <c r="N118" s="712"/>
      <c r="O118" s="730">
        <v>345162.58</v>
      </c>
      <c r="P118" s="327">
        <v>609.9</v>
      </c>
      <c r="Q118" s="712">
        <v>1</v>
      </c>
      <c r="R118" s="716">
        <v>111333.92229417207</v>
      </c>
      <c r="S118" s="718">
        <v>442.24</v>
      </c>
      <c r="T118" s="712"/>
      <c r="U118" s="46"/>
      <c r="V118" s="45"/>
      <c r="W118" s="46"/>
      <c r="X118" s="45"/>
      <c r="Y118" s="46"/>
      <c r="Z118" s="45"/>
      <c r="AA118" s="46"/>
      <c r="AB118" s="45"/>
      <c r="AC118" s="976">
        <f t="shared" si="11"/>
        <v>27958.168980000002</v>
      </c>
      <c r="AD118" s="976">
        <f t="shared" si="4"/>
        <v>1734666.105784107</v>
      </c>
      <c r="AE118" s="976">
        <f t="shared" si="5"/>
        <v>373120.74898000003</v>
      </c>
      <c r="AF118" s="976"/>
      <c r="AG118" s="976"/>
      <c r="AH118" s="976"/>
      <c r="AI118" s="974">
        <f t="shared" si="6"/>
        <v>2107786.8547641071</v>
      </c>
      <c r="AJ118" s="974">
        <f t="shared" si="12"/>
        <v>2278517.59</v>
      </c>
      <c r="AL118" s="954"/>
      <c r="AM118" s="954">
        <f t="shared" si="9"/>
        <v>345162.58</v>
      </c>
      <c r="AN118" s="976">
        <f t="shared" si="13"/>
        <v>373120.74898000003</v>
      </c>
      <c r="AO118" s="984">
        <f t="shared" si="8"/>
        <v>2651638.33898</v>
      </c>
      <c r="AQ118" s="976"/>
      <c r="AR118" s="954"/>
    </row>
    <row r="119" spans="1:46" ht="15" x14ac:dyDescent="0.25">
      <c r="A119" s="954"/>
      <c r="B119" s="161">
        <f>'1. LDC Info'!$F$18-3</f>
        <v>2013</v>
      </c>
      <c r="C119" s="735" t="s">
        <v>113</v>
      </c>
      <c r="D119" s="716">
        <v>7116904.6993524525</v>
      </c>
      <c r="E119" s="712"/>
      <c r="F119" s="715">
        <v>1635933.1544865866</v>
      </c>
      <c r="G119" s="712"/>
      <c r="H119" s="715">
        <v>21962.025901942648</v>
      </c>
      <c r="I119" s="712"/>
      <c r="J119" s="714"/>
      <c r="K119" s="712"/>
      <c r="L119" s="715">
        <v>1679020.9541443109</v>
      </c>
      <c r="M119" s="327">
        <v>4378.5300000000007</v>
      </c>
      <c r="N119" s="712"/>
      <c r="O119" s="730">
        <v>342290.97</v>
      </c>
      <c r="P119" s="327">
        <v>623.82000000000005</v>
      </c>
      <c r="Q119" s="712">
        <v>1</v>
      </c>
      <c r="R119" s="716">
        <v>127254.56059204441</v>
      </c>
      <c r="S119" s="718">
        <v>442.24</v>
      </c>
      <c r="T119" s="712"/>
      <c r="U119" s="46"/>
      <c r="V119" s="45"/>
      <c r="W119" s="46"/>
      <c r="X119" s="45"/>
      <c r="Y119" s="46"/>
      <c r="Z119" s="45"/>
      <c r="AA119" s="46"/>
      <c r="AB119" s="45"/>
      <c r="AC119" s="976">
        <f t="shared" si="11"/>
        <v>27725.568569999999</v>
      </c>
      <c r="AD119" s="976">
        <f t="shared" si="4"/>
        <v>1651295.385574311</v>
      </c>
      <c r="AE119" s="976">
        <f t="shared" si="5"/>
        <v>370016.53856999998</v>
      </c>
      <c r="AF119" s="976"/>
      <c r="AG119" s="976"/>
      <c r="AH119" s="976"/>
      <c r="AI119" s="974">
        <f t="shared" si="6"/>
        <v>2021311.9241443109</v>
      </c>
      <c r="AJ119" s="974">
        <f t="shared" si="12"/>
        <v>2185038.19</v>
      </c>
      <c r="AL119" s="954"/>
      <c r="AM119" s="954">
        <f t="shared" si="9"/>
        <v>342290.97</v>
      </c>
      <c r="AN119" s="976">
        <f t="shared" si="13"/>
        <v>370016.53856999998</v>
      </c>
      <c r="AO119" s="984">
        <f t="shared" si="8"/>
        <v>2555054.7285699998</v>
      </c>
      <c r="AQ119" s="976"/>
      <c r="AR119" s="954"/>
    </row>
    <row r="120" spans="1:46" ht="15" x14ac:dyDescent="0.25">
      <c r="A120" s="954"/>
      <c r="B120" s="161">
        <f>'1. LDC Info'!$F$18-3</f>
        <v>2013</v>
      </c>
      <c r="C120" s="735" t="s">
        <v>103</v>
      </c>
      <c r="D120" s="716">
        <v>5901545.5319148935</v>
      </c>
      <c r="E120" s="712"/>
      <c r="F120" s="715">
        <v>1272666.0962072157</v>
      </c>
      <c r="G120" s="712"/>
      <c r="H120" s="715">
        <v>22926.827012025904</v>
      </c>
      <c r="I120" s="712"/>
      <c r="J120" s="719"/>
      <c r="K120" s="720"/>
      <c r="L120" s="715">
        <v>1455878.6395559667</v>
      </c>
      <c r="M120" s="327">
        <v>4336.6399999999994</v>
      </c>
      <c r="N120" s="712"/>
      <c r="O120" s="730">
        <v>313675.44000000006</v>
      </c>
      <c r="P120" s="327">
        <v>676.81</v>
      </c>
      <c r="Q120" s="712">
        <v>1</v>
      </c>
      <c r="R120" s="716">
        <v>143064.64384828863</v>
      </c>
      <c r="S120" s="718">
        <v>442.76</v>
      </c>
      <c r="T120" s="712"/>
      <c r="U120" s="46"/>
      <c r="V120" s="45"/>
      <c r="W120" s="46"/>
      <c r="X120" s="45"/>
      <c r="Y120" s="46"/>
      <c r="Z120" s="45"/>
      <c r="AA120" s="46"/>
      <c r="AB120" s="45"/>
      <c r="AC120" s="976">
        <f t="shared" si="11"/>
        <v>25407.710640000005</v>
      </c>
      <c r="AD120" s="976">
        <f t="shared" si="4"/>
        <v>1430470.9289159668</v>
      </c>
      <c r="AE120" s="976">
        <f t="shared" si="5"/>
        <v>339083.15064000007</v>
      </c>
      <c r="AF120" s="976"/>
      <c r="AG120" s="976"/>
      <c r="AH120" s="976"/>
      <c r="AI120" s="974">
        <f t="shared" si="6"/>
        <v>1769554.0795559669</v>
      </c>
      <c r="AJ120" s="974">
        <f t="shared" si="12"/>
        <v>1912887.9600000002</v>
      </c>
      <c r="AL120" s="954"/>
      <c r="AM120" s="954">
        <f t="shared" si="9"/>
        <v>313675.44000000006</v>
      </c>
      <c r="AN120" s="976">
        <f t="shared" si="13"/>
        <v>339083.15064000007</v>
      </c>
      <c r="AO120" s="984">
        <f t="shared" si="8"/>
        <v>2251971.1106400001</v>
      </c>
      <c r="AQ120" s="976"/>
      <c r="AR120" s="954"/>
    </row>
    <row r="121" spans="1:46" ht="15" x14ac:dyDescent="0.25">
      <c r="A121" s="954"/>
      <c r="B121" s="161">
        <f>'1. LDC Info'!$F$18-3</f>
        <v>2013</v>
      </c>
      <c r="C121" s="735" t="s">
        <v>104</v>
      </c>
      <c r="D121" s="716">
        <v>6237527.1877890844</v>
      </c>
      <c r="E121" s="712"/>
      <c r="F121" s="715">
        <v>1189229.8982423681</v>
      </c>
      <c r="G121" s="712"/>
      <c r="H121" s="715">
        <v>22538.020351526364</v>
      </c>
      <c r="I121" s="712"/>
      <c r="J121" s="719"/>
      <c r="K121" s="720"/>
      <c r="L121" s="715">
        <v>1392428.4464847366</v>
      </c>
      <c r="M121" s="327">
        <v>3699.09</v>
      </c>
      <c r="N121" s="712"/>
      <c r="O121" s="730">
        <v>302871.34999999998</v>
      </c>
      <c r="P121" s="327">
        <v>538.70000000000005</v>
      </c>
      <c r="Q121" s="712">
        <v>1</v>
      </c>
      <c r="R121" s="716">
        <v>168802.2479185939</v>
      </c>
      <c r="S121" s="718">
        <v>442.76</v>
      </c>
      <c r="T121" s="712"/>
      <c r="U121" s="46"/>
      <c r="V121" s="45"/>
      <c r="W121" s="46"/>
      <c r="X121" s="45"/>
      <c r="Y121" s="46"/>
      <c r="Z121" s="45"/>
      <c r="AA121" s="46"/>
      <c r="AB121" s="45"/>
      <c r="AC121" s="976">
        <f t="shared" si="11"/>
        <v>24532.57935</v>
      </c>
      <c r="AD121" s="976">
        <f t="shared" si="4"/>
        <v>1367895.8671347366</v>
      </c>
      <c r="AE121" s="976">
        <f t="shared" si="5"/>
        <v>327403.92934999999</v>
      </c>
      <c r="AF121" s="976"/>
      <c r="AG121" s="976"/>
      <c r="AH121" s="976"/>
      <c r="AI121" s="974">
        <f t="shared" si="6"/>
        <v>1695299.7964847367</v>
      </c>
      <c r="AJ121" s="974">
        <f t="shared" si="12"/>
        <v>1832619.0800000003</v>
      </c>
      <c r="AL121" s="954"/>
      <c r="AM121" s="954">
        <f t="shared" si="9"/>
        <v>302871.34999999998</v>
      </c>
      <c r="AN121" s="976">
        <f t="shared" si="13"/>
        <v>327403.92934999999</v>
      </c>
      <c r="AO121" s="984">
        <f t="shared" si="8"/>
        <v>2160023.0093500004</v>
      </c>
      <c r="AQ121" s="976"/>
      <c r="AR121" s="954"/>
    </row>
    <row r="122" spans="1:46" ht="15" x14ac:dyDescent="0.25">
      <c r="A122" s="954"/>
      <c r="B122" s="161">
        <f>'1. LDC Info'!$F$18-3</f>
        <v>2013</v>
      </c>
      <c r="C122" s="735" t="s">
        <v>105</v>
      </c>
      <c r="D122" s="716">
        <v>7352984.0888066608</v>
      </c>
      <c r="E122" s="712"/>
      <c r="F122" s="715">
        <v>1272662.5901942647</v>
      </c>
      <c r="G122" s="712"/>
      <c r="H122" s="715">
        <v>21960.823311748383</v>
      </c>
      <c r="I122" s="712"/>
      <c r="J122" s="719"/>
      <c r="K122" s="720"/>
      <c r="L122" s="715">
        <v>1322981.644292322</v>
      </c>
      <c r="M122" s="327">
        <v>3455.2</v>
      </c>
      <c r="N122" s="712"/>
      <c r="O122" s="730">
        <v>271858.92</v>
      </c>
      <c r="P122" s="327">
        <v>480.48</v>
      </c>
      <c r="Q122" s="712">
        <v>1</v>
      </c>
      <c r="R122" s="716">
        <v>181420.90656799261</v>
      </c>
      <c r="S122" s="718">
        <v>442.76</v>
      </c>
      <c r="T122" s="712"/>
      <c r="U122" s="46"/>
      <c r="V122" s="45"/>
      <c r="W122" s="46"/>
      <c r="X122" s="45"/>
      <c r="Y122" s="46"/>
      <c r="Z122" s="45"/>
      <c r="AA122" s="46"/>
      <c r="AB122" s="45"/>
      <c r="AC122" s="976">
        <f t="shared" si="11"/>
        <v>22020.572519999998</v>
      </c>
      <c r="AD122" s="976">
        <f t="shared" si="4"/>
        <v>1300961.0717723221</v>
      </c>
      <c r="AE122" s="976">
        <f t="shared" si="5"/>
        <v>293879.49251999997</v>
      </c>
      <c r="AF122" s="976"/>
      <c r="AG122" s="976"/>
      <c r="AH122" s="976"/>
      <c r="AI122" s="974">
        <f t="shared" si="6"/>
        <v>1594840.5642923219</v>
      </c>
      <c r="AJ122" s="974">
        <f t="shared" si="12"/>
        <v>1724022.65</v>
      </c>
      <c r="AL122" s="954"/>
      <c r="AM122" s="954">
        <f t="shared" si="9"/>
        <v>271858.92</v>
      </c>
      <c r="AN122" s="976">
        <f t="shared" si="13"/>
        <v>293879.49251999997</v>
      </c>
      <c r="AO122" s="984">
        <f t="shared" si="8"/>
        <v>2017902.1425199998</v>
      </c>
      <c r="AQ122" s="976"/>
      <c r="AR122" s="954"/>
    </row>
    <row r="123" spans="1:46" ht="15" x14ac:dyDescent="0.25">
      <c r="A123" s="954"/>
      <c r="B123" s="161">
        <f>'1. LDC Info'!$F$18-3</f>
        <v>2013</v>
      </c>
      <c r="C123" s="735" t="s">
        <v>102</v>
      </c>
      <c r="D123" s="716">
        <v>9300026.8085106388</v>
      </c>
      <c r="E123" s="712">
        <v>11999</v>
      </c>
      <c r="F123" s="715">
        <v>1497559.0841813139</v>
      </c>
      <c r="G123" s="712">
        <v>781</v>
      </c>
      <c r="H123" s="715">
        <v>21227.622571692878</v>
      </c>
      <c r="I123" s="712">
        <v>42</v>
      </c>
      <c r="J123" s="719"/>
      <c r="K123" s="720"/>
      <c r="L123" s="715">
        <v>1478013.6999352451</v>
      </c>
      <c r="M123" s="327">
        <v>3424.9399999999996</v>
      </c>
      <c r="N123" s="712">
        <v>35</v>
      </c>
      <c r="O123" s="730">
        <v>292318.77</v>
      </c>
      <c r="P123" s="327">
        <v>460.97</v>
      </c>
      <c r="Q123" s="712">
        <v>1</v>
      </c>
      <c r="R123" s="716">
        <v>197856.04070305274</v>
      </c>
      <c r="S123" s="718">
        <v>444.87</v>
      </c>
      <c r="T123" s="712">
        <v>2705</v>
      </c>
      <c r="U123" s="46"/>
      <c r="V123" s="45"/>
      <c r="W123" s="46"/>
      <c r="X123" s="45"/>
      <c r="Y123" s="46"/>
      <c r="Z123" s="45"/>
      <c r="AA123" s="46"/>
      <c r="AB123" s="45"/>
      <c r="AC123" s="976">
        <f t="shared" si="11"/>
        <v>23677.820370000001</v>
      </c>
      <c r="AD123" s="976">
        <f t="shared" si="4"/>
        <v>1454335.879565245</v>
      </c>
      <c r="AE123" s="976">
        <f t="shared" si="5"/>
        <v>315996.59036999999</v>
      </c>
      <c r="AF123" s="976"/>
      <c r="AG123" s="976"/>
      <c r="AH123" s="976"/>
      <c r="AI123" s="974">
        <f t="shared" si="6"/>
        <v>1770332.4699352451</v>
      </c>
      <c r="AJ123" s="974">
        <f t="shared" si="12"/>
        <v>1913729.4</v>
      </c>
      <c r="AK123" s="976">
        <f>SUM(AJ112:AJ123)</f>
        <v>23010878.479999997</v>
      </c>
      <c r="AL123" s="954">
        <v>23010878.48</v>
      </c>
      <c r="AM123" s="954">
        <f t="shared" si="9"/>
        <v>292318.77</v>
      </c>
      <c r="AN123" s="976">
        <f t="shared" si="13"/>
        <v>315996.59036999999</v>
      </c>
      <c r="AO123" s="984">
        <f t="shared" si="8"/>
        <v>2229725.9903699998</v>
      </c>
      <c r="AQ123" s="976"/>
      <c r="AR123" s="954"/>
    </row>
    <row r="124" spans="1:46" ht="15" x14ac:dyDescent="0.25">
      <c r="A124" s="954"/>
      <c r="B124" s="161">
        <f>'1. LDC Info'!$F$18-2</f>
        <v>2014</v>
      </c>
      <c r="C124" s="735" t="s">
        <v>106</v>
      </c>
      <c r="D124" s="716">
        <v>9596051.7853839044</v>
      </c>
      <c r="E124" s="712">
        <v>11999</v>
      </c>
      <c r="F124" s="715">
        <v>1588582.5069380205</v>
      </c>
      <c r="G124" s="712">
        <v>781</v>
      </c>
      <c r="H124" s="327">
        <v>20011</v>
      </c>
      <c r="I124" s="712">
        <v>42</v>
      </c>
      <c r="J124" s="714"/>
      <c r="K124" s="712"/>
      <c r="L124" s="715">
        <v>1498289.4563644773</v>
      </c>
      <c r="M124" s="327">
        <v>3455.0299999999997</v>
      </c>
      <c r="N124" s="712">
        <v>35</v>
      </c>
      <c r="O124" s="730">
        <v>280512.07</v>
      </c>
      <c r="P124" s="327">
        <v>441.94</v>
      </c>
      <c r="Q124" s="712">
        <v>1</v>
      </c>
      <c r="R124" s="716">
        <v>193073.61702127659</v>
      </c>
      <c r="S124" s="718">
        <v>444.87</v>
      </c>
      <c r="T124" s="712">
        <v>2705</v>
      </c>
      <c r="U124" s="46"/>
      <c r="V124" s="45"/>
      <c r="W124" s="46"/>
      <c r="X124" s="45"/>
      <c r="Y124" s="46"/>
      <c r="Z124" s="45"/>
      <c r="AA124" s="46"/>
      <c r="AB124" s="45"/>
      <c r="AC124" s="976">
        <f t="shared" si="11"/>
        <v>22721.47767</v>
      </c>
      <c r="AD124" s="976">
        <f t="shared" si="4"/>
        <v>1475567.9786944774</v>
      </c>
      <c r="AE124" s="976">
        <f t="shared" si="5"/>
        <v>303233.54767</v>
      </c>
      <c r="AF124" s="976"/>
      <c r="AG124" s="976"/>
      <c r="AH124" s="976"/>
      <c r="AI124" s="974">
        <f t="shared" si="6"/>
        <v>1778801.5263644774</v>
      </c>
      <c r="AJ124" s="974">
        <f t="shared" si="12"/>
        <v>1922884.45</v>
      </c>
      <c r="AK124" s="974"/>
      <c r="AL124" s="954">
        <f>AL123-AK123</f>
        <v>0</v>
      </c>
      <c r="AM124" s="954">
        <f t="shared" si="9"/>
        <v>280512.07</v>
      </c>
      <c r="AN124" s="976">
        <f t="shared" si="13"/>
        <v>303233.54767</v>
      </c>
      <c r="AO124" s="984">
        <f t="shared" si="8"/>
        <v>2226117.99767</v>
      </c>
      <c r="AQ124" s="976"/>
      <c r="AR124" s="954"/>
    </row>
    <row r="125" spans="1:46" ht="15" x14ac:dyDescent="0.25">
      <c r="A125" s="954"/>
      <c r="B125" s="161">
        <f>'1. LDC Info'!$F$18-2</f>
        <v>2014</v>
      </c>
      <c r="C125" s="735" t="s">
        <v>107</v>
      </c>
      <c r="D125" s="716">
        <v>8315457.2525439402</v>
      </c>
      <c r="E125" s="712"/>
      <c r="F125" s="715">
        <v>1416213.2007400554</v>
      </c>
      <c r="G125" s="712"/>
      <c r="H125" s="327">
        <v>20011</v>
      </c>
      <c r="I125" s="712"/>
      <c r="J125" s="714"/>
      <c r="K125" s="712"/>
      <c r="L125" s="715">
        <v>1334288.6080296023</v>
      </c>
      <c r="M125" s="327">
        <v>3391.71</v>
      </c>
      <c r="N125" s="712"/>
      <c r="O125" s="730">
        <v>248535.12</v>
      </c>
      <c r="P125" s="327">
        <v>451.18</v>
      </c>
      <c r="Q125" s="712">
        <v>1</v>
      </c>
      <c r="R125" s="716">
        <v>177830.24051803886</v>
      </c>
      <c r="S125" s="718">
        <v>451.92</v>
      </c>
      <c r="T125" s="712"/>
      <c r="U125" s="46"/>
      <c r="V125" s="45"/>
      <c r="W125" s="46"/>
      <c r="X125" s="45"/>
      <c r="Y125" s="46"/>
      <c r="Z125" s="45"/>
      <c r="AA125" s="46"/>
      <c r="AB125" s="45"/>
      <c r="AC125" s="976">
        <f t="shared" si="11"/>
        <v>20131.344720000001</v>
      </c>
      <c r="AD125" s="976">
        <f t="shared" si="4"/>
        <v>1314157.2633096024</v>
      </c>
      <c r="AE125" s="976">
        <f t="shared" si="5"/>
        <v>268666.46471999999</v>
      </c>
      <c r="AF125" s="976"/>
      <c r="AG125" s="976"/>
      <c r="AH125" s="976"/>
      <c r="AI125" s="974">
        <f t="shared" si="6"/>
        <v>1582823.7280296022</v>
      </c>
      <c r="AJ125" s="974">
        <f t="shared" si="12"/>
        <v>1711032.45</v>
      </c>
      <c r="AL125" s="954"/>
      <c r="AM125" s="954">
        <f t="shared" si="9"/>
        <v>248535.12</v>
      </c>
      <c r="AN125" s="976">
        <f t="shared" si="13"/>
        <v>268666.46471999999</v>
      </c>
      <c r="AO125" s="984">
        <f t="shared" si="8"/>
        <v>1979698.91472</v>
      </c>
      <c r="AQ125" s="976"/>
      <c r="AR125" s="954"/>
    </row>
    <row r="126" spans="1:46" ht="15" x14ac:dyDescent="0.25">
      <c r="A126" s="954"/>
      <c r="B126" s="161">
        <f>'1. LDC Info'!$F$18-2</f>
        <v>2014</v>
      </c>
      <c r="C126" s="735" t="s">
        <v>108</v>
      </c>
      <c r="D126" s="716">
        <v>8474305.124884367</v>
      </c>
      <c r="E126" s="712"/>
      <c r="F126" s="715">
        <v>1467994.9398704905</v>
      </c>
      <c r="G126" s="712"/>
      <c r="H126" s="327">
        <v>20011</v>
      </c>
      <c r="I126" s="712"/>
      <c r="J126" s="714"/>
      <c r="K126" s="712"/>
      <c r="L126" s="715">
        <v>1441915.1449213694</v>
      </c>
      <c r="M126" s="327">
        <v>3389.13</v>
      </c>
      <c r="N126" s="712"/>
      <c r="O126" s="730">
        <v>273517.14</v>
      </c>
      <c r="P126" s="327">
        <v>447.79</v>
      </c>
      <c r="Q126" s="712">
        <v>1</v>
      </c>
      <c r="R126" s="716">
        <v>157720.08325624422</v>
      </c>
      <c r="S126" s="718">
        <v>451.92</v>
      </c>
      <c r="T126" s="712"/>
      <c r="U126" s="46"/>
      <c r="V126" s="45"/>
      <c r="W126" s="46"/>
      <c r="X126" s="45"/>
      <c r="Y126" s="46"/>
      <c r="Z126" s="45"/>
      <c r="AA126" s="46"/>
      <c r="AB126" s="45"/>
      <c r="AC126" s="976">
        <f t="shared" si="11"/>
        <v>22154.888340000001</v>
      </c>
      <c r="AD126" s="976">
        <f t="shared" si="4"/>
        <v>1419760.2565813693</v>
      </c>
      <c r="AE126" s="976">
        <f t="shared" si="5"/>
        <v>295672.02834000002</v>
      </c>
      <c r="AF126" s="976"/>
      <c r="AG126" s="976"/>
      <c r="AH126" s="976"/>
      <c r="AI126" s="974">
        <f t="shared" si="6"/>
        <v>1715432.2849213695</v>
      </c>
      <c r="AJ126" s="974">
        <f t="shared" si="12"/>
        <v>1854382.3000000003</v>
      </c>
      <c r="AL126" s="954"/>
      <c r="AM126" s="954">
        <f t="shared" si="9"/>
        <v>273517.14</v>
      </c>
      <c r="AN126" s="976">
        <f t="shared" si="13"/>
        <v>295672.02834000002</v>
      </c>
      <c r="AO126" s="984">
        <f t="shared" si="8"/>
        <v>2150054.3283400005</v>
      </c>
      <c r="AQ126" s="976"/>
      <c r="AR126" s="954"/>
    </row>
    <row r="127" spans="1:46" ht="15" x14ac:dyDescent="0.25">
      <c r="A127" s="954"/>
      <c r="B127" s="161">
        <f>'1. LDC Info'!$F$18-2</f>
        <v>2014</v>
      </c>
      <c r="C127" s="735" t="s">
        <v>109</v>
      </c>
      <c r="D127" s="716">
        <v>6656004.3663274748</v>
      </c>
      <c r="E127" s="712"/>
      <c r="F127" s="715">
        <v>1197218.02960222</v>
      </c>
      <c r="G127" s="712"/>
      <c r="H127" s="327">
        <v>20011</v>
      </c>
      <c r="I127" s="712"/>
      <c r="J127" s="714"/>
      <c r="K127" s="712"/>
      <c r="L127" s="715">
        <v>1303531.4335892689</v>
      </c>
      <c r="M127" s="327">
        <v>3366.81</v>
      </c>
      <c r="N127" s="712"/>
      <c r="O127" s="730">
        <v>267143.09000000003</v>
      </c>
      <c r="P127" s="327">
        <v>474</v>
      </c>
      <c r="Q127" s="712">
        <v>1</v>
      </c>
      <c r="R127" s="716">
        <v>131960.63829787236</v>
      </c>
      <c r="S127" s="718">
        <v>451.92</v>
      </c>
      <c r="T127" s="712"/>
      <c r="U127" s="46"/>
      <c r="V127" s="45"/>
      <c r="W127" s="46"/>
      <c r="X127" s="45"/>
      <c r="Y127" s="46"/>
      <c r="Z127" s="45"/>
      <c r="AA127" s="46"/>
      <c r="AB127" s="45"/>
      <c r="AC127" s="976">
        <f t="shared" si="11"/>
        <v>21638.590290000004</v>
      </c>
      <c r="AD127" s="976">
        <f t="shared" si="4"/>
        <v>1281892.843299269</v>
      </c>
      <c r="AE127" s="976">
        <f t="shared" si="5"/>
        <v>288781.68029000005</v>
      </c>
      <c r="AF127" s="976"/>
      <c r="AG127" s="976"/>
      <c r="AH127" s="976"/>
      <c r="AI127" s="974">
        <f t="shared" si="6"/>
        <v>1570674.523589269</v>
      </c>
      <c r="AJ127" s="974">
        <f t="shared" si="12"/>
        <v>1697899.1599999997</v>
      </c>
      <c r="AL127" s="954"/>
      <c r="AM127" s="954">
        <f t="shared" si="9"/>
        <v>267143.09000000003</v>
      </c>
      <c r="AN127" s="976">
        <f t="shared" si="13"/>
        <v>288781.68028999999</v>
      </c>
      <c r="AO127" s="984">
        <f t="shared" si="8"/>
        <v>1986680.8402899997</v>
      </c>
      <c r="AQ127" s="976"/>
      <c r="AR127" s="954"/>
    </row>
    <row r="128" spans="1:46" ht="15" x14ac:dyDescent="0.25">
      <c r="A128" s="954"/>
      <c r="B128" s="161">
        <f>'1. LDC Info'!$F$18-2</f>
        <v>2014</v>
      </c>
      <c r="C128" s="735" t="s">
        <v>110</v>
      </c>
      <c r="D128" s="716">
        <v>5973234.8196114711</v>
      </c>
      <c r="E128" s="712"/>
      <c r="F128" s="715">
        <v>1278818.7974098059</v>
      </c>
      <c r="G128" s="712"/>
      <c r="H128" s="327">
        <v>20011</v>
      </c>
      <c r="I128" s="712"/>
      <c r="J128" s="714"/>
      <c r="K128" s="712"/>
      <c r="L128" s="715">
        <v>1428257.3286123963</v>
      </c>
      <c r="M128" s="327">
        <v>4445.3999999999996</v>
      </c>
      <c r="N128" s="712"/>
      <c r="O128" s="730">
        <v>291404.17</v>
      </c>
      <c r="P128" s="327">
        <v>559.22</v>
      </c>
      <c r="Q128" s="712">
        <v>1</v>
      </c>
      <c r="R128" s="716">
        <v>117951.11933395006</v>
      </c>
      <c r="S128" s="718">
        <v>451.92</v>
      </c>
      <c r="T128" s="712"/>
      <c r="U128" s="46"/>
      <c r="V128" s="45"/>
      <c r="W128" s="46"/>
      <c r="X128" s="45"/>
      <c r="Y128" s="46"/>
      <c r="Z128" s="45"/>
      <c r="AA128" s="46"/>
      <c r="AB128" s="45"/>
      <c r="AC128" s="976">
        <f t="shared" si="11"/>
        <v>23603.73777</v>
      </c>
      <c r="AD128" s="976">
        <f t="shared" si="4"/>
        <v>1404653.5908423963</v>
      </c>
      <c r="AE128" s="976">
        <f t="shared" si="5"/>
        <v>315007.90776999999</v>
      </c>
      <c r="AF128" s="976"/>
      <c r="AG128" s="976"/>
      <c r="AH128" s="976"/>
      <c r="AI128" s="974">
        <f t="shared" si="6"/>
        <v>1719661.4986123962</v>
      </c>
      <c r="AJ128" s="974">
        <f t="shared" si="12"/>
        <v>1858954.0800000003</v>
      </c>
      <c r="AL128" s="954"/>
      <c r="AM128" s="954">
        <f t="shared" si="9"/>
        <v>291404.17</v>
      </c>
      <c r="AN128" s="976">
        <f t="shared" si="13"/>
        <v>315007.90776999999</v>
      </c>
      <c r="AO128" s="984">
        <f t="shared" si="8"/>
        <v>2173961.9877700005</v>
      </c>
      <c r="AQ128" s="976"/>
      <c r="AR128" s="954"/>
    </row>
    <row r="129" spans="1:44" ht="15" x14ac:dyDescent="0.25">
      <c r="A129" s="954"/>
      <c r="B129" s="161">
        <f>'1. LDC Info'!$F$18-2</f>
        <v>2014</v>
      </c>
      <c r="C129" s="735" t="s">
        <v>111</v>
      </c>
      <c r="D129" s="716">
        <v>6234248.7604070306</v>
      </c>
      <c r="E129" s="712"/>
      <c r="F129" s="715">
        <v>1379958.9546716004</v>
      </c>
      <c r="G129" s="712"/>
      <c r="H129" s="327">
        <v>20011</v>
      </c>
      <c r="I129" s="712"/>
      <c r="J129" s="714"/>
      <c r="K129" s="712"/>
      <c r="L129" s="715">
        <v>1466162.5466697502</v>
      </c>
      <c r="M129" s="327">
        <v>4433.8899999999994</v>
      </c>
      <c r="N129" s="712"/>
      <c r="O129" s="730">
        <v>307103.05</v>
      </c>
      <c r="P129" s="327">
        <v>585.22</v>
      </c>
      <c r="Q129" s="712">
        <v>1</v>
      </c>
      <c r="R129" s="716">
        <v>104054.57909343201</v>
      </c>
      <c r="S129" s="718">
        <v>451.92</v>
      </c>
      <c r="T129" s="712"/>
      <c r="U129" s="46"/>
      <c r="V129" s="45"/>
      <c r="W129" s="46"/>
      <c r="X129" s="45"/>
      <c r="Y129" s="46"/>
      <c r="Z129" s="45"/>
      <c r="AA129" s="46"/>
      <c r="AB129" s="45"/>
      <c r="AC129" s="976">
        <f t="shared" si="11"/>
        <v>24875.34705</v>
      </c>
      <c r="AD129" s="976">
        <f t="shared" si="4"/>
        <v>1441287.1996197503</v>
      </c>
      <c r="AE129" s="976">
        <f t="shared" si="5"/>
        <v>331978.39704999997</v>
      </c>
      <c r="AF129" s="976"/>
      <c r="AG129" s="976"/>
      <c r="AH129" s="976"/>
      <c r="AI129" s="974">
        <f t="shared" si="6"/>
        <v>1773265.5966697503</v>
      </c>
      <c r="AJ129" s="974">
        <f t="shared" si="12"/>
        <v>1916900.11</v>
      </c>
      <c r="AL129" s="954"/>
      <c r="AM129" s="954">
        <f t="shared" si="9"/>
        <v>307103.05</v>
      </c>
      <c r="AN129" s="976">
        <f t="shared" si="13"/>
        <v>331978.39704999997</v>
      </c>
      <c r="AO129" s="984">
        <f t="shared" si="8"/>
        <v>2248878.5070500001</v>
      </c>
      <c r="AQ129" s="976"/>
      <c r="AR129" s="954"/>
    </row>
    <row r="130" spans="1:44" ht="15" x14ac:dyDescent="0.25">
      <c r="A130" s="954"/>
      <c r="B130" s="161">
        <f>'1. LDC Info'!$F$18-2</f>
        <v>2014</v>
      </c>
      <c r="C130" s="735" t="s">
        <v>112</v>
      </c>
      <c r="D130" s="716">
        <v>6986423.6910268273</v>
      </c>
      <c r="E130" s="712"/>
      <c r="F130" s="715">
        <v>1583158.7049028678</v>
      </c>
      <c r="G130" s="712"/>
      <c r="H130" s="327">
        <f>23970.97/1.081</f>
        <v>22174.810360777061</v>
      </c>
      <c r="I130" s="712"/>
      <c r="J130" s="714"/>
      <c r="K130" s="712"/>
      <c r="L130" s="715">
        <v>1593511.2608233117</v>
      </c>
      <c r="M130" s="327">
        <v>4205.67</v>
      </c>
      <c r="N130" s="712"/>
      <c r="O130" s="730">
        <v>325023.05000000005</v>
      </c>
      <c r="P130" s="327">
        <v>550.09</v>
      </c>
      <c r="Q130" s="712">
        <v>1</v>
      </c>
      <c r="R130" s="716">
        <v>113770.8603145236</v>
      </c>
      <c r="S130" s="718">
        <v>451.92</v>
      </c>
      <c r="T130" s="712"/>
      <c r="U130" s="46"/>
      <c r="V130" s="45"/>
      <c r="W130" s="46"/>
      <c r="X130" s="45"/>
      <c r="Y130" s="46"/>
      <c r="Z130" s="45"/>
      <c r="AA130" s="46"/>
      <c r="AB130" s="45"/>
      <c r="AC130" s="976">
        <f t="shared" si="11"/>
        <v>26326.867050000004</v>
      </c>
      <c r="AD130" s="976">
        <f t="shared" si="4"/>
        <v>1567184.3937733117</v>
      </c>
      <c r="AE130" s="976">
        <f t="shared" si="5"/>
        <v>351349.91705000005</v>
      </c>
      <c r="AF130" s="976"/>
      <c r="AG130" s="976"/>
      <c r="AH130" s="976"/>
      <c r="AI130" s="974">
        <f t="shared" si="6"/>
        <v>1918534.3108233118</v>
      </c>
      <c r="AJ130" s="974">
        <f t="shared" si="12"/>
        <v>2073935.59</v>
      </c>
      <c r="AL130" s="954"/>
      <c r="AM130" s="954">
        <f t="shared" si="9"/>
        <v>325023.05000000005</v>
      </c>
      <c r="AN130" s="976">
        <f t="shared" si="13"/>
        <v>351349.91705000005</v>
      </c>
      <c r="AO130" s="984">
        <f t="shared" si="8"/>
        <v>2425285.5070500001</v>
      </c>
      <c r="AQ130" s="976"/>
      <c r="AR130" s="954"/>
    </row>
    <row r="131" spans="1:44" ht="15" x14ac:dyDescent="0.25">
      <c r="A131" s="954"/>
      <c r="B131" s="161">
        <f>'1. LDC Info'!$F$18-2</f>
        <v>2014</v>
      </c>
      <c r="C131" s="735" t="s">
        <v>113</v>
      </c>
      <c r="D131" s="716">
        <v>7166813.4135060133</v>
      </c>
      <c r="E131" s="712"/>
      <c r="F131" s="715">
        <v>1561805.6244218317</v>
      </c>
      <c r="G131" s="712"/>
      <c r="H131" s="721">
        <v>21651</v>
      </c>
      <c r="I131" s="712"/>
      <c r="J131" s="714"/>
      <c r="K131" s="712"/>
      <c r="L131" s="715">
        <v>1612793.4517946348</v>
      </c>
      <c r="M131" s="327">
        <v>4410.21</v>
      </c>
      <c r="N131" s="712"/>
      <c r="O131" s="730">
        <v>339893.81</v>
      </c>
      <c r="P131" s="327">
        <v>571.20000000000005</v>
      </c>
      <c r="Q131" s="712">
        <v>1</v>
      </c>
      <c r="R131" s="716">
        <v>130039.9814986124</v>
      </c>
      <c r="S131" s="718">
        <v>451.92</v>
      </c>
      <c r="T131" s="712"/>
      <c r="U131" s="46"/>
      <c r="V131" s="45"/>
      <c r="W131" s="46"/>
      <c r="X131" s="45"/>
      <c r="Y131" s="46"/>
      <c r="Z131" s="45"/>
      <c r="AA131" s="46"/>
      <c r="AB131" s="45"/>
      <c r="AC131" s="976">
        <f t="shared" si="11"/>
        <v>27531.39861</v>
      </c>
      <c r="AD131" s="976">
        <f t="shared" si="4"/>
        <v>1585262.0531846348</v>
      </c>
      <c r="AE131" s="976">
        <f t="shared" si="5"/>
        <v>367425.20860999997</v>
      </c>
      <c r="AF131" s="976"/>
      <c r="AG131" s="976"/>
      <c r="AH131" s="976"/>
      <c r="AI131" s="974">
        <f t="shared" si="6"/>
        <v>1952687.2617946349</v>
      </c>
      <c r="AJ131" s="974">
        <f t="shared" si="12"/>
        <v>2110854.9300000002</v>
      </c>
      <c r="AL131" s="954"/>
      <c r="AM131" s="954">
        <f t="shared" si="9"/>
        <v>339893.81</v>
      </c>
      <c r="AN131" s="976">
        <f t="shared" si="13"/>
        <v>367425.20860999997</v>
      </c>
      <c r="AO131" s="984">
        <f t="shared" si="8"/>
        <v>2478280.1386100003</v>
      </c>
      <c r="AQ131" s="976"/>
      <c r="AR131" s="954"/>
    </row>
    <row r="132" spans="1:44" ht="15" x14ac:dyDescent="0.25">
      <c r="A132" s="954"/>
      <c r="B132" s="161">
        <f>'1. LDC Info'!$F$18-2</f>
        <v>2014</v>
      </c>
      <c r="C132" s="735" t="s">
        <v>103</v>
      </c>
      <c r="D132" s="724">
        <v>5938552.1091581872</v>
      </c>
      <c r="E132" s="712"/>
      <c r="F132" s="737">
        <v>1232093.6910268271</v>
      </c>
      <c r="G132" s="712"/>
      <c r="H132" s="327">
        <v>21651</v>
      </c>
      <c r="I132" s="712"/>
      <c r="J132" s="719"/>
      <c r="K132" s="720"/>
      <c r="L132" s="715">
        <v>1449575.0875023128</v>
      </c>
      <c r="M132" s="327">
        <v>4282.5700000000006</v>
      </c>
      <c r="N132" s="712"/>
      <c r="O132" s="730">
        <v>300631.61</v>
      </c>
      <c r="P132" s="327">
        <v>561.03</v>
      </c>
      <c r="Q132" s="712">
        <v>1</v>
      </c>
      <c r="R132" s="716">
        <v>146650.72155411655</v>
      </c>
      <c r="S132" s="718">
        <v>454.47</v>
      </c>
      <c r="T132" s="712"/>
      <c r="U132" s="46"/>
      <c r="V132" s="45"/>
      <c r="W132" s="46"/>
      <c r="X132" s="45"/>
      <c r="Y132" s="46"/>
      <c r="Z132" s="45"/>
      <c r="AA132" s="46"/>
      <c r="AB132" s="45"/>
      <c r="AC132" s="976">
        <f t="shared" si="11"/>
        <v>24351.16041</v>
      </c>
      <c r="AD132" s="976">
        <f t="shared" si="4"/>
        <v>1425223.9270923128</v>
      </c>
      <c r="AE132" s="976">
        <f t="shared" si="5"/>
        <v>324982.77041</v>
      </c>
      <c r="AF132" s="976"/>
      <c r="AG132" s="976"/>
      <c r="AH132" s="976"/>
      <c r="AI132" s="974">
        <f t="shared" si="6"/>
        <v>1750206.6975023127</v>
      </c>
      <c r="AJ132" s="974">
        <f t="shared" si="12"/>
        <v>1891973.44</v>
      </c>
      <c r="AL132" s="954"/>
      <c r="AM132" s="954">
        <f t="shared" si="9"/>
        <v>300631.61</v>
      </c>
      <c r="AN132" s="976">
        <f t="shared" si="13"/>
        <v>324982.77041</v>
      </c>
      <c r="AO132" s="984">
        <f t="shared" si="8"/>
        <v>2216956.2104099998</v>
      </c>
      <c r="AQ132" s="976"/>
      <c r="AR132" s="954"/>
    </row>
    <row r="133" spans="1:44" ht="15" x14ac:dyDescent="0.25">
      <c r="A133" s="954"/>
      <c r="B133" s="161">
        <f>'1. LDC Info'!$F$18-2</f>
        <v>2014</v>
      </c>
      <c r="C133" s="735" t="s">
        <v>104</v>
      </c>
      <c r="D133" s="716">
        <v>6303403.6725254394</v>
      </c>
      <c r="E133" s="712"/>
      <c r="F133" s="715">
        <v>1164867.7520814061</v>
      </c>
      <c r="G133" s="712"/>
      <c r="H133" s="327">
        <v>21651</v>
      </c>
      <c r="I133" s="712"/>
      <c r="J133" s="719"/>
      <c r="K133" s="720"/>
      <c r="L133" s="715">
        <v>1340330.8656336726</v>
      </c>
      <c r="M133" s="327">
        <v>3646.57</v>
      </c>
      <c r="N133" s="712"/>
      <c r="O133" s="730">
        <v>285924.25000000006</v>
      </c>
      <c r="P133" s="327">
        <v>532.23</v>
      </c>
      <c r="Q133" s="712">
        <v>1</v>
      </c>
      <c r="R133" s="716">
        <v>173266.73450508789</v>
      </c>
      <c r="S133" s="718">
        <v>454.47</v>
      </c>
      <c r="T133" s="712"/>
      <c r="U133" s="46"/>
      <c r="V133" s="45"/>
      <c r="W133" s="46"/>
      <c r="X133" s="45"/>
      <c r="Y133" s="46"/>
      <c r="Z133" s="45"/>
      <c r="AA133" s="46"/>
      <c r="AB133" s="45"/>
      <c r="AC133" s="976">
        <f t="shared" si="11"/>
        <v>23159.864250000006</v>
      </c>
      <c r="AD133" s="976">
        <f t="shared" si="4"/>
        <v>1317171.0013836725</v>
      </c>
      <c r="AE133" s="976">
        <f t="shared" si="5"/>
        <v>309084.11425000004</v>
      </c>
      <c r="AF133" s="976"/>
      <c r="AG133" s="976"/>
      <c r="AH133" s="976"/>
      <c r="AI133" s="974">
        <f t="shared" si="6"/>
        <v>1626255.1156336726</v>
      </c>
      <c r="AJ133" s="974">
        <f t="shared" si="12"/>
        <v>1757981.78</v>
      </c>
      <c r="AL133" s="954"/>
      <c r="AM133" s="954">
        <f t="shared" si="9"/>
        <v>285924.25000000006</v>
      </c>
      <c r="AN133" s="976">
        <f t="shared" si="13"/>
        <v>309084.11425000004</v>
      </c>
      <c r="AO133" s="984">
        <f t="shared" si="8"/>
        <v>2067065.8942500001</v>
      </c>
      <c r="AQ133" s="976"/>
      <c r="AR133" s="954"/>
    </row>
    <row r="134" spans="1:44" ht="15" x14ac:dyDescent="0.25">
      <c r="A134" s="954"/>
      <c r="B134" s="161">
        <f>'1. LDC Info'!$F$18-2</f>
        <v>2014</v>
      </c>
      <c r="C134" s="735" t="s">
        <v>105</v>
      </c>
      <c r="D134" s="716">
        <v>7427574.6716003697</v>
      </c>
      <c r="E134" s="712"/>
      <c r="F134" s="715">
        <v>1256883.7465309899</v>
      </c>
      <c r="G134" s="712"/>
      <c r="H134" s="721">
        <v>21651</v>
      </c>
      <c r="I134" s="712"/>
      <c r="J134" s="719"/>
      <c r="K134" s="720"/>
      <c r="L134" s="715">
        <v>1345578.5391859389</v>
      </c>
      <c r="M134" s="327">
        <v>3460.49</v>
      </c>
      <c r="N134" s="712"/>
      <c r="O134" s="730">
        <v>263843.94</v>
      </c>
      <c r="P134" s="327">
        <v>464.51</v>
      </c>
      <c r="Q134" s="712">
        <v>1</v>
      </c>
      <c r="R134" s="716">
        <v>186219.16743755783</v>
      </c>
      <c r="S134" s="718">
        <v>454.47</v>
      </c>
      <c r="T134" s="712"/>
      <c r="U134" s="46"/>
      <c r="V134" s="45"/>
      <c r="W134" s="46"/>
      <c r="X134" s="45"/>
      <c r="Y134" s="46"/>
      <c r="Z134" s="45"/>
      <c r="AA134" s="46"/>
      <c r="AB134" s="45"/>
      <c r="AC134" s="976">
        <f t="shared" si="11"/>
        <v>21371.35914</v>
      </c>
      <c r="AD134" s="976">
        <f t="shared" si="4"/>
        <v>1324207.1800459388</v>
      </c>
      <c r="AE134" s="976">
        <f t="shared" si="5"/>
        <v>285215.29914000002</v>
      </c>
      <c r="AF134" s="976"/>
      <c r="AG134" s="976"/>
      <c r="AH134" s="976"/>
      <c r="AI134" s="974">
        <f t="shared" si="6"/>
        <v>1609422.4791859388</v>
      </c>
      <c r="AJ134" s="974">
        <f t="shared" si="12"/>
        <v>1739785.6999999997</v>
      </c>
      <c r="AL134" s="954"/>
      <c r="AM134" s="954">
        <f t="shared" si="9"/>
        <v>263843.94</v>
      </c>
      <c r="AN134" s="976">
        <f t="shared" si="13"/>
        <v>285215.29914000002</v>
      </c>
      <c r="AO134" s="984">
        <f t="shared" si="8"/>
        <v>2025000.9991399997</v>
      </c>
      <c r="AQ134" s="976"/>
      <c r="AR134" s="954"/>
    </row>
    <row r="135" spans="1:44" ht="15" x14ac:dyDescent="0.25">
      <c r="A135" s="954"/>
      <c r="B135" s="161">
        <f>'1. LDC Info'!$F$18-2</f>
        <v>2014</v>
      </c>
      <c r="C135" s="735" t="s">
        <v>102</v>
      </c>
      <c r="D135" s="716">
        <v>8539119.8889916744</v>
      </c>
      <c r="E135" s="712">
        <v>12165</v>
      </c>
      <c r="F135" s="715">
        <v>1425043.3302497689</v>
      </c>
      <c r="G135" s="712">
        <v>785</v>
      </c>
      <c r="H135" s="721">
        <v>21651</v>
      </c>
      <c r="I135" s="712">
        <v>40</v>
      </c>
      <c r="J135" s="719"/>
      <c r="K135" s="720"/>
      <c r="L135" s="715">
        <v>1497189.5602960221</v>
      </c>
      <c r="M135" s="327">
        <v>3501.69</v>
      </c>
      <c r="N135" s="712">
        <v>37</v>
      </c>
      <c r="O135" s="730">
        <v>269667.71999999997</v>
      </c>
      <c r="P135" s="327">
        <v>442.06</v>
      </c>
      <c r="Q135" s="712">
        <v>1</v>
      </c>
      <c r="R135" s="716">
        <v>202125.64292321925</v>
      </c>
      <c r="S135" s="718">
        <v>454.47</v>
      </c>
      <c r="T135" s="712">
        <v>2771</v>
      </c>
      <c r="U135" s="46"/>
      <c r="V135" s="45"/>
      <c r="W135" s="46"/>
      <c r="X135" s="45"/>
      <c r="Y135" s="46"/>
      <c r="Z135" s="45"/>
      <c r="AA135" s="46"/>
      <c r="AB135" s="45"/>
      <c r="AC135" s="976">
        <f t="shared" si="11"/>
        <v>21843.085319999998</v>
      </c>
      <c r="AD135" s="976">
        <f t="shared" si="4"/>
        <v>1475346.474976022</v>
      </c>
      <c r="AE135" s="976">
        <f t="shared" si="5"/>
        <v>291510.80531999998</v>
      </c>
      <c r="AF135" s="976"/>
      <c r="AG135" s="976"/>
      <c r="AH135" s="976"/>
      <c r="AI135" s="974">
        <f t="shared" si="6"/>
        <v>1766857.2802960221</v>
      </c>
      <c r="AJ135" s="974">
        <f t="shared" si="12"/>
        <v>1909972.7199999997</v>
      </c>
      <c r="AK135" s="976">
        <f>SUM(AJ124:AJ135)</f>
        <v>22446556.709999997</v>
      </c>
      <c r="AL135" s="954">
        <v>22446556.75</v>
      </c>
      <c r="AM135" s="954">
        <f t="shared" si="9"/>
        <v>269667.71999999997</v>
      </c>
      <c r="AN135" s="976">
        <f t="shared" si="13"/>
        <v>291510.80531999998</v>
      </c>
      <c r="AO135" s="984">
        <f t="shared" si="8"/>
        <v>2201483.5253199995</v>
      </c>
      <c r="AQ135" s="976"/>
      <c r="AR135" s="954"/>
    </row>
    <row r="136" spans="1:44" x14ac:dyDescent="0.2">
      <c r="B136" s="161">
        <f>'1. LDC Info'!$F$18-1</f>
        <v>2015</v>
      </c>
      <c r="C136" s="735" t="s">
        <v>106</v>
      </c>
      <c r="D136" s="741"/>
      <c r="E136" s="712"/>
      <c r="F136" s="713"/>
      <c r="G136" s="712"/>
      <c r="H136" s="715"/>
      <c r="I136" s="712"/>
      <c r="J136" s="719"/>
      <c r="K136" s="720"/>
      <c r="L136" s="715"/>
      <c r="M136" s="327"/>
      <c r="N136" s="712"/>
      <c r="O136" s="716"/>
      <c r="P136" s="327"/>
      <c r="Q136" s="712"/>
      <c r="R136" s="716"/>
      <c r="S136" s="327"/>
      <c r="T136" s="712"/>
      <c r="U136" s="46"/>
      <c r="V136" s="45"/>
      <c r="W136" s="46"/>
      <c r="X136" s="45"/>
      <c r="Y136" s="46"/>
      <c r="Z136" s="45"/>
      <c r="AA136" s="46"/>
      <c r="AB136" s="45"/>
      <c r="AK136" s="974"/>
      <c r="AL136" s="954">
        <f>AL135-AK135</f>
        <v>4.0000002831220627E-2</v>
      </c>
    </row>
    <row r="137" spans="1:44" x14ac:dyDescent="0.2">
      <c r="B137" s="161">
        <f>'1. LDC Info'!$F$18-1</f>
        <v>2015</v>
      </c>
      <c r="C137" s="735" t="s">
        <v>107</v>
      </c>
      <c r="D137" s="716"/>
      <c r="E137" s="712"/>
      <c r="F137" s="713"/>
      <c r="G137" s="712"/>
      <c r="H137" s="715"/>
      <c r="I137" s="712"/>
      <c r="J137" s="719"/>
      <c r="K137" s="720"/>
      <c r="L137" s="715"/>
      <c r="M137" s="327"/>
      <c r="N137" s="712"/>
      <c r="O137" s="716"/>
      <c r="P137" s="327"/>
      <c r="Q137" s="712"/>
      <c r="R137" s="716"/>
      <c r="S137" s="327"/>
      <c r="T137" s="712"/>
      <c r="U137" s="46"/>
      <c r="V137" s="45"/>
      <c r="W137" s="46"/>
      <c r="X137" s="45"/>
      <c r="Y137" s="46"/>
      <c r="Z137" s="45"/>
      <c r="AA137" s="46"/>
      <c r="AB137" s="45"/>
      <c r="AL137" s="954"/>
    </row>
    <row r="138" spans="1:44" x14ac:dyDescent="0.2">
      <c r="B138" s="161">
        <f>'1. LDC Info'!$F$18-1</f>
        <v>2015</v>
      </c>
      <c r="C138" s="735" t="s">
        <v>108</v>
      </c>
      <c r="D138" s="716"/>
      <c r="E138" s="1253"/>
      <c r="F138" s="713"/>
      <c r="G138" s="712"/>
      <c r="H138" s="715"/>
      <c r="I138" s="712"/>
      <c r="J138" s="719"/>
      <c r="K138" s="720"/>
      <c r="L138" s="715"/>
      <c r="M138" s="327"/>
      <c r="N138" s="712"/>
      <c r="O138" s="716"/>
      <c r="P138" s="327"/>
      <c r="Q138" s="712"/>
      <c r="R138" s="716"/>
      <c r="S138" s="327"/>
      <c r="T138" s="712"/>
      <c r="U138" s="46"/>
      <c r="V138" s="45"/>
      <c r="W138" s="46"/>
      <c r="X138" s="45"/>
      <c r="Y138" s="46"/>
      <c r="Z138" s="45"/>
      <c r="AA138" s="46"/>
      <c r="AB138" s="45"/>
      <c r="AL138" s="976"/>
    </row>
    <row r="139" spans="1:44" x14ac:dyDescent="0.2">
      <c r="B139" s="161">
        <f>'1. LDC Info'!$F$18-1</f>
        <v>2015</v>
      </c>
      <c r="C139" s="735" t="s">
        <v>109</v>
      </c>
      <c r="D139" s="716"/>
      <c r="E139" s="1253"/>
      <c r="F139" s="713"/>
      <c r="G139" s="712"/>
      <c r="H139" s="715"/>
      <c r="I139" s="712"/>
      <c r="J139" s="719"/>
      <c r="K139" s="720"/>
      <c r="L139" s="715"/>
      <c r="M139" s="327"/>
      <c r="N139" s="712"/>
      <c r="O139" s="716"/>
      <c r="P139" s="327"/>
      <c r="Q139" s="712"/>
      <c r="R139" s="716"/>
      <c r="S139" s="327"/>
      <c r="T139" s="712"/>
      <c r="U139" s="46"/>
      <c r="V139" s="45"/>
      <c r="W139" s="46"/>
      <c r="X139" s="45"/>
      <c r="Y139" s="46"/>
      <c r="Z139" s="45"/>
      <c r="AA139" s="46"/>
      <c r="AB139" s="45"/>
    </row>
    <row r="140" spans="1:44" x14ac:dyDescent="0.2">
      <c r="B140" s="161">
        <f>'1. LDC Info'!$F$18-1</f>
        <v>2015</v>
      </c>
      <c r="C140" s="735" t="s">
        <v>110</v>
      </c>
      <c r="D140" s="716"/>
      <c r="E140" s="712"/>
      <c r="F140" s="713"/>
      <c r="G140" s="712"/>
      <c r="H140" s="715"/>
      <c r="I140" s="712"/>
      <c r="J140" s="719"/>
      <c r="K140" s="720"/>
      <c r="L140" s="715"/>
      <c r="M140" s="327"/>
      <c r="N140" s="712"/>
      <c r="O140" s="716"/>
      <c r="P140" s="327"/>
      <c r="Q140" s="712"/>
      <c r="R140" s="716"/>
      <c r="S140" s="327"/>
      <c r="T140" s="712"/>
      <c r="U140" s="46"/>
      <c r="V140" s="45"/>
      <c r="W140" s="46"/>
      <c r="X140" s="45"/>
      <c r="Y140" s="46"/>
      <c r="Z140" s="45"/>
      <c r="AA140" s="46"/>
      <c r="AB140" s="45"/>
      <c r="AI140" s="954">
        <f>SUM(O124:O135)</f>
        <v>3453199.0199999996</v>
      </c>
    </row>
    <row r="141" spans="1:44" x14ac:dyDescent="0.2">
      <c r="B141" s="161">
        <f>'1. LDC Info'!$F$18-1</f>
        <v>2015</v>
      </c>
      <c r="C141" s="735" t="s">
        <v>111</v>
      </c>
      <c r="D141" s="716"/>
      <c r="E141" s="712"/>
      <c r="F141" s="713"/>
      <c r="G141" s="712"/>
      <c r="H141" s="715"/>
      <c r="I141" s="712"/>
      <c r="J141" s="719"/>
      <c r="K141" s="720"/>
      <c r="L141" s="715"/>
      <c r="M141" s="327"/>
      <c r="N141" s="712"/>
      <c r="O141" s="716"/>
      <c r="P141" s="327"/>
      <c r="Q141" s="712"/>
      <c r="R141" s="716"/>
      <c r="S141" s="327"/>
      <c r="T141" s="712"/>
      <c r="U141" s="46"/>
      <c r="V141" s="45"/>
      <c r="W141" s="46"/>
      <c r="X141" s="45"/>
      <c r="Y141" s="46"/>
      <c r="Z141" s="45"/>
      <c r="AA141" s="46"/>
      <c r="AB141" s="45"/>
      <c r="AI141" s="976">
        <f>SUM(AI124:AI135)</f>
        <v>20764622.303422756</v>
      </c>
    </row>
    <row r="142" spans="1:44" x14ac:dyDescent="0.2">
      <c r="B142" s="161">
        <f>'1. LDC Info'!$F$18-1</f>
        <v>2015</v>
      </c>
      <c r="C142" s="735" t="s">
        <v>112</v>
      </c>
      <c r="D142" s="716"/>
      <c r="E142" s="712"/>
      <c r="F142" s="713"/>
      <c r="G142" s="712"/>
      <c r="H142" s="715"/>
      <c r="I142" s="712"/>
      <c r="J142" s="719"/>
      <c r="K142" s="720"/>
      <c r="L142" s="715"/>
      <c r="M142" s="327"/>
      <c r="N142" s="712"/>
      <c r="O142" s="716"/>
      <c r="P142" s="327"/>
      <c r="Q142" s="712"/>
      <c r="R142" s="716"/>
      <c r="S142" s="327"/>
      <c r="T142" s="712"/>
      <c r="U142" s="46"/>
      <c r="V142" s="45"/>
      <c r="W142" s="46"/>
      <c r="X142" s="45"/>
      <c r="Y142" s="46"/>
      <c r="Z142" s="45"/>
      <c r="AA142" s="46"/>
      <c r="AB142" s="45"/>
      <c r="AI142" s="976">
        <f>AI141-AI140</f>
        <v>17311423.283422757</v>
      </c>
    </row>
    <row r="143" spans="1:44" x14ac:dyDescent="0.2">
      <c r="B143" s="161">
        <f>'1. LDC Info'!$F$18-1</f>
        <v>2015</v>
      </c>
      <c r="C143" s="735" t="s">
        <v>113</v>
      </c>
      <c r="D143" s="716"/>
      <c r="E143" s="712"/>
      <c r="F143" s="713"/>
      <c r="G143" s="712"/>
      <c r="H143" s="715"/>
      <c r="I143" s="712"/>
      <c r="J143" s="719"/>
      <c r="K143" s="720"/>
      <c r="L143" s="715"/>
      <c r="M143" s="327"/>
      <c r="N143" s="712"/>
      <c r="O143" s="716"/>
      <c r="P143" s="327"/>
      <c r="Q143" s="712"/>
      <c r="R143" s="716"/>
      <c r="S143" s="327"/>
      <c r="T143" s="712"/>
      <c r="U143" s="46"/>
      <c r="V143" s="45"/>
      <c r="W143" s="46"/>
      <c r="X143" s="45"/>
      <c r="Y143" s="46"/>
      <c r="Z143" s="45"/>
      <c r="AA143" s="46"/>
      <c r="AB143" s="45"/>
    </row>
    <row r="144" spans="1:44" x14ac:dyDescent="0.2">
      <c r="B144" s="161">
        <f>'1. LDC Info'!$F$18-1</f>
        <v>2015</v>
      </c>
      <c r="C144" s="735" t="s">
        <v>103</v>
      </c>
      <c r="D144" s="716"/>
      <c r="E144" s="712"/>
      <c r="F144" s="713"/>
      <c r="G144" s="712"/>
      <c r="H144" s="715"/>
      <c r="I144" s="712"/>
      <c r="J144" s="719"/>
      <c r="K144" s="720"/>
      <c r="L144" s="715"/>
      <c r="M144" s="327"/>
      <c r="N144" s="712"/>
      <c r="O144" s="716"/>
      <c r="P144" s="327"/>
      <c r="Q144" s="712"/>
      <c r="R144" s="716"/>
      <c r="S144" s="327"/>
      <c r="T144" s="712"/>
      <c r="U144" s="46"/>
      <c r="V144" s="45"/>
      <c r="W144" s="46"/>
      <c r="X144" s="45"/>
      <c r="Y144" s="46"/>
      <c r="Z144" s="45"/>
      <c r="AA144" s="46"/>
      <c r="AB144" s="45"/>
    </row>
    <row r="145" spans="2:28" x14ac:dyDescent="0.2">
      <c r="B145" s="161">
        <f>'1. LDC Info'!$F$18-1</f>
        <v>2015</v>
      </c>
      <c r="C145" s="735" t="s">
        <v>104</v>
      </c>
      <c r="D145" s="716"/>
      <c r="E145" s="712"/>
      <c r="F145" s="713"/>
      <c r="G145" s="712"/>
      <c r="H145" s="715"/>
      <c r="I145" s="712"/>
      <c r="J145" s="719"/>
      <c r="K145" s="720"/>
      <c r="L145" s="715"/>
      <c r="M145" s="327"/>
      <c r="N145" s="712"/>
      <c r="O145" s="716"/>
      <c r="P145" s="327"/>
      <c r="Q145" s="712"/>
      <c r="R145" s="716"/>
      <c r="S145" s="327"/>
      <c r="T145" s="712"/>
      <c r="U145" s="46"/>
      <c r="V145" s="45"/>
      <c r="W145" s="46"/>
      <c r="X145" s="45"/>
      <c r="Y145" s="46"/>
      <c r="Z145" s="45"/>
      <c r="AA145" s="46"/>
      <c r="AB145" s="45"/>
    </row>
    <row r="146" spans="2:28" x14ac:dyDescent="0.2">
      <c r="B146" s="161">
        <f>'1. LDC Info'!$F$18-1</f>
        <v>2015</v>
      </c>
      <c r="C146" s="735" t="s">
        <v>105</v>
      </c>
      <c r="D146" s="716"/>
      <c r="E146" s="712"/>
      <c r="F146" s="713"/>
      <c r="G146" s="712"/>
      <c r="H146" s="715"/>
      <c r="I146" s="712"/>
      <c r="J146" s="719"/>
      <c r="K146" s="720"/>
      <c r="L146" s="715"/>
      <c r="M146" s="327"/>
      <c r="N146" s="712"/>
      <c r="O146" s="716"/>
      <c r="P146" s="327"/>
      <c r="Q146" s="712"/>
      <c r="R146" s="716"/>
      <c r="S146" s="327"/>
      <c r="T146" s="712"/>
      <c r="U146" s="46"/>
      <c r="V146" s="45"/>
      <c r="W146" s="46"/>
      <c r="X146" s="45"/>
      <c r="Y146" s="46"/>
      <c r="Z146" s="45"/>
      <c r="AA146" s="46"/>
      <c r="AB146" s="45"/>
    </row>
    <row r="147" spans="2:28" x14ac:dyDescent="0.2">
      <c r="B147" s="161">
        <f>'1. LDC Info'!$F$18-1</f>
        <v>2015</v>
      </c>
      <c r="C147" s="735" t="s">
        <v>102</v>
      </c>
      <c r="D147" s="716"/>
      <c r="E147" s="712"/>
      <c r="F147" s="713"/>
      <c r="G147" s="712"/>
      <c r="H147" s="715"/>
      <c r="I147" s="712"/>
      <c r="J147" s="719"/>
      <c r="K147" s="720"/>
      <c r="L147" s="715"/>
      <c r="M147" s="327"/>
      <c r="N147" s="712"/>
      <c r="O147" s="716"/>
      <c r="P147" s="327"/>
      <c r="Q147" s="712"/>
      <c r="R147" s="716"/>
      <c r="S147" s="327"/>
      <c r="T147" s="712"/>
      <c r="U147" s="46"/>
      <c r="V147" s="45"/>
      <c r="W147" s="46"/>
      <c r="X147" s="45"/>
      <c r="Y147" s="46"/>
      <c r="Z147" s="45"/>
      <c r="AA147" s="46"/>
      <c r="AB147" s="45"/>
    </row>
    <row r="148" spans="2:28" x14ac:dyDescent="0.2">
      <c r="B148" s="161" t="str">
        <f>'1. LDC Info'!$F$18</f>
        <v>2016</v>
      </c>
      <c r="C148" s="735" t="s">
        <v>106</v>
      </c>
      <c r="D148" s="716"/>
      <c r="E148" s="712"/>
      <c r="F148" s="715"/>
      <c r="G148" s="712"/>
      <c r="H148" s="715"/>
      <c r="I148" s="712"/>
      <c r="J148" s="719"/>
      <c r="K148" s="720"/>
      <c r="L148" s="715"/>
      <c r="M148" s="327"/>
      <c r="N148" s="712"/>
      <c r="O148" s="716"/>
      <c r="P148" s="327"/>
      <c r="Q148" s="712"/>
      <c r="R148" s="716"/>
      <c r="S148" s="327"/>
      <c r="T148" s="712"/>
      <c r="U148" s="46"/>
      <c r="V148" s="45"/>
      <c r="W148" s="46"/>
      <c r="X148" s="45"/>
      <c r="Y148" s="46"/>
      <c r="Z148" s="45"/>
      <c r="AA148" s="46"/>
      <c r="AB148" s="45"/>
    </row>
    <row r="149" spans="2:28" x14ac:dyDescent="0.2">
      <c r="B149" s="161" t="str">
        <f>'1. LDC Info'!$F$18</f>
        <v>2016</v>
      </c>
      <c r="C149" s="735" t="s">
        <v>107</v>
      </c>
      <c r="D149" s="716"/>
      <c r="E149" s="712"/>
      <c r="F149" s="715"/>
      <c r="G149" s="712"/>
      <c r="H149" s="715"/>
      <c r="I149" s="712"/>
      <c r="J149" s="719"/>
      <c r="K149" s="720"/>
      <c r="L149" s="715"/>
      <c r="M149" s="327"/>
      <c r="N149" s="712"/>
      <c r="O149" s="716"/>
      <c r="P149" s="327"/>
      <c r="Q149" s="712"/>
      <c r="R149" s="716"/>
      <c r="S149" s="327"/>
      <c r="T149" s="712"/>
      <c r="U149" s="46"/>
      <c r="V149" s="45"/>
      <c r="W149" s="46"/>
      <c r="X149" s="45"/>
      <c r="Y149" s="46"/>
      <c r="Z149" s="45"/>
      <c r="AA149" s="46"/>
      <c r="AB149" s="45"/>
    </row>
    <row r="150" spans="2:28" x14ac:dyDescent="0.2">
      <c r="B150" s="161" t="str">
        <f>'1. LDC Info'!$F$18</f>
        <v>2016</v>
      </c>
      <c r="C150" s="735" t="s">
        <v>108</v>
      </c>
      <c r="D150" s="716"/>
      <c r="E150" s="712"/>
      <c r="F150" s="793"/>
      <c r="G150" s="712"/>
      <c r="H150" s="715"/>
      <c r="I150" s="712"/>
      <c r="J150" s="719"/>
      <c r="K150" s="720"/>
      <c r="L150" s="715"/>
      <c r="M150" s="327"/>
      <c r="N150" s="712"/>
      <c r="O150" s="716"/>
      <c r="P150" s="327"/>
      <c r="Q150" s="712"/>
      <c r="R150" s="723"/>
      <c r="S150" s="327"/>
      <c r="T150" s="712"/>
      <c r="U150" s="46"/>
      <c r="V150" s="45"/>
      <c r="W150" s="46"/>
      <c r="X150" s="45"/>
      <c r="Y150" s="46"/>
      <c r="Z150" s="45"/>
      <c r="AA150" s="46"/>
      <c r="AB150" s="45"/>
    </row>
    <row r="151" spans="2:28" x14ac:dyDescent="0.2">
      <c r="B151" s="161" t="str">
        <f>'1. LDC Info'!$F$18</f>
        <v>2016</v>
      </c>
      <c r="C151" s="735" t="s">
        <v>109</v>
      </c>
      <c r="D151" s="716"/>
      <c r="E151" s="712"/>
      <c r="F151" s="715"/>
      <c r="G151" s="712"/>
      <c r="H151" s="715"/>
      <c r="I151" s="712"/>
      <c r="J151" s="719"/>
      <c r="K151" s="720"/>
      <c r="L151" s="715"/>
      <c r="M151" s="327"/>
      <c r="N151" s="712"/>
      <c r="O151" s="716"/>
      <c r="P151" s="327"/>
      <c r="Q151" s="712"/>
      <c r="R151" s="716"/>
      <c r="S151" s="327"/>
      <c r="T151" s="712"/>
      <c r="U151" s="46"/>
      <c r="V151" s="45"/>
      <c r="W151" s="46"/>
      <c r="X151" s="45"/>
      <c r="Y151" s="46"/>
      <c r="Z151" s="45"/>
      <c r="AA151" s="46"/>
      <c r="AB151" s="45"/>
    </row>
    <row r="152" spans="2:28" x14ac:dyDescent="0.2">
      <c r="B152" s="161" t="str">
        <f>'1. LDC Info'!$F$18</f>
        <v>2016</v>
      </c>
      <c r="C152" s="735" t="s">
        <v>110</v>
      </c>
      <c r="D152" s="716"/>
      <c r="E152" s="712"/>
      <c r="F152" s="715"/>
      <c r="G152" s="712"/>
      <c r="H152" s="715"/>
      <c r="I152" s="712"/>
      <c r="J152" s="719"/>
      <c r="K152" s="720"/>
      <c r="L152" s="715"/>
      <c r="M152" s="327"/>
      <c r="N152" s="712"/>
      <c r="O152" s="716"/>
      <c r="P152" s="327"/>
      <c r="Q152" s="712"/>
      <c r="R152" s="716"/>
      <c r="S152" s="327"/>
      <c r="T152" s="712"/>
      <c r="U152" s="46"/>
      <c r="V152" s="45"/>
      <c r="W152" s="46"/>
      <c r="X152" s="45"/>
      <c r="Y152" s="46"/>
      <c r="Z152" s="45"/>
      <c r="AA152" s="46"/>
      <c r="AB152" s="45"/>
    </row>
    <row r="153" spans="2:28" x14ac:dyDescent="0.2">
      <c r="B153" s="161" t="str">
        <f>'1. LDC Info'!$F$18</f>
        <v>2016</v>
      </c>
      <c r="C153" s="735" t="s">
        <v>111</v>
      </c>
      <c r="D153" s="716"/>
      <c r="E153" s="712"/>
      <c r="F153" s="715"/>
      <c r="G153" s="712"/>
      <c r="H153" s="715"/>
      <c r="I153" s="712"/>
      <c r="J153" s="719"/>
      <c r="K153" s="720"/>
      <c r="L153" s="715"/>
      <c r="M153" s="327"/>
      <c r="N153" s="712"/>
      <c r="O153" s="716"/>
      <c r="P153" s="327"/>
      <c r="Q153" s="712"/>
      <c r="R153" s="716"/>
      <c r="S153" s="327"/>
      <c r="T153" s="712"/>
      <c r="U153" s="46"/>
      <c r="V153" s="45"/>
      <c r="W153" s="46"/>
      <c r="X153" s="45"/>
      <c r="Y153" s="46"/>
      <c r="Z153" s="45"/>
      <c r="AA153" s="46"/>
      <c r="AB153" s="45"/>
    </row>
    <row r="154" spans="2:28" x14ac:dyDescent="0.2">
      <c r="B154" s="161" t="str">
        <f>'1. LDC Info'!$F$18</f>
        <v>2016</v>
      </c>
      <c r="C154" s="735" t="s">
        <v>112</v>
      </c>
      <c r="D154" s="716"/>
      <c r="E154" s="712"/>
      <c r="F154" s="715"/>
      <c r="G154" s="712"/>
      <c r="H154" s="715"/>
      <c r="I154" s="712"/>
      <c r="J154" s="719"/>
      <c r="K154" s="720"/>
      <c r="L154" s="715"/>
      <c r="M154" s="327"/>
      <c r="N154" s="712"/>
      <c r="O154" s="716"/>
      <c r="P154" s="327"/>
      <c r="Q154" s="712"/>
      <c r="R154" s="716"/>
      <c r="S154" s="327"/>
      <c r="T154" s="712"/>
      <c r="U154" s="46"/>
      <c r="V154" s="45"/>
      <c r="W154" s="46"/>
      <c r="X154" s="45"/>
      <c r="Y154" s="46"/>
      <c r="Z154" s="45"/>
      <c r="AA154" s="46"/>
      <c r="AB154" s="45"/>
    </row>
    <row r="155" spans="2:28" x14ac:dyDescent="0.2">
      <c r="B155" s="161" t="str">
        <f>'1. LDC Info'!$F$18</f>
        <v>2016</v>
      </c>
      <c r="C155" s="735" t="s">
        <v>113</v>
      </c>
      <c r="D155" s="716"/>
      <c r="E155" s="712"/>
      <c r="F155" s="715"/>
      <c r="G155" s="712"/>
      <c r="H155" s="715"/>
      <c r="I155" s="712"/>
      <c r="J155" s="719"/>
      <c r="K155" s="720"/>
      <c r="L155" s="715"/>
      <c r="M155" s="327"/>
      <c r="N155" s="712"/>
      <c r="O155" s="716"/>
      <c r="P155" s="327"/>
      <c r="Q155" s="712"/>
      <c r="R155" s="716"/>
      <c r="S155" s="327"/>
      <c r="T155" s="712"/>
      <c r="U155" s="46"/>
      <c r="V155" s="45"/>
      <c r="W155" s="46"/>
      <c r="X155" s="45"/>
      <c r="Y155" s="46"/>
      <c r="Z155" s="45"/>
      <c r="AA155" s="46"/>
      <c r="AB155" s="45"/>
    </row>
    <row r="156" spans="2:28" x14ac:dyDescent="0.2">
      <c r="B156" s="161" t="str">
        <f>'1. LDC Info'!$F$18</f>
        <v>2016</v>
      </c>
      <c r="C156" s="735" t="s">
        <v>103</v>
      </c>
      <c r="D156" s="724"/>
      <c r="E156" s="712"/>
      <c r="F156" s="737"/>
      <c r="G156" s="712"/>
      <c r="H156" s="715"/>
      <c r="I156" s="712"/>
      <c r="J156" s="719"/>
      <c r="K156" s="720"/>
      <c r="L156" s="715"/>
      <c r="M156" s="327"/>
      <c r="N156" s="712"/>
      <c r="O156" s="716"/>
      <c r="P156" s="327"/>
      <c r="Q156" s="712"/>
      <c r="R156" s="724"/>
      <c r="S156" s="327"/>
      <c r="T156" s="712"/>
      <c r="U156" s="46"/>
      <c r="V156" s="45"/>
      <c r="W156" s="46"/>
      <c r="X156" s="45"/>
      <c r="Y156" s="46"/>
      <c r="Z156" s="45"/>
      <c r="AA156" s="46"/>
      <c r="AB156" s="45"/>
    </row>
    <row r="157" spans="2:28" x14ac:dyDescent="0.2">
      <c r="B157" s="161" t="str">
        <f>'1. LDC Info'!$F$18</f>
        <v>2016</v>
      </c>
      <c r="C157" s="735" t="s">
        <v>104</v>
      </c>
      <c r="D157" s="716"/>
      <c r="E157" s="712"/>
      <c r="F157" s="715"/>
      <c r="G157" s="712"/>
      <c r="H157" s="715"/>
      <c r="I157" s="712"/>
      <c r="J157" s="719"/>
      <c r="K157" s="720"/>
      <c r="L157" s="715"/>
      <c r="M157" s="327"/>
      <c r="N157" s="712"/>
      <c r="O157" s="716"/>
      <c r="P157" s="327"/>
      <c r="Q157" s="712"/>
      <c r="R157" s="716"/>
      <c r="S157" s="327"/>
      <c r="T157" s="712"/>
      <c r="U157" s="46"/>
      <c r="V157" s="45"/>
      <c r="W157" s="46"/>
      <c r="X157" s="45"/>
      <c r="Y157" s="46"/>
      <c r="Z157" s="45"/>
      <c r="AA157" s="46"/>
      <c r="AB157" s="45"/>
    </row>
    <row r="158" spans="2:28" x14ac:dyDescent="0.2">
      <c r="B158" s="161" t="str">
        <f>'1. LDC Info'!$F$18</f>
        <v>2016</v>
      </c>
      <c r="C158" s="735" t="s">
        <v>105</v>
      </c>
      <c r="D158" s="716"/>
      <c r="E158" s="712"/>
      <c r="F158" s="715"/>
      <c r="G158" s="712"/>
      <c r="H158" s="715"/>
      <c r="I158" s="712"/>
      <c r="J158" s="719"/>
      <c r="K158" s="720"/>
      <c r="L158" s="715"/>
      <c r="M158" s="327"/>
      <c r="N158" s="712"/>
      <c r="O158" s="716"/>
      <c r="P158" s="327"/>
      <c r="Q158" s="712"/>
      <c r="R158" s="716"/>
      <c r="S158" s="327"/>
      <c r="T158" s="712"/>
      <c r="U158" s="46"/>
      <c r="V158" s="45"/>
      <c r="W158" s="46"/>
      <c r="X158" s="45"/>
      <c r="Y158" s="46"/>
      <c r="Z158" s="45"/>
      <c r="AA158" s="46"/>
      <c r="AB158" s="45"/>
    </row>
    <row r="159" spans="2:28" ht="13.5" thickBot="1" x14ac:dyDescent="0.25">
      <c r="B159" s="161" t="str">
        <f>'1. LDC Info'!$F$18</f>
        <v>2016</v>
      </c>
      <c r="C159" s="734" t="s">
        <v>102</v>
      </c>
      <c r="D159" s="725"/>
      <c r="E159" s="726"/>
      <c r="F159" s="727"/>
      <c r="G159" s="726"/>
      <c r="H159" s="727"/>
      <c r="I159" s="726"/>
      <c r="J159" s="728"/>
      <c r="K159" s="729"/>
      <c r="L159" s="727"/>
      <c r="M159" s="328"/>
      <c r="N159" s="726"/>
      <c r="O159" s="725"/>
      <c r="P159" s="328"/>
      <c r="Q159" s="726"/>
      <c r="R159" s="725"/>
      <c r="S159" s="328"/>
      <c r="T159" s="726"/>
      <c r="U159" s="49"/>
      <c r="V159" s="48"/>
      <c r="W159" s="49"/>
      <c r="X159" s="48"/>
      <c r="Y159" s="49"/>
      <c r="Z159" s="48"/>
      <c r="AA159" s="49"/>
      <c r="AB159" s="48"/>
    </row>
    <row r="160" spans="2:28" x14ac:dyDescent="0.2">
      <c r="O160" s="50"/>
      <c r="P160" s="50"/>
      <c r="R160" s="50"/>
      <c r="S160" s="50"/>
    </row>
    <row r="161" spans="4:20" x14ac:dyDescent="0.2">
      <c r="D161" s="50"/>
    </row>
    <row r="162" spans="4:20" x14ac:dyDescent="0.2">
      <c r="D162" s="231"/>
      <c r="E162" s="232"/>
      <c r="F162" s="231"/>
      <c r="G162" s="232"/>
      <c r="H162" s="231"/>
      <c r="I162" s="232"/>
      <c r="J162" s="232"/>
      <c r="K162" s="232"/>
      <c r="L162" s="231"/>
      <c r="M162" s="231"/>
      <c r="N162" s="232"/>
      <c r="O162" s="231"/>
      <c r="P162" s="231"/>
      <c r="Q162" s="232"/>
      <c r="R162" s="231"/>
      <c r="S162" s="231"/>
      <c r="T162" s="232"/>
    </row>
    <row r="163" spans="4:20" x14ac:dyDescent="0.2">
      <c r="D163" s="231"/>
      <c r="E163" s="232"/>
      <c r="F163" s="231"/>
      <c r="G163" s="232"/>
      <c r="H163" s="231"/>
      <c r="I163" s="232"/>
      <c r="J163" s="232"/>
      <c r="K163" s="232"/>
      <c r="L163" s="231"/>
      <c r="M163" s="231"/>
      <c r="N163" s="232"/>
      <c r="O163" s="231"/>
      <c r="P163" s="231"/>
      <c r="Q163" s="232"/>
      <c r="R163" s="231"/>
      <c r="S163" s="231"/>
      <c r="T163" s="232"/>
    </row>
    <row r="164" spans="4:20" x14ac:dyDescent="0.2">
      <c r="D164" s="231"/>
      <c r="E164" s="232"/>
      <c r="F164" s="231"/>
      <c r="G164" s="232"/>
      <c r="H164" s="231"/>
      <c r="I164" s="232"/>
      <c r="J164" s="232"/>
      <c r="K164" s="232"/>
      <c r="L164" s="231"/>
      <c r="M164" s="231"/>
      <c r="N164" s="232"/>
      <c r="O164" s="231"/>
      <c r="P164" s="231"/>
      <c r="Q164" s="232"/>
      <c r="R164" s="231"/>
      <c r="S164" s="231"/>
      <c r="T164" s="232"/>
    </row>
    <row r="165" spans="4:20" x14ac:dyDescent="0.2">
      <c r="D165" s="231"/>
      <c r="E165" s="232"/>
      <c r="F165" s="231"/>
      <c r="G165" s="232"/>
      <c r="H165" s="231"/>
      <c r="I165" s="232"/>
      <c r="J165" s="232"/>
      <c r="K165" s="232"/>
      <c r="L165" s="231"/>
      <c r="M165" s="231"/>
      <c r="N165" s="232"/>
      <c r="O165" s="231"/>
      <c r="P165" s="231"/>
      <c r="Q165" s="232"/>
      <c r="R165" s="231"/>
      <c r="S165" s="231"/>
      <c r="T165" s="232"/>
    </row>
    <row r="169" spans="4:20" x14ac:dyDescent="0.2">
      <c r="K169" s="739"/>
    </row>
    <row r="173" spans="4:20" x14ac:dyDescent="0.2">
      <c r="K173" s="739"/>
    </row>
    <row r="174" spans="4:20" x14ac:dyDescent="0.2">
      <c r="K174" s="739"/>
    </row>
    <row r="175" spans="4:20" x14ac:dyDescent="0.2">
      <c r="K175" s="739"/>
    </row>
    <row r="176" spans="4:20" x14ac:dyDescent="0.2">
      <c r="K176" s="739"/>
    </row>
    <row r="177" spans="11:12" x14ac:dyDescent="0.2">
      <c r="K177" s="739"/>
      <c r="L177" s="740"/>
    </row>
    <row r="178" spans="11:12" x14ac:dyDescent="0.2">
      <c r="K178" s="739"/>
    </row>
  </sheetData>
  <mergeCells count="22">
    <mergeCell ref="R11:T11"/>
    <mergeCell ref="O11:Q11"/>
    <mergeCell ref="AA11:AB11"/>
    <mergeCell ref="Y12:Z12"/>
    <mergeCell ref="AA12:AB12"/>
    <mergeCell ref="U11:V11"/>
    <mergeCell ref="U12:V12"/>
    <mergeCell ref="W11:X11"/>
    <mergeCell ref="W12:X12"/>
    <mergeCell ref="Y11:Z11"/>
    <mergeCell ref="R12:T12"/>
    <mergeCell ref="O12:Q12"/>
    <mergeCell ref="L12:N12"/>
    <mergeCell ref="D11:E11"/>
    <mergeCell ref="F11:G11"/>
    <mergeCell ref="L11:N11"/>
    <mergeCell ref="H11:I11"/>
    <mergeCell ref="H12:I12"/>
    <mergeCell ref="J11:K11"/>
    <mergeCell ref="J12:K12"/>
    <mergeCell ref="D12:E12"/>
    <mergeCell ref="F12:G12"/>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Y41"/>
  <sheetViews>
    <sheetView showGridLines="0" tabSelected="1" zoomScaleNormal="100" workbookViewId="0">
      <selection activeCell="C28" sqref="C28"/>
    </sheetView>
  </sheetViews>
  <sheetFormatPr defaultRowHeight="12.75" x14ac:dyDescent="0.2"/>
  <cols>
    <col min="1" max="1" width="9.33203125" style="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2" width="14" style="1" hidden="1" customWidth="1"/>
    <col min="23" max="23" width="9.33203125" style="1"/>
    <col min="24" max="24" width="20.33203125" style="1" customWidth="1"/>
    <col min="25" max="25" width="13.33203125" style="1" bestFit="1" customWidth="1"/>
    <col min="26" max="16384" width="9.33203125" style="1"/>
  </cols>
  <sheetData>
    <row r="1" spans="2:25" ht="13.5" thickBot="1" x14ac:dyDescent="0.25"/>
    <row r="2" spans="2:25" ht="24" thickBot="1" x14ac:dyDescent="0.25">
      <c r="B2" s="127" t="s">
        <v>82</v>
      </c>
      <c r="J2" s="331"/>
      <c r="K2" s="332" t="s">
        <v>173</v>
      </c>
    </row>
    <row r="3" spans="2:25" ht="23.25" x14ac:dyDescent="0.2">
      <c r="B3" s="127"/>
      <c r="J3" s="347"/>
      <c r="K3" s="348"/>
    </row>
    <row r="4" spans="2:25" ht="23.25" x14ac:dyDescent="0.2">
      <c r="B4" s="127"/>
      <c r="J4" s="347"/>
      <c r="K4" s="348"/>
    </row>
    <row r="5" spans="2:25" ht="23.25" x14ac:dyDescent="0.2">
      <c r="B5" s="127"/>
      <c r="J5" s="347"/>
      <c r="K5" s="348"/>
    </row>
    <row r="6" spans="2:25" ht="13.5" thickBot="1" x14ac:dyDescent="0.25"/>
    <row r="7" spans="2:25" ht="24.75" customHeight="1" thickBot="1" x14ac:dyDescent="0.25">
      <c r="B7" s="4"/>
      <c r="C7" s="1349" t="str">
        <f>'2. Customer Classes'!B5</f>
        <v>Residential</v>
      </c>
      <c r="D7" s="1348"/>
      <c r="E7" s="1349" t="str">
        <f>'2. Customer Classes'!B6</f>
        <v>General Service &lt; 50 kW</v>
      </c>
      <c r="F7" s="1348"/>
      <c r="G7" s="1349" t="str">
        <f>'2. Customer Classes'!B7</f>
        <v>Unmetered Scattered Load</v>
      </c>
      <c r="H7" s="1348"/>
      <c r="I7" s="1349" t="str">
        <f>'2. Customer Classes'!B8</f>
        <v>Sentinel Lighting</v>
      </c>
      <c r="J7" s="1348"/>
      <c r="K7" s="1349" t="str">
        <f>'2. Customer Classes'!B9</f>
        <v>General Service &gt; 50 kW - 4999 kW - Excluding Wholesale Market Participant</v>
      </c>
      <c r="L7" s="1348"/>
      <c r="M7" s="1347" t="str">
        <f>'2. Customer Classes'!B10</f>
        <v>General Service &gt; 50 kW - 4999 kW - Wholesale Market Participant</v>
      </c>
      <c r="N7" s="1348"/>
      <c r="O7" s="1347" t="str">
        <f>'2. Customer Classes'!B11</f>
        <v>Streetlighting</v>
      </c>
      <c r="P7" s="1348"/>
      <c r="Q7" s="1339" t="str">
        <f>'2. Customer Classes'!B11</f>
        <v>Streetlighting</v>
      </c>
      <c r="R7" s="1346"/>
      <c r="S7" s="1339" t="str">
        <f>'2. Customer Classes'!B12</f>
        <v>N/A</v>
      </c>
      <c r="T7" s="1346"/>
      <c r="U7" s="1339" t="str">
        <f>'2. Customer Classes'!B13</f>
        <v>other</v>
      </c>
      <c r="V7" s="1346"/>
      <c r="X7" s="1339" t="s">
        <v>162</v>
      </c>
      <c r="Y7" s="1340"/>
    </row>
    <row r="8" spans="2:25" ht="39" thickBot="1" x14ac:dyDescent="0.25">
      <c r="B8" s="5" t="s">
        <v>3</v>
      </c>
      <c r="C8" s="165" t="s">
        <v>114</v>
      </c>
      <c r="D8" s="6" t="s">
        <v>5</v>
      </c>
      <c r="E8" s="165" t="s">
        <v>114</v>
      </c>
      <c r="F8" s="6" t="s">
        <v>5</v>
      </c>
      <c r="G8" s="165" t="s">
        <v>114</v>
      </c>
      <c r="H8" s="6" t="s">
        <v>5</v>
      </c>
      <c r="I8" s="165" t="s">
        <v>114</v>
      </c>
      <c r="J8" s="6" t="s">
        <v>5</v>
      </c>
      <c r="K8" s="165" t="s">
        <v>114</v>
      </c>
      <c r="L8" s="5" t="s">
        <v>5</v>
      </c>
      <c r="M8" s="165" t="s">
        <v>114</v>
      </c>
      <c r="N8" s="5" t="s">
        <v>5</v>
      </c>
      <c r="O8" s="165" t="s">
        <v>114</v>
      </c>
      <c r="P8" s="7" t="s">
        <v>5</v>
      </c>
      <c r="Q8" s="165" t="s">
        <v>114</v>
      </c>
      <c r="R8" s="7" t="s">
        <v>5</v>
      </c>
      <c r="S8" s="165" t="s">
        <v>114</v>
      </c>
      <c r="T8" s="7" t="s">
        <v>5</v>
      </c>
      <c r="U8" s="165" t="s">
        <v>114</v>
      </c>
      <c r="V8" s="7" t="s">
        <v>5</v>
      </c>
      <c r="X8" s="165" t="s">
        <v>172</v>
      </c>
      <c r="Y8" s="7" t="s">
        <v>5</v>
      </c>
    </row>
    <row r="9" spans="2:25" x14ac:dyDescent="0.2">
      <c r="B9" s="8">
        <f>'1. LDC Info'!F16-10</f>
        <v>2005</v>
      </c>
      <c r="C9" s="196">
        <f>AVERAGE('3. Consumption by Rate Class'!E16,'3. Consumption by Rate Class'!E27)</f>
        <v>9440</v>
      </c>
      <c r="D9" s="164"/>
      <c r="E9" s="196">
        <f>AVERAGE('3. Consumption by Rate Class'!G16,'3. Consumption by Rate Class'!G27)</f>
        <v>743</v>
      </c>
      <c r="F9" s="164"/>
      <c r="G9" s="166">
        <f>AVERAGE('3. Consumption by Rate Class'!I16,'3. Consumption by Rate Class'!I27)</f>
        <v>52.5</v>
      </c>
      <c r="H9" s="164"/>
      <c r="I9" s="196">
        <f>IF(SUM('3. Consumption by Rate Class'!K16:K27)&gt;0,+AVERAGE('3. Consumption by Rate Class'!K16,'3. Consumption by Rate Class'!K27),0)</f>
        <v>0</v>
      </c>
      <c r="J9" s="164"/>
      <c r="K9" s="166">
        <f>AVERAGE('3. Consumption by Rate Class'!N16,'3. Consumption by Rate Class'!N27)</f>
        <v>42</v>
      </c>
      <c r="L9" s="164"/>
      <c r="M9" s="196">
        <f>IF(SUM('3. Consumption by Rate Class'!Q16:Q27)&gt;0,+AVERAGE('3. Consumption by Rate Class'!Q16,'3. Consumption by Rate Class'!Q27),0)</f>
        <v>1</v>
      </c>
      <c r="N9" s="164"/>
      <c r="O9" s="196">
        <f>AVERAGE('3. Consumption by Rate Class'!T16,'3. Consumption by Rate Class'!T27)</f>
        <v>2181.5</v>
      </c>
      <c r="P9" s="167"/>
      <c r="Q9" s="166" t="e">
        <f>AVERAGE('3. Consumption by Rate Class'!V16,'3. Consumption by Rate Class'!V27)</f>
        <v>#DIV/0!</v>
      </c>
      <c r="R9" s="167"/>
      <c r="S9" s="166" t="e">
        <f>AVERAGE('3. Consumption by Rate Class'!X16,'3. Consumption by Rate Class'!X27)</f>
        <v>#DIV/0!</v>
      </c>
      <c r="T9" s="167"/>
      <c r="U9" s="166" t="e">
        <f>AVERAGE('3. Consumption by Rate Class'!Z16,'3. Consumption by Rate Class'!Z27)</f>
        <v>#DIV/0!</v>
      </c>
      <c r="V9" s="167"/>
      <c r="X9" s="235">
        <f>+C9+E9+G9+I9+K9+M9+O9</f>
        <v>12460</v>
      </c>
      <c r="Y9" s="236"/>
    </row>
    <row r="10" spans="2:25" x14ac:dyDescent="0.2">
      <c r="B10" s="8">
        <f>'1. LDC Info'!F16-9</f>
        <v>2006</v>
      </c>
      <c r="C10" s="197">
        <f>AVERAGE('3. Consumption by Rate Class'!E28,'3. Consumption by Rate Class'!E39)</f>
        <v>9857.5</v>
      </c>
      <c r="D10" s="168">
        <f>C10/C9</f>
        <v>1.0442266949152543</v>
      </c>
      <c r="E10" s="197">
        <f>AVERAGE('3. Consumption by Rate Class'!G28,'3. Consumption by Rate Class'!G39)</f>
        <v>747</v>
      </c>
      <c r="F10" s="168">
        <f>E10/E9</f>
        <v>1.0053835800807538</v>
      </c>
      <c r="G10" s="18">
        <f>AVERAGE('3. Consumption by Rate Class'!I28,'3. Consumption by Rate Class'!I39)</f>
        <v>46.5</v>
      </c>
      <c r="H10" s="168">
        <f t="shared" ref="H10:H18" si="0">G10/G9</f>
        <v>0.88571428571428568</v>
      </c>
      <c r="I10" s="196">
        <f>IF(SUM('3. Consumption by Rate Class'!K28:K39)&gt;0,+AVERAGE('3. Consumption by Rate Class'!K28,'3. Consumption by Rate Class'!K39),0)</f>
        <v>0</v>
      </c>
      <c r="J10" s="168">
        <f>IF(I10&gt;0,+I10/I9,0)</f>
        <v>0</v>
      </c>
      <c r="K10" s="18">
        <f>AVERAGE('3. Consumption by Rate Class'!N28,'3. Consumption by Rate Class'!N39)</f>
        <v>40.5</v>
      </c>
      <c r="L10" s="168">
        <f t="shared" ref="L10:L18" si="1">K10/K9</f>
        <v>0.9642857142857143</v>
      </c>
      <c r="M10" s="196">
        <f>IF(SUM('3. Consumption by Rate Class'!Q28:Q39)&gt;0,+AVERAGE('3. Consumption by Rate Class'!Q28,'3. Consumption by Rate Class'!Q39),0)</f>
        <v>1</v>
      </c>
      <c r="N10" s="168">
        <f>IF(M10&gt;0,+M10/M9,0)</f>
        <v>1</v>
      </c>
      <c r="O10" s="197">
        <f>AVERAGE('3. Consumption by Rate Class'!T28,'3. Consumption by Rate Class'!T39)</f>
        <v>2259.5</v>
      </c>
      <c r="P10" s="169">
        <f>O10/O9</f>
        <v>1.0357552143020856</v>
      </c>
      <c r="Q10" s="18" t="e">
        <f>AVERAGE('3. Consumption by Rate Class'!V28,'3. Consumption by Rate Class'!V39)</f>
        <v>#DIV/0!</v>
      </c>
      <c r="R10" s="169" t="e">
        <f t="shared" ref="R10:R18" si="2">Q10/Q9</f>
        <v>#DIV/0!</v>
      </c>
      <c r="S10" s="18" t="e">
        <f>AVERAGE('3. Consumption by Rate Class'!X28,'3. Consumption by Rate Class'!X39)</f>
        <v>#DIV/0!</v>
      </c>
      <c r="T10" s="169" t="e">
        <f t="shared" ref="T10:T18" si="3">S10/S9</f>
        <v>#DIV/0!</v>
      </c>
      <c r="U10" s="18" t="e">
        <f>AVERAGE('3. Consumption by Rate Class'!Z28,'3. Consumption by Rate Class'!Z39)</f>
        <v>#DIV/0!</v>
      </c>
      <c r="V10" s="169" t="e">
        <f t="shared" ref="V10:V18" si="4">U10/U9</f>
        <v>#DIV/0!</v>
      </c>
      <c r="X10" s="235">
        <f t="shared" ref="X10:X17" si="5">+C10+E10+G10+I10+K10+M10+O10</f>
        <v>12952</v>
      </c>
      <c r="Y10" s="234">
        <f t="shared" ref="Y10:Y18" si="6">X10/X9</f>
        <v>1.039486356340289</v>
      </c>
    </row>
    <row r="11" spans="2:25" x14ac:dyDescent="0.2">
      <c r="B11" s="8">
        <f>'1. LDC Info'!F16-8</f>
        <v>2007</v>
      </c>
      <c r="C11" s="197">
        <f>AVERAGE('3. Consumption by Rate Class'!E40,'3. Consumption by Rate Class'!E51)</f>
        <v>10273.5</v>
      </c>
      <c r="D11" s="168">
        <f t="shared" ref="D11:F18" si="7">C11/C10</f>
        <v>1.0422013695155972</v>
      </c>
      <c r="E11" s="197">
        <f>AVERAGE('3. Consumption by Rate Class'!G40,'3. Consumption by Rate Class'!G51)</f>
        <v>754</v>
      </c>
      <c r="F11" s="168">
        <f t="shared" si="7"/>
        <v>1.0093708165997322</v>
      </c>
      <c r="G11" s="18">
        <f>AVERAGE('3. Consumption by Rate Class'!I40,'3. Consumption by Rate Class'!I51)</f>
        <v>41.5</v>
      </c>
      <c r="H11" s="168">
        <f t="shared" si="0"/>
        <v>0.89247311827956988</v>
      </c>
      <c r="I11" s="196">
        <f>IF(SUM('3. Consumption by Rate Class'!K40:K51)&gt;0,+AVERAGE('3. Consumption by Rate Class'!K40,'3. Consumption by Rate Class'!K51),0)</f>
        <v>0</v>
      </c>
      <c r="J11" s="168">
        <f t="shared" ref="J11:J18" si="8">IF(I11&gt;0,+I11/I10,0)</f>
        <v>0</v>
      </c>
      <c r="K11" s="18">
        <f>AVERAGE('3. Consumption by Rate Class'!N40,'3. Consumption by Rate Class'!N51)</f>
        <v>36</v>
      </c>
      <c r="L11" s="168">
        <f t="shared" si="1"/>
        <v>0.88888888888888884</v>
      </c>
      <c r="M11" s="196">
        <f>IF(SUM('3. Consumption by Rate Class'!Q40:Q51)&gt;0,+AVERAGE('3. Consumption by Rate Class'!Q40,'3. Consumption by Rate Class'!Q51),0)</f>
        <v>1</v>
      </c>
      <c r="N11" s="168">
        <f t="shared" ref="N11:N18" si="9">IF(M11&gt;0,+M11/M10,0)</f>
        <v>1</v>
      </c>
      <c r="O11" s="197">
        <f>AVERAGE('3. Consumption by Rate Class'!T40,'3. Consumption by Rate Class'!T51)</f>
        <v>2340</v>
      </c>
      <c r="P11" s="169">
        <f t="shared" ref="P11:P18" si="10">O11/O10</f>
        <v>1.0356273511838903</v>
      </c>
      <c r="Q11" s="18" t="e">
        <f>AVERAGE('3. Consumption by Rate Class'!V40,'3. Consumption by Rate Class'!V51)</f>
        <v>#DIV/0!</v>
      </c>
      <c r="R11" s="169" t="e">
        <f t="shared" si="2"/>
        <v>#DIV/0!</v>
      </c>
      <c r="S11" s="18" t="e">
        <f>AVERAGE('3. Consumption by Rate Class'!X40,'3. Consumption by Rate Class'!X51)</f>
        <v>#DIV/0!</v>
      </c>
      <c r="T11" s="169" t="e">
        <f t="shared" si="3"/>
        <v>#DIV/0!</v>
      </c>
      <c r="U11" s="18" t="e">
        <f>AVERAGE('3. Consumption by Rate Class'!Z40,'3. Consumption by Rate Class'!Z51)</f>
        <v>#DIV/0!</v>
      </c>
      <c r="V11" s="169" t="e">
        <f t="shared" si="4"/>
        <v>#DIV/0!</v>
      </c>
      <c r="X11" s="235">
        <f t="shared" si="5"/>
        <v>13446</v>
      </c>
      <c r="Y11" s="234">
        <f t="shared" si="6"/>
        <v>1.0381408276714021</v>
      </c>
    </row>
    <row r="12" spans="2:25" x14ac:dyDescent="0.2">
      <c r="B12" s="8">
        <f>'1. LDC Info'!F16-7</f>
        <v>2008</v>
      </c>
      <c r="C12" s="197">
        <f>AVERAGE('3. Consumption by Rate Class'!E52,'3. Consumption by Rate Class'!E63)</f>
        <v>10658.5</v>
      </c>
      <c r="D12" s="168">
        <f t="shared" si="7"/>
        <v>1.0374750571859639</v>
      </c>
      <c r="E12" s="197">
        <f>AVERAGE('3. Consumption by Rate Class'!G52,'3. Consumption by Rate Class'!G63)</f>
        <v>756.5</v>
      </c>
      <c r="F12" s="168">
        <f t="shared" si="7"/>
        <v>1.0033156498673741</v>
      </c>
      <c r="G12" s="18">
        <f>AVERAGE('3. Consumption by Rate Class'!I52,'3. Consumption by Rate Class'!I63)</f>
        <v>40</v>
      </c>
      <c r="H12" s="168">
        <f t="shared" si="0"/>
        <v>0.96385542168674698</v>
      </c>
      <c r="I12" s="196">
        <f>IF(SUM('3. Consumption by Rate Class'!K52:K63)&gt;0,+AVERAGE('3. Consumption by Rate Class'!K52,'3. Consumption by Rate Class'!K63),0)</f>
        <v>0</v>
      </c>
      <c r="J12" s="168">
        <f t="shared" si="8"/>
        <v>0</v>
      </c>
      <c r="K12" s="18">
        <f>AVERAGE('3. Consumption by Rate Class'!N52,'3. Consumption by Rate Class'!N63)</f>
        <v>31</v>
      </c>
      <c r="L12" s="168">
        <f t="shared" si="1"/>
        <v>0.86111111111111116</v>
      </c>
      <c r="M12" s="196">
        <f>IF(SUM('3. Consumption by Rate Class'!Q52:Q63)&gt;0,+AVERAGE('3. Consumption by Rate Class'!Q52,'3. Consumption by Rate Class'!Q63),0)</f>
        <v>1</v>
      </c>
      <c r="N12" s="168">
        <f t="shared" si="9"/>
        <v>1</v>
      </c>
      <c r="O12" s="197">
        <f>AVERAGE('3. Consumption by Rate Class'!T52,'3. Consumption by Rate Class'!T63)</f>
        <v>2421.5</v>
      </c>
      <c r="P12" s="169">
        <f t="shared" si="10"/>
        <v>1.0348290598290599</v>
      </c>
      <c r="Q12" s="18" t="e">
        <f>AVERAGE('3. Consumption by Rate Class'!V52,'3. Consumption by Rate Class'!V63)</f>
        <v>#DIV/0!</v>
      </c>
      <c r="R12" s="169" t="e">
        <f t="shared" si="2"/>
        <v>#DIV/0!</v>
      </c>
      <c r="S12" s="18" t="e">
        <f>AVERAGE('3. Consumption by Rate Class'!X52,'3. Consumption by Rate Class'!X63)</f>
        <v>#DIV/0!</v>
      </c>
      <c r="T12" s="169" t="e">
        <f t="shared" si="3"/>
        <v>#DIV/0!</v>
      </c>
      <c r="U12" s="18" t="e">
        <f>AVERAGE('3. Consumption by Rate Class'!Z52,'3. Consumption by Rate Class'!Z63)</f>
        <v>#DIV/0!</v>
      </c>
      <c r="V12" s="169" t="e">
        <f t="shared" si="4"/>
        <v>#DIV/0!</v>
      </c>
      <c r="X12" s="235">
        <f t="shared" si="5"/>
        <v>13908.5</v>
      </c>
      <c r="Y12" s="234">
        <f t="shared" si="6"/>
        <v>1.0343968466458426</v>
      </c>
    </row>
    <row r="13" spans="2:25" x14ac:dyDescent="0.2">
      <c r="B13" s="8">
        <f>'1. LDC Info'!F16-6</f>
        <v>2009</v>
      </c>
      <c r="C13" s="197">
        <f>AVERAGE('3. Consumption by Rate Class'!E64,'3. Consumption by Rate Class'!E75)</f>
        <v>10918.5</v>
      </c>
      <c r="D13" s="168">
        <f t="shared" si="7"/>
        <v>1.0243936764085002</v>
      </c>
      <c r="E13" s="197">
        <f>AVERAGE('3. Consumption by Rate Class'!G64,'3. Consumption by Rate Class'!G75)</f>
        <v>767</v>
      </c>
      <c r="F13" s="168">
        <f t="shared" si="7"/>
        <v>1.0138797091870455</v>
      </c>
      <c r="G13" s="18">
        <f>AVERAGE('3. Consumption by Rate Class'!I64,'3. Consumption by Rate Class'!I75)</f>
        <v>32.5</v>
      </c>
      <c r="H13" s="168">
        <f t="shared" si="0"/>
        <v>0.8125</v>
      </c>
      <c r="I13" s="196">
        <f>IF(SUM('3. Consumption by Rate Class'!K64:K75)&gt;0,+AVERAGE('3. Consumption by Rate Class'!K64,'3. Consumption by Rate Class'!K75),0)</f>
        <v>0</v>
      </c>
      <c r="J13" s="168">
        <f t="shared" si="8"/>
        <v>0</v>
      </c>
      <c r="K13" s="18">
        <f>AVERAGE('3. Consumption by Rate Class'!N64,'3. Consumption by Rate Class'!N75)</f>
        <v>30</v>
      </c>
      <c r="L13" s="168">
        <f t="shared" si="1"/>
        <v>0.967741935483871</v>
      </c>
      <c r="M13" s="196">
        <f>IF(SUM('3. Consumption by Rate Class'!Q64:Q75)&gt;0,+AVERAGE('3. Consumption by Rate Class'!Q64,'3. Consumption by Rate Class'!Q75),0)</f>
        <v>1</v>
      </c>
      <c r="N13" s="168">
        <f t="shared" si="9"/>
        <v>1</v>
      </c>
      <c r="O13" s="197">
        <f>AVERAGE('3. Consumption by Rate Class'!T64,'3. Consumption by Rate Class'!T75)</f>
        <v>2473</v>
      </c>
      <c r="P13" s="169">
        <f t="shared" si="10"/>
        <v>1.0212678092091678</v>
      </c>
      <c r="Q13" s="18" t="e">
        <f>AVERAGE('3. Consumption by Rate Class'!V64,'3. Consumption by Rate Class'!V75)</f>
        <v>#DIV/0!</v>
      </c>
      <c r="R13" s="169" t="e">
        <f t="shared" si="2"/>
        <v>#DIV/0!</v>
      </c>
      <c r="S13" s="18" t="e">
        <f>AVERAGE('3. Consumption by Rate Class'!X64,'3. Consumption by Rate Class'!X75)</f>
        <v>#DIV/0!</v>
      </c>
      <c r="T13" s="169" t="e">
        <f t="shared" si="3"/>
        <v>#DIV/0!</v>
      </c>
      <c r="U13" s="18" t="e">
        <f>AVERAGE('3. Consumption by Rate Class'!Z64,'3. Consumption by Rate Class'!Z75)</f>
        <v>#DIV/0!</v>
      </c>
      <c r="V13" s="169" t="e">
        <f t="shared" si="4"/>
        <v>#DIV/0!</v>
      </c>
      <c r="X13" s="235">
        <f t="shared" si="5"/>
        <v>14222</v>
      </c>
      <c r="Y13" s="234">
        <f t="shared" si="6"/>
        <v>1.0225401732753352</v>
      </c>
    </row>
    <row r="14" spans="2:25" x14ac:dyDescent="0.2">
      <c r="B14" s="8">
        <f>'1. LDC Info'!F16-5</f>
        <v>2010</v>
      </c>
      <c r="C14" s="197">
        <f>AVERAGE('3. Consumption by Rate Class'!E76,'3. Consumption by Rate Class'!E87)</f>
        <v>11119.5</v>
      </c>
      <c r="D14" s="168">
        <f t="shared" si="7"/>
        <v>1.0184091221321609</v>
      </c>
      <c r="E14" s="197">
        <f>AVERAGE('3. Consumption by Rate Class'!G76,'3. Consumption by Rate Class'!G87)</f>
        <v>776.5</v>
      </c>
      <c r="F14" s="168">
        <f t="shared" si="7"/>
        <v>1.0123859191655802</v>
      </c>
      <c r="G14" s="18">
        <f>AVERAGE('3. Consumption by Rate Class'!I76,'3. Consumption by Rate Class'!I87)</f>
        <v>36.5</v>
      </c>
      <c r="H14" s="168">
        <f t="shared" si="0"/>
        <v>1.1230769230769231</v>
      </c>
      <c r="I14" s="196">
        <f>IF(SUM('3. Consumption by Rate Class'!K76:K87)&gt;0,+AVERAGE('3. Consumption by Rate Class'!K76,'3. Consumption by Rate Class'!K87),0)</f>
        <v>0</v>
      </c>
      <c r="J14" s="168">
        <f t="shared" si="8"/>
        <v>0</v>
      </c>
      <c r="K14" s="18">
        <f>AVERAGE('3. Consumption by Rate Class'!N76,'3. Consumption by Rate Class'!N87)</f>
        <v>31</v>
      </c>
      <c r="L14" s="168">
        <f t="shared" si="1"/>
        <v>1.0333333333333334</v>
      </c>
      <c r="M14" s="196">
        <f>IF(SUM('3. Consumption by Rate Class'!Q76:Q87)&gt;0,+AVERAGE('3. Consumption by Rate Class'!Q76,'3. Consumption by Rate Class'!Q87),0)</f>
        <v>1</v>
      </c>
      <c r="N14" s="168">
        <f t="shared" si="9"/>
        <v>1</v>
      </c>
      <c r="O14" s="197">
        <f>AVERAGE('3. Consumption by Rate Class'!T76,'3. Consumption by Rate Class'!T87)</f>
        <v>2483</v>
      </c>
      <c r="P14" s="169">
        <f t="shared" si="10"/>
        <v>1.0040436716538617</v>
      </c>
      <c r="Q14" s="18" t="e">
        <f>AVERAGE('3. Consumption by Rate Class'!V76,'3. Consumption by Rate Class'!V81)</f>
        <v>#DIV/0!</v>
      </c>
      <c r="R14" s="169" t="e">
        <f t="shared" si="2"/>
        <v>#DIV/0!</v>
      </c>
      <c r="S14" s="18" t="e">
        <f>AVERAGE('3. Consumption by Rate Class'!X76,'3. Consumption by Rate Class'!X81)</f>
        <v>#DIV/0!</v>
      </c>
      <c r="T14" s="169" t="e">
        <f t="shared" si="3"/>
        <v>#DIV/0!</v>
      </c>
      <c r="U14" s="18" t="e">
        <f>AVERAGE('3. Consumption by Rate Class'!Z76,'3. Consumption by Rate Class'!Z81)</f>
        <v>#DIV/0!</v>
      </c>
      <c r="V14" s="169" t="e">
        <f t="shared" si="4"/>
        <v>#DIV/0!</v>
      </c>
      <c r="X14" s="235">
        <f t="shared" si="5"/>
        <v>14447.5</v>
      </c>
      <c r="Y14" s="234">
        <f t="shared" si="6"/>
        <v>1.0158557164955702</v>
      </c>
    </row>
    <row r="15" spans="2:25" x14ac:dyDescent="0.2">
      <c r="B15" s="8">
        <f>'1. LDC Info'!F16-4</f>
        <v>2011</v>
      </c>
      <c r="C15" s="197">
        <f>AVERAGE('3. Consumption by Rate Class'!E88,'3. Consumption by Rate Class'!E99)</f>
        <v>11370.5</v>
      </c>
      <c r="D15" s="168">
        <f t="shared" si="7"/>
        <v>1.02257295741715</v>
      </c>
      <c r="E15" s="197">
        <f>AVERAGE('3. Consumption by Rate Class'!G88,'3. Consumption by Rate Class'!G99)</f>
        <v>781</v>
      </c>
      <c r="F15" s="168">
        <f t="shared" si="7"/>
        <v>1.0057952350289763</v>
      </c>
      <c r="G15" s="18">
        <f>AVERAGE('3. Consumption by Rate Class'!I88,'3. Consumption by Rate Class'!N99)</f>
        <v>41.5</v>
      </c>
      <c r="H15" s="168">
        <f t="shared" si="0"/>
        <v>1.1369863013698631</v>
      </c>
      <c r="I15" s="196">
        <f>IF(SUM('3. Consumption by Rate Class'!K88:K99)&gt;0,+AVERAGE('3. Consumption by Rate Class'!K88,'3. Consumption by Rate Class'!K99),0)</f>
        <v>0</v>
      </c>
      <c r="J15" s="168">
        <f t="shared" si="8"/>
        <v>0</v>
      </c>
      <c r="K15" s="18">
        <f>AVERAGE('3. Consumption by Rate Class'!N88,'3. Consumption by Rate Class'!N99)</f>
        <v>32.5</v>
      </c>
      <c r="L15" s="168">
        <f t="shared" si="1"/>
        <v>1.0483870967741935</v>
      </c>
      <c r="M15" s="196">
        <f>IF(SUM('3. Consumption by Rate Class'!Q88:Q99)&gt;0,+AVERAGE('3. Consumption by Rate Class'!Q88,'3. Consumption by Rate Class'!Q99),0)</f>
        <v>1</v>
      </c>
      <c r="N15" s="168">
        <f>IF(M15&gt;0,+M15/M14,0)</f>
        <v>1</v>
      </c>
      <c r="O15" s="197">
        <f>AVERAGE('3. Consumption by Rate Class'!T88,'3. Consumption by Rate Class'!T99)</f>
        <v>2493.5</v>
      </c>
      <c r="P15" s="169">
        <f t="shared" si="10"/>
        <v>1.0042287555376561</v>
      </c>
      <c r="Q15" s="18" t="e">
        <f>AVERAGE('3. Consumption by Rate Class'!V88,'3. Consumption by Rate Class'!V99)</f>
        <v>#DIV/0!</v>
      </c>
      <c r="R15" s="169" t="e">
        <f t="shared" si="2"/>
        <v>#DIV/0!</v>
      </c>
      <c r="S15" s="18" t="e">
        <f>AVERAGE('3. Consumption by Rate Class'!X88,'3. Consumption by Rate Class'!X99)</f>
        <v>#DIV/0!</v>
      </c>
      <c r="T15" s="169" t="e">
        <f t="shared" si="3"/>
        <v>#DIV/0!</v>
      </c>
      <c r="U15" s="18" t="e">
        <f>AVERAGE('3. Consumption by Rate Class'!Z88,'3. Consumption by Rate Class'!Z99)</f>
        <v>#DIV/0!</v>
      </c>
      <c r="V15" s="169" t="e">
        <f t="shared" si="4"/>
        <v>#DIV/0!</v>
      </c>
      <c r="X15" s="235">
        <f t="shared" si="5"/>
        <v>14720</v>
      </c>
      <c r="Y15" s="234">
        <f t="shared" si="6"/>
        <v>1.0188613947049663</v>
      </c>
    </row>
    <row r="16" spans="2:25" x14ac:dyDescent="0.2">
      <c r="B16" s="8">
        <f>'1. LDC Info'!F16-3</f>
        <v>2012</v>
      </c>
      <c r="C16" s="197">
        <f>AVERAGE('3. Consumption by Rate Class'!E100,'3. Consumption by Rate Class'!E111)</f>
        <v>11609</v>
      </c>
      <c r="D16" s="168">
        <f t="shared" si="7"/>
        <v>1.0209753309001364</v>
      </c>
      <c r="E16" s="197">
        <f>AVERAGE('3. Consumption by Rate Class'!G100,'3. Consumption by Rate Class'!G111)</f>
        <v>786</v>
      </c>
      <c r="F16" s="168">
        <f t="shared" si="7"/>
        <v>1.0064020486555698</v>
      </c>
      <c r="G16" s="18">
        <f>AVERAGE('3. Consumption by Rate Class'!N100,'3. Consumption by Rate Class'!I111)</f>
        <v>39</v>
      </c>
      <c r="H16" s="168">
        <f t="shared" si="0"/>
        <v>0.93975903614457834</v>
      </c>
      <c r="I16" s="196">
        <f>IF(SUM('3. Consumption by Rate Class'!K100:K111)&gt;0,+AVERAGE('3. Consumption by Rate Class'!K100,'3. Consumption by Rate Class'!K111),0)</f>
        <v>0</v>
      </c>
      <c r="J16" s="168">
        <f t="shared" si="8"/>
        <v>0</v>
      </c>
      <c r="K16" s="18">
        <f>AVERAGE('3. Consumption by Rate Class'!N100,'3. Consumption by Rate Class'!N111)</f>
        <v>35</v>
      </c>
      <c r="L16" s="168">
        <f t="shared" si="1"/>
        <v>1.0769230769230769</v>
      </c>
      <c r="M16" s="196">
        <f>IF(SUM('3. Consumption by Rate Class'!Q100:Q111)&gt;0,+AVERAGE('3. Consumption by Rate Class'!Q100,'3. Consumption by Rate Class'!Q111),0)</f>
        <v>1</v>
      </c>
      <c r="N16" s="168">
        <f>IF(M16&gt;0,+M16/M15,0)</f>
        <v>1</v>
      </c>
      <c r="O16" s="197">
        <f>AVERAGE('3. Consumption by Rate Class'!T100,'3. Consumption by Rate Class'!T111)</f>
        <v>2588</v>
      </c>
      <c r="P16" s="169">
        <f t="shared" si="10"/>
        <v>1.0378985361941047</v>
      </c>
      <c r="Q16" s="18" t="e">
        <f>AVERAGE('3. Consumption by Rate Class'!V100,'3. Consumption by Rate Class'!V111)</f>
        <v>#DIV/0!</v>
      </c>
      <c r="R16" s="169" t="e">
        <f t="shared" si="2"/>
        <v>#DIV/0!</v>
      </c>
      <c r="S16" s="18" t="e">
        <f>AVERAGE('3. Consumption by Rate Class'!X100,'3. Consumption by Rate Class'!X111)</f>
        <v>#DIV/0!</v>
      </c>
      <c r="T16" s="169" t="e">
        <f t="shared" si="3"/>
        <v>#DIV/0!</v>
      </c>
      <c r="U16" s="18" t="e">
        <f>AVERAGE('3. Consumption by Rate Class'!Z100,'3. Consumption by Rate Class'!Z111)</f>
        <v>#DIV/0!</v>
      </c>
      <c r="V16" s="169" t="e">
        <f t="shared" si="4"/>
        <v>#DIV/0!</v>
      </c>
      <c r="X16" s="235">
        <f t="shared" si="5"/>
        <v>15058</v>
      </c>
      <c r="Y16" s="234">
        <f t="shared" si="6"/>
        <v>1.0229619565217392</v>
      </c>
    </row>
    <row r="17" spans="2:25" x14ac:dyDescent="0.2">
      <c r="B17" s="8">
        <f>'1. LDC Info'!F16-2</f>
        <v>2013</v>
      </c>
      <c r="C17" s="197">
        <f>AVERAGE('3. Consumption by Rate Class'!E112,'3. Consumption by Rate Class'!E123)</f>
        <v>11857</v>
      </c>
      <c r="D17" s="168">
        <f t="shared" si="7"/>
        <v>1.0213627358084245</v>
      </c>
      <c r="E17" s="197">
        <f>AVERAGE('3. Consumption by Rate Class'!G112,'3. Consumption by Rate Class'!G123)</f>
        <v>784</v>
      </c>
      <c r="F17" s="168">
        <f t="shared" si="7"/>
        <v>0.99745547073791352</v>
      </c>
      <c r="G17" s="18">
        <f>AVERAGE('3. Consumption by Rate Class'!I112,'3. Consumption by Rate Class'!I123)</f>
        <v>42.5</v>
      </c>
      <c r="H17" s="168">
        <f t="shared" si="0"/>
        <v>1.0897435897435896</v>
      </c>
      <c r="I17" s="196">
        <f>IF(SUM('3. Consumption by Rate Class'!K112:K123)&gt;0,+AVERAGE('3. Consumption by Rate Class'!K112,'3. Consumption by Rate Class'!K123),0)</f>
        <v>0</v>
      </c>
      <c r="J17" s="168">
        <f t="shared" si="8"/>
        <v>0</v>
      </c>
      <c r="K17" s="18">
        <f>AVERAGE('3. Consumption by Rate Class'!N112,'3. Consumption by Rate Class'!N123)</f>
        <v>35</v>
      </c>
      <c r="L17" s="168">
        <f t="shared" si="1"/>
        <v>1</v>
      </c>
      <c r="M17" s="196">
        <f>IF(SUM('3. Consumption by Rate Class'!Q112:Q123)&gt;0,+AVERAGE('3. Consumption by Rate Class'!Q112,'3. Consumption by Rate Class'!Q123),0)</f>
        <v>1</v>
      </c>
      <c r="N17" s="168">
        <f t="shared" si="9"/>
        <v>1</v>
      </c>
      <c r="O17" s="197">
        <f>AVERAGE('3. Consumption by Rate Class'!T112,'3. Consumption by Rate Class'!T123)</f>
        <v>2693.5</v>
      </c>
      <c r="P17" s="169">
        <f t="shared" si="10"/>
        <v>1.0407650695517774</v>
      </c>
      <c r="Q17" s="18" t="e">
        <f>AVERAGE('3. Consumption by Rate Class'!V112,'3. Consumption by Rate Class'!V123)</f>
        <v>#DIV/0!</v>
      </c>
      <c r="R17" s="169" t="e">
        <f t="shared" si="2"/>
        <v>#DIV/0!</v>
      </c>
      <c r="S17" s="18" t="e">
        <f>AVERAGE('3. Consumption by Rate Class'!X112,'3. Consumption by Rate Class'!X123)</f>
        <v>#DIV/0!</v>
      </c>
      <c r="T17" s="169" t="e">
        <f t="shared" si="3"/>
        <v>#DIV/0!</v>
      </c>
      <c r="U17" s="18" t="e">
        <f>AVERAGE('3. Consumption by Rate Class'!Z112,'3. Consumption by Rate Class'!Z123)</f>
        <v>#DIV/0!</v>
      </c>
      <c r="V17" s="169" t="e">
        <f t="shared" si="4"/>
        <v>#DIV/0!</v>
      </c>
      <c r="X17" s="235">
        <f t="shared" si="5"/>
        <v>15413</v>
      </c>
      <c r="Y17" s="234">
        <f t="shared" si="6"/>
        <v>1.0235755080355957</v>
      </c>
    </row>
    <row r="18" spans="2:25" x14ac:dyDescent="0.2">
      <c r="B18" s="8">
        <f>'1. LDC Info'!F16-1</f>
        <v>2014</v>
      </c>
      <c r="C18" s="197">
        <f>AVERAGE('3. Consumption by Rate Class'!E124,'3. Consumption by Rate Class'!E135)</f>
        <v>12082</v>
      </c>
      <c r="D18" s="168">
        <f t="shared" si="7"/>
        <v>1.0189761322425572</v>
      </c>
      <c r="E18" s="197">
        <f>AVERAGE('3. Consumption by Rate Class'!G124,'3. Consumption by Rate Class'!G135)</f>
        <v>783</v>
      </c>
      <c r="F18" s="168">
        <f t="shared" si="7"/>
        <v>0.99872448979591832</v>
      </c>
      <c r="G18" s="18">
        <f>AVERAGE('3. Consumption by Rate Class'!I124,'3. Consumption by Rate Class'!I135)</f>
        <v>41</v>
      </c>
      <c r="H18" s="168">
        <f t="shared" si="0"/>
        <v>0.96470588235294119</v>
      </c>
      <c r="I18" s="196">
        <f>IF(SUM('3. Consumption by Rate Class'!K123:K135)&gt;0,+AVERAGE('3. Consumption by Rate Class'!K124,'3. Consumption by Rate Class'!K135),0)</f>
        <v>0</v>
      </c>
      <c r="J18" s="168">
        <f t="shared" si="8"/>
        <v>0</v>
      </c>
      <c r="K18" s="18">
        <f>AVERAGE('3. Consumption by Rate Class'!N124,'3. Consumption by Rate Class'!N135)</f>
        <v>36</v>
      </c>
      <c r="L18" s="168">
        <f t="shared" si="1"/>
        <v>1.0285714285714285</v>
      </c>
      <c r="M18" s="196">
        <f>IF(SUM('3. Consumption by Rate Class'!Q123:Q135)&gt;0,+AVERAGE('3. Consumption by Rate Class'!Q124,'3. Consumption by Rate Class'!Q135),0)</f>
        <v>1</v>
      </c>
      <c r="N18" s="168">
        <f t="shared" si="9"/>
        <v>1</v>
      </c>
      <c r="O18" s="197">
        <f>AVERAGE('3. Consumption by Rate Class'!T124,'3. Consumption by Rate Class'!T135)</f>
        <v>2738</v>
      </c>
      <c r="P18" s="169">
        <f t="shared" si="10"/>
        <v>1.016521254872842</v>
      </c>
      <c r="Q18" s="18" t="e">
        <f>AVERAGE('3. Consumption by Rate Class'!V124,'3. Consumption by Rate Class'!V135)</f>
        <v>#DIV/0!</v>
      </c>
      <c r="R18" s="169" t="e">
        <f t="shared" si="2"/>
        <v>#DIV/0!</v>
      </c>
      <c r="S18" s="18" t="e">
        <f>AVERAGE('3. Consumption by Rate Class'!X124,'3. Consumption by Rate Class'!X135)</f>
        <v>#DIV/0!</v>
      </c>
      <c r="T18" s="169" t="e">
        <f t="shared" si="3"/>
        <v>#DIV/0!</v>
      </c>
      <c r="U18" s="18" t="e">
        <f>AVERAGE('3. Consumption by Rate Class'!Z124,'3. Consumption by Rate Class'!Z135)</f>
        <v>#DIV/0!</v>
      </c>
      <c r="V18" s="169" t="e">
        <f t="shared" si="4"/>
        <v>#DIV/0!</v>
      </c>
      <c r="X18" s="235">
        <f>+C18+E18+G18+I18+K18+M18+O18</f>
        <v>15681</v>
      </c>
      <c r="Y18" s="234">
        <f t="shared" si="6"/>
        <v>1.0173879192889119</v>
      </c>
    </row>
    <row r="19" spans="2:25" x14ac:dyDescent="0.2">
      <c r="B19" s="12"/>
      <c r="C19" s="324"/>
      <c r="D19" s="10"/>
      <c r="E19" s="324"/>
      <c r="F19" s="10"/>
      <c r="G19" s="13"/>
      <c r="H19" s="10"/>
      <c r="I19" s="324"/>
      <c r="J19" s="10"/>
      <c r="K19" s="13"/>
      <c r="L19" s="10"/>
      <c r="M19" s="324"/>
      <c r="N19" s="10"/>
      <c r="O19" s="324"/>
      <c r="P19" s="11"/>
      <c r="Q19" s="13"/>
      <c r="R19" s="11"/>
      <c r="S19" s="13"/>
      <c r="T19" s="11"/>
      <c r="U19" s="13"/>
      <c r="V19" s="11"/>
      <c r="X19" s="235"/>
      <c r="Y19" s="236"/>
    </row>
    <row r="20" spans="2:25" x14ac:dyDescent="0.2">
      <c r="B20" s="14" t="s">
        <v>4</v>
      </c>
      <c r="C20" s="324" t="s">
        <v>246</v>
      </c>
      <c r="D20" s="15">
        <f>GEOMEAN(D14:D18)</f>
        <v>1.0204580842587792</v>
      </c>
      <c r="E20" s="324" t="s">
        <v>246</v>
      </c>
      <c r="F20" s="15">
        <f>GEOMEAN(F14:F18)</f>
        <v>1.00413771572996</v>
      </c>
      <c r="G20" s="324" t="s">
        <v>246</v>
      </c>
      <c r="H20" s="15">
        <f>GEOMEAN(H14:H18)</f>
        <v>1.047562875622859</v>
      </c>
      <c r="I20" s="326"/>
      <c r="J20" s="15">
        <f>IF(SUM(J10:J18)&gt;0,+GEOMEAN(J10:J18),0)</f>
        <v>0</v>
      </c>
      <c r="K20" s="324" t="s">
        <v>246</v>
      </c>
      <c r="L20" s="15">
        <f>GEOMEAN(L14:L18)</f>
        <v>1.0371372893366482</v>
      </c>
      <c r="M20" s="326"/>
      <c r="N20" s="15">
        <f>IF(SUM(N10:N18)&gt;0,+GEOMEAN(N10:N18),0)</f>
        <v>1</v>
      </c>
      <c r="O20" s="324" t="s">
        <v>246</v>
      </c>
      <c r="P20" s="15">
        <f>GEOMEAN(P14:P18)</f>
        <v>1.0205678087605159</v>
      </c>
      <c r="Q20" s="16"/>
      <c r="R20" s="17" t="e">
        <f>GEOMEAN(R10:R18)</f>
        <v>#DIV/0!</v>
      </c>
      <c r="S20" s="16"/>
      <c r="T20" s="17" t="e">
        <f>GEOMEAN(T10:T18)</f>
        <v>#DIV/0!</v>
      </c>
      <c r="U20" s="16"/>
      <c r="V20" s="17" t="e">
        <f>GEOMEAN(V10:V18)</f>
        <v>#DIV/0!</v>
      </c>
      <c r="X20" s="235"/>
      <c r="Y20" s="17">
        <f>GEOMEAN(Y10:Y18)</f>
        <v>1.0258764946245862</v>
      </c>
    </row>
    <row r="21" spans="2:25" x14ac:dyDescent="0.2">
      <c r="B21" s="14"/>
      <c r="C21" s="324"/>
      <c r="D21" s="15"/>
      <c r="E21" s="326"/>
      <c r="F21" s="15"/>
      <c r="G21" s="16"/>
      <c r="H21" s="15"/>
      <c r="I21" s="326"/>
      <c r="J21" s="15"/>
      <c r="K21" s="16"/>
      <c r="L21" s="15"/>
      <c r="M21" s="326"/>
      <c r="N21" s="15"/>
      <c r="O21" s="326"/>
      <c r="P21" s="17"/>
      <c r="Q21" s="16"/>
      <c r="R21" s="17"/>
      <c r="S21" s="16"/>
      <c r="T21" s="17"/>
      <c r="U21" s="16"/>
      <c r="V21" s="17"/>
      <c r="X21" s="235"/>
      <c r="Y21" s="236"/>
    </row>
    <row r="22" spans="2:25" x14ac:dyDescent="0.2">
      <c r="B22" s="9" t="str">
        <f>'1. LDC Info'!F16</f>
        <v>2015</v>
      </c>
      <c r="C22" s="197">
        <f>C18*D20</f>
        <v>12329.174574014569</v>
      </c>
      <c r="D22" s="10" t="s">
        <v>30</v>
      </c>
      <c r="E22" s="432">
        <f>E18*F20</f>
        <v>786.23983141655867</v>
      </c>
      <c r="F22" s="19"/>
      <c r="G22" s="18">
        <f>G18*H20</f>
        <v>42.950077900537217</v>
      </c>
      <c r="H22" s="19"/>
      <c r="I22" s="197">
        <f>I18*J20</f>
        <v>0</v>
      </c>
      <c r="J22" s="19"/>
      <c r="K22" s="18">
        <f>K18*L20</f>
        <v>37.336942416119335</v>
      </c>
      <c r="L22" s="19"/>
      <c r="M22" s="197">
        <f>M18*N20</f>
        <v>1</v>
      </c>
      <c r="N22" s="19"/>
      <c r="O22" s="197">
        <f>O18*P20</f>
        <v>2794.3146603862924</v>
      </c>
      <c r="P22" s="20"/>
      <c r="Q22" s="18" t="e">
        <f>Q18*R20</f>
        <v>#DIV/0!</v>
      </c>
      <c r="R22" s="20"/>
      <c r="S22" s="18" t="e">
        <f>S18*T20</f>
        <v>#DIV/0!</v>
      </c>
      <c r="T22" s="20"/>
      <c r="U22" s="18" t="e">
        <f>U18*V20</f>
        <v>#DIV/0!</v>
      </c>
      <c r="V22" s="20"/>
      <c r="X22" s="235">
        <f>+C22+E22+G22+I22+K22+M22+O22</f>
        <v>15991.016086134077</v>
      </c>
      <c r="Y22" s="236"/>
    </row>
    <row r="23" spans="2:25" ht="13.5" thickBot="1" x14ac:dyDescent="0.25">
      <c r="B23" s="21" t="str">
        <f>'1. LDC Info'!F18</f>
        <v>2016</v>
      </c>
      <c r="C23" s="325">
        <f>C22*D20</f>
        <v>12581.405866290956</v>
      </c>
      <c r="D23" s="23" t="s">
        <v>30</v>
      </c>
      <c r="E23" s="325">
        <f>E22*F20</f>
        <v>789.49306833453204</v>
      </c>
      <c r="F23" s="24"/>
      <c r="G23" s="22">
        <f>G22*H20</f>
        <v>44.992907113712576</v>
      </c>
      <c r="H23" s="24"/>
      <c r="I23" s="325">
        <f>I22*J20</f>
        <v>0</v>
      </c>
      <c r="J23" s="24"/>
      <c r="K23" s="22">
        <f>K22*L20</f>
        <v>38.723535249572528</v>
      </c>
      <c r="L23" s="24"/>
      <c r="M23" s="325">
        <f>M22*N20</f>
        <v>1</v>
      </c>
      <c r="N23" s="24"/>
      <c r="O23" s="325">
        <f>O22*P20</f>
        <v>2851.7875899378237</v>
      </c>
      <c r="P23" s="25"/>
      <c r="Q23" s="22" t="e">
        <f>Q22*R20</f>
        <v>#DIV/0!</v>
      </c>
      <c r="R23" s="25"/>
      <c r="S23" s="22" t="e">
        <f>S22*T20</f>
        <v>#DIV/0!</v>
      </c>
      <c r="T23" s="25"/>
      <c r="U23" s="22" t="e">
        <f>U22*V20</f>
        <v>#DIV/0!</v>
      </c>
      <c r="V23" s="25"/>
      <c r="X23" s="237">
        <f>+C23+E23+G23+I23+K23+M23+O23</f>
        <v>16307.402966926595</v>
      </c>
      <c r="Y23" s="190"/>
    </row>
    <row r="24" spans="2:25" x14ac:dyDescent="0.2">
      <c r="X24" s="233"/>
    </row>
    <row r="25" spans="2:25" x14ac:dyDescent="0.2">
      <c r="B25" s="172" t="s">
        <v>175</v>
      </c>
      <c r="X25" s="233"/>
    </row>
    <row r="26" spans="2:25" ht="13.5" thickBot="1" x14ac:dyDescent="0.25">
      <c r="X26" s="233"/>
    </row>
    <row r="27" spans="2:25" x14ac:dyDescent="0.2">
      <c r="B27" s="294" t="s">
        <v>31</v>
      </c>
      <c r="C27" s="26"/>
      <c r="D27" s="26"/>
      <c r="E27" s="26"/>
      <c r="F27" s="26"/>
      <c r="G27" s="26"/>
      <c r="H27" s="26"/>
      <c r="I27" s="26"/>
      <c r="J27" s="26"/>
      <c r="K27" s="26"/>
      <c r="L27" s="26"/>
      <c r="M27" s="26"/>
      <c r="N27" s="26"/>
      <c r="O27" s="26"/>
      <c r="P27" s="27"/>
      <c r="Q27" s="330"/>
      <c r="R27" s="27"/>
      <c r="S27" s="26"/>
      <c r="T27" s="27"/>
      <c r="U27" s="26"/>
      <c r="V27" s="27"/>
      <c r="X27" s="1341" t="s">
        <v>31</v>
      </c>
      <c r="Y27" s="1342"/>
    </row>
    <row r="28" spans="2:25" x14ac:dyDescent="0.2">
      <c r="B28" s="163" t="str">
        <f>'1. LDC Info'!F16</f>
        <v>2015</v>
      </c>
      <c r="C28" s="327">
        <f>ROUND((12165*1.0167+12165)/2,0)</f>
        <v>12267</v>
      </c>
      <c r="D28" s="10">
        <f>C28/C18</f>
        <v>1.0153120344313855</v>
      </c>
      <c r="E28" s="327">
        <f>ROUND(E22,0)</f>
        <v>786</v>
      </c>
      <c r="F28" s="10">
        <f>E28/E18</f>
        <v>1.0038314176245211</v>
      </c>
      <c r="G28" s="327">
        <v>40</v>
      </c>
      <c r="H28" s="10">
        <f>G28/G18</f>
        <v>0.97560975609756095</v>
      </c>
      <c r="I28" s="327">
        <v>0</v>
      </c>
      <c r="J28" s="168">
        <f>IF(I28&gt;0,+I28/I18,0)</f>
        <v>0</v>
      </c>
      <c r="K28" s="327">
        <v>37</v>
      </c>
      <c r="L28" s="10">
        <f>K28/K18</f>
        <v>1.0277777777777777</v>
      </c>
      <c r="M28" s="327">
        <v>1</v>
      </c>
      <c r="N28" s="168">
        <f>IF(M28&gt;0,+M28/M18,0)</f>
        <v>1</v>
      </c>
      <c r="O28" s="327">
        <v>2777.4</v>
      </c>
      <c r="P28" s="11">
        <f>O28/O18</f>
        <v>1.0143900657414171</v>
      </c>
      <c r="Q28" s="219"/>
      <c r="R28" s="11" t="e">
        <f>Q28/Q18</f>
        <v>#DIV/0!</v>
      </c>
      <c r="S28" s="28"/>
      <c r="T28" s="11" t="e">
        <f>S28/S18</f>
        <v>#DIV/0!</v>
      </c>
      <c r="U28" s="28"/>
      <c r="V28" s="11" t="e">
        <f>U28/U18</f>
        <v>#DIV/0!</v>
      </c>
      <c r="X28" s="441">
        <f>+C28+E28+G28+I28+K28+M28+O28</f>
        <v>15908.4</v>
      </c>
      <c r="Y28" s="169">
        <f>X28/X18</f>
        <v>1.0145016261718003</v>
      </c>
    </row>
    <row r="29" spans="2:25" ht="13.5" thickBot="1" x14ac:dyDescent="0.25">
      <c r="B29" s="162" t="str">
        <f>'1. LDC Info'!F18</f>
        <v>2016</v>
      </c>
      <c r="C29" s="328">
        <f>C28*1.0167</f>
        <v>12471.858899999999</v>
      </c>
      <c r="D29" s="322">
        <f>IF(C29&gt;0,+C29/C28,0)</f>
        <v>1.0166999999999999</v>
      </c>
      <c r="E29" s="328">
        <f>ROUND(E23,0)</f>
        <v>789</v>
      </c>
      <c r="F29" s="322">
        <f>IF(E29&gt;0,+E29/E28,0)</f>
        <v>1.0038167938931297</v>
      </c>
      <c r="G29" s="328">
        <v>40</v>
      </c>
      <c r="H29" s="322">
        <f>IF(G29&gt;0,+G29/G28,0)</f>
        <v>1</v>
      </c>
      <c r="I29" s="328">
        <v>0</v>
      </c>
      <c r="J29" s="322">
        <f>IF(I29&gt;0,+I29/I28,0)</f>
        <v>0</v>
      </c>
      <c r="K29" s="328">
        <v>37</v>
      </c>
      <c r="L29" s="322">
        <f>IF(K29&gt;0,+K29/K28,0)</f>
        <v>1</v>
      </c>
      <c r="M29" s="328">
        <v>1</v>
      </c>
      <c r="N29" s="322">
        <f>IF(M29&gt;0,+M29/M28,0)</f>
        <v>1</v>
      </c>
      <c r="O29" s="328">
        <v>2819</v>
      </c>
      <c r="P29" s="238">
        <f>IF(O29&gt;0,+O29/O28,0)</f>
        <v>1.0149780370130337</v>
      </c>
      <c r="Q29" s="49"/>
      <c r="R29" s="30" t="e">
        <f>Q29/Q28</f>
        <v>#DIV/0!</v>
      </c>
      <c r="S29" s="29"/>
      <c r="T29" s="30" t="e">
        <f>S29/S28</f>
        <v>#DIV/0!</v>
      </c>
      <c r="U29" s="29"/>
      <c r="V29" s="30" t="e">
        <f>U29/U28</f>
        <v>#DIV/0!</v>
      </c>
      <c r="X29" s="442">
        <f>+C29+E29+G29+I29+K29+M29+O29</f>
        <v>16157.858899999999</v>
      </c>
      <c r="Y29" s="238">
        <f>X29/X28</f>
        <v>1.0156809547157477</v>
      </c>
    </row>
    <row r="30" spans="2:25" x14ac:dyDescent="0.2">
      <c r="C30" s="177"/>
      <c r="X30" s="233"/>
    </row>
    <row r="31" spans="2:25" x14ac:dyDescent="0.2">
      <c r="B31" s="1" t="s">
        <v>123</v>
      </c>
      <c r="X31" s="233"/>
    </row>
    <row r="32" spans="2:25" ht="13.5" thickBot="1" x14ac:dyDescent="0.25">
      <c r="X32" s="233"/>
    </row>
    <row r="33" spans="2:25" ht="13.5" thickBot="1" x14ac:dyDescent="0.25">
      <c r="B33" s="1343" t="s">
        <v>154</v>
      </c>
      <c r="C33" s="1344"/>
      <c r="D33" s="1344"/>
      <c r="E33" s="1344"/>
      <c r="F33" s="1344"/>
      <c r="G33" s="1344"/>
      <c r="H33" s="1344"/>
      <c r="I33" s="1344"/>
      <c r="J33" s="1344"/>
      <c r="K33" s="1344"/>
      <c r="L33" s="1344"/>
      <c r="M33" s="1344"/>
      <c r="N33" s="1344"/>
      <c r="O33" s="1344"/>
      <c r="P33" s="1345"/>
      <c r="X33" s="1341" t="s">
        <v>31</v>
      </c>
      <c r="Y33" s="1342"/>
    </row>
    <row r="34" spans="2:25" ht="13.5" thickBot="1" x14ac:dyDescent="0.25">
      <c r="B34" s="216">
        <v>2015</v>
      </c>
      <c r="C34" s="323">
        <f>IF(C28&gt;0,+C28,C22)</f>
        <v>12267</v>
      </c>
      <c r="D34" s="218">
        <f>IF(D28&gt;0,+D28,D20)</f>
        <v>1.0153120344313855</v>
      </c>
      <c r="E34" s="323">
        <f>IF(E28&gt;0,+E28,E22)</f>
        <v>786</v>
      </c>
      <c r="F34" s="218">
        <f>IF(F28&gt;0,+F28,F20)</f>
        <v>1.0038314176245211</v>
      </c>
      <c r="G34" s="323">
        <f>IF(G28&gt;0,+G28,G22)</f>
        <v>40</v>
      </c>
      <c r="H34" s="218">
        <f>IF(H28&gt;0,+H28,H20)</f>
        <v>0.97560975609756095</v>
      </c>
      <c r="I34" s="323">
        <f>IF(I28&gt;0,+I28,I22)</f>
        <v>0</v>
      </c>
      <c r="J34" s="218">
        <f>IF(J28&gt;0,+J28,J20)</f>
        <v>0</v>
      </c>
      <c r="K34" s="323">
        <f>IF(K28&gt;0,+K28,K22)</f>
        <v>37</v>
      </c>
      <c r="L34" s="218">
        <f>IF(L28&gt;0,+L28,L20)</f>
        <v>1.0277777777777777</v>
      </c>
      <c r="M34" s="323">
        <f>IF(M28&gt;0,+M28,M22)</f>
        <v>1</v>
      </c>
      <c r="N34" s="218">
        <f>IF(N28&gt;0,+N28,N20)</f>
        <v>1</v>
      </c>
      <c r="O34" s="323">
        <f>IF(O28&gt;0,+O28,O22)</f>
        <v>2777.4</v>
      </c>
      <c r="P34" s="218">
        <f>IF(P28&gt;0,+P28,P20)</f>
        <v>1.0143900657414171</v>
      </c>
      <c r="X34" s="441">
        <f>+C34+E34+G34+I34+K34+M34+O34</f>
        <v>15908.4</v>
      </c>
      <c r="Y34" s="256">
        <f>IF(X28&gt;1,+Y28,Y20)</f>
        <v>1.0145016261718003</v>
      </c>
    </row>
    <row r="35" spans="2:25" ht="13.5" thickBot="1" x14ac:dyDescent="0.25">
      <c r="B35" s="216">
        <v>2016</v>
      </c>
      <c r="C35" s="323">
        <f>IF(C29&gt;0,+C29,C23)</f>
        <v>12471.858899999999</v>
      </c>
      <c r="D35" s="218">
        <f>IF(D29&gt;0,+D29,D20)</f>
        <v>1.0166999999999999</v>
      </c>
      <c r="E35" s="323">
        <f>IF(E29&gt;0,+E29,E23)</f>
        <v>789</v>
      </c>
      <c r="F35" s="218">
        <f>IF(F29&gt;0,+F29,F20)</f>
        <v>1.0038167938931297</v>
      </c>
      <c r="G35" s="323">
        <f>IF(G29&gt;0,+G29,G23)</f>
        <v>40</v>
      </c>
      <c r="H35" s="218">
        <f>IF(H29&gt;0,+H29,H20)</f>
        <v>1</v>
      </c>
      <c r="I35" s="323">
        <f>IF(I29&gt;0,+I29,I23)</f>
        <v>0</v>
      </c>
      <c r="J35" s="218">
        <f>IF(J29&gt;0,+J29,J20)</f>
        <v>0</v>
      </c>
      <c r="K35" s="323">
        <f>IF(K29&gt;0,+K29,K23)</f>
        <v>37</v>
      </c>
      <c r="L35" s="218">
        <f>IF(L29&gt;0,+L29,L20)</f>
        <v>1</v>
      </c>
      <c r="M35" s="323">
        <f>IF(M29&gt;0,+M29,M23)</f>
        <v>1</v>
      </c>
      <c r="N35" s="218">
        <f>IF(N29&gt;0,+N29,N20)</f>
        <v>1</v>
      </c>
      <c r="O35" s="323">
        <f>IF(O29&gt;0,+O29,O23)</f>
        <v>2819</v>
      </c>
      <c r="P35" s="218">
        <f>IF(P29&gt;0,+P29,P20)</f>
        <v>1.0149780370130337</v>
      </c>
      <c r="X35" s="442">
        <f>+C35+E35+G35+I35+K35+M35+O35</f>
        <v>16157.858899999999</v>
      </c>
      <c r="Y35" s="257">
        <f>IF(Y29&gt;1,+Y29,Y20)</f>
        <v>1.0156809547157477</v>
      </c>
    </row>
    <row r="40" spans="2:25" x14ac:dyDescent="0.2">
      <c r="C40" s="329"/>
    </row>
    <row r="41" spans="2:25" x14ac:dyDescent="0.2">
      <c r="C41" s="329"/>
    </row>
  </sheetData>
  <mergeCells count="14">
    <mergeCell ref="X7:Y7"/>
    <mergeCell ref="X27:Y27"/>
    <mergeCell ref="B33:P33"/>
    <mergeCell ref="Q7:R7"/>
    <mergeCell ref="S7:T7"/>
    <mergeCell ref="U7:V7"/>
    <mergeCell ref="O7:P7"/>
    <mergeCell ref="C7:D7"/>
    <mergeCell ref="E7:F7"/>
    <mergeCell ref="G7:H7"/>
    <mergeCell ref="K7:L7"/>
    <mergeCell ref="I7:J7"/>
    <mergeCell ref="X33:Y33"/>
    <mergeCell ref="M7:N7"/>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I161"/>
  <sheetViews>
    <sheetView showGridLines="0" zoomScale="90" zoomScaleNormal="90" zoomScaleSheetLayoutView="100" workbookViewId="0"/>
  </sheetViews>
  <sheetFormatPr defaultRowHeight="12.75" x14ac:dyDescent="0.2"/>
  <cols>
    <col min="1" max="1" width="9.33203125" style="1"/>
    <col min="2" max="2" width="24.83203125" style="51" customWidth="1"/>
    <col min="3" max="14" width="14.83203125" style="51" customWidth="1"/>
    <col min="15" max="15" width="16.6640625" style="1" customWidth="1"/>
    <col min="16" max="25" width="9.33203125" style="1"/>
    <col min="26" max="27" width="9.1640625" style="1" customWidth="1"/>
    <col min="28" max="16384" width="9.33203125" style="1"/>
  </cols>
  <sheetData>
    <row r="1" spans="1:15" x14ac:dyDescent="0.2">
      <c r="A1" s="240"/>
      <c r="B1" s="241"/>
      <c r="C1" s="241"/>
      <c r="D1" s="241"/>
      <c r="E1" s="241"/>
      <c r="F1" s="241"/>
      <c r="G1" s="241"/>
      <c r="H1" s="241"/>
      <c r="I1" s="241"/>
      <c r="J1" s="241"/>
      <c r="K1" s="241"/>
      <c r="L1" s="241"/>
      <c r="M1" s="241"/>
      <c r="N1" s="241"/>
      <c r="O1" s="240"/>
    </row>
    <row r="2" spans="1:15" ht="13.5" thickBot="1" x14ac:dyDescent="0.25">
      <c r="A2" s="240"/>
      <c r="B2" s="241"/>
      <c r="C2" s="241"/>
      <c r="D2" s="241"/>
      <c r="E2" s="241"/>
      <c r="F2" s="241"/>
      <c r="G2" s="241"/>
      <c r="H2" s="241"/>
      <c r="I2" s="241"/>
      <c r="J2" s="241"/>
      <c r="K2" s="241"/>
      <c r="L2" s="241"/>
      <c r="M2" s="241"/>
      <c r="N2" s="241"/>
      <c r="O2" s="240"/>
    </row>
    <row r="3" spans="1:15" ht="24" thickBot="1" x14ac:dyDescent="0.4">
      <c r="A3" s="240"/>
      <c r="B3" s="242" t="s">
        <v>144</v>
      </c>
      <c r="C3" s="241"/>
      <c r="D3" s="241"/>
      <c r="E3" s="241"/>
      <c r="F3" s="241"/>
      <c r="G3" s="241"/>
      <c r="H3" s="241"/>
      <c r="I3" s="241"/>
      <c r="J3" s="241"/>
      <c r="K3" s="241"/>
      <c r="L3" s="331"/>
      <c r="M3" s="332" t="s">
        <v>173</v>
      </c>
      <c r="N3" s="241"/>
      <c r="O3" s="240"/>
    </row>
    <row r="4" spans="1:15" x14ac:dyDescent="0.2">
      <c r="A4" s="240"/>
      <c r="B4" s="241"/>
      <c r="C4" s="241"/>
      <c r="D4" s="241"/>
      <c r="E4" s="241"/>
      <c r="F4" s="241"/>
      <c r="G4" s="241"/>
      <c r="H4" s="241"/>
      <c r="I4" s="241"/>
      <c r="J4" s="241"/>
      <c r="K4" s="241"/>
      <c r="L4" s="241"/>
      <c r="M4" s="241"/>
      <c r="N4" s="241"/>
      <c r="O4" s="240"/>
    </row>
    <row r="5" spans="1:15" x14ac:dyDescent="0.2">
      <c r="A5" s="240"/>
      <c r="B5" s="241"/>
      <c r="C5" s="241"/>
      <c r="D5" s="241"/>
      <c r="E5" s="241"/>
      <c r="F5" s="241"/>
      <c r="G5" s="241"/>
      <c r="H5" s="241"/>
      <c r="I5" s="241"/>
      <c r="J5" s="241"/>
      <c r="K5" s="241"/>
      <c r="L5" s="241"/>
      <c r="M5" s="241"/>
      <c r="N5" s="241"/>
      <c r="O5" s="240"/>
    </row>
    <row r="6" spans="1:15" x14ac:dyDescent="0.2">
      <c r="A6" s="240"/>
      <c r="B6" s="241"/>
      <c r="C6" s="241"/>
      <c r="D6" s="241"/>
      <c r="E6" s="241"/>
      <c r="F6" s="241"/>
      <c r="G6" s="241"/>
      <c r="H6" s="241"/>
      <c r="I6" s="241"/>
      <c r="J6" s="241"/>
      <c r="K6" s="241"/>
      <c r="L6" s="241"/>
      <c r="M6" s="241"/>
      <c r="N6" s="241"/>
      <c r="O6" s="240"/>
    </row>
    <row r="7" spans="1:15" x14ac:dyDescent="0.2">
      <c r="A7" s="240"/>
      <c r="B7" s="241"/>
      <c r="C7" s="241"/>
      <c r="D7" s="241"/>
      <c r="E7" s="241"/>
      <c r="F7" s="241"/>
      <c r="G7" s="241"/>
      <c r="H7" s="241"/>
      <c r="I7" s="241"/>
      <c r="J7" s="241"/>
      <c r="K7" s="241"/>
      <c r="L7" s="241"/>
      <c r="M7" s="241"/>
      <c r="N7" s="241"/>
      <c r="O7" s="240"/>
    </row>
    <row r="8" spans="1:15" x14ac:dyDescent="0.2">
      <c r="A8" s="240"/>
      <c r="B8" s="241"/>
      <c r="C8" s="241"/>
      <c r="D8" s="241"/>
      <c r="E8" s="241"/>
      <c r="F8" s="241"/>
      <c r="G8" s="241"/>
      <c r="H8" s="241"/>
      <c r="I8" s="241"/>
      <c r="J8" s="241"/>
      <c r="K8" s="241"/>
      <c r="L8" s="241"/>
      <c r="M8" s="241"/>
      <c r="N8" s="241"/>
      <c r="O8" s="240"/>
    </row>
    <row r="9" spans="1:15" x14ac:dyDescent="0.2">
      <c r="A9" s="240"/>
      <c r="B9" s="241"/>
      <c r="C9" s="241"/>
      <c r="D9" s="241"/>
      <c r="E9" s="241"/>
      <c r="F9" s="241"/>
      <c r="G9" s="241"/>
      <c r="H9" s="241"/>
      <c r="I9" s="241"/>
      <c r="J9" s="241"/>
      <c r="K9" s="241"/>
      <c r="L9" s="241"/>
      <c r="M9" s="241"/>
      <c r="N9" s="241"/>
      <c r="O9" s="240"/>
    </row>
    <row r="10" spans="1:15" x14ac:dyDescent="0.2">
      <c r="A10" s="240"/>
      <c r="B10" s="239" t="s">
        <v>1</v>
      </c>
      <c r="C10" s="241"/>
      <c r="D10" s="241"/>
      <c r="E10" s="241"/>
      <c r="F10" s="241"/>
      <c r="G10" s="241"/>
      <c r="H10" s="241"/>
      <c r="I10" s="241"/>
      <c r="J10" s="241"/>
      <c r="K10" s="241"/>
      <c r="L10" s="241"/>
      <c r="M10" s="241"/>
      <c r="N10" s="241"/>
      <c r="O10" s="240"/>
    </row>
    <row r="11" spans="1:15" x14ac:dyDescent="0.2">
      <c r="A11" s="243"/>
      <c r="B11" s="244"/>
      <c r="C11" s="245" t="s">
        <v>132</v>
      </c>
      <c r="D11" s="245" t="s">
        <v>133</v>
      </c>
      <c r="E11" s="245" t="s">
        <v>134</v>
      </c>
      <c r="F11" s="245" t="s">
        <v>135</v>
      </c>
      <c r="G11" s="245" t="s">
        <v>110</v>
      </c>
      <c r="H11" s="245" t="s">
        <v>136</v>
      </c>
      <c r="I11" s="245" t="s">
        <v>137</v>
      </c>
      <c r="J11" s="245" t="s">
        <v>138</v>
      </c>
      <c r="K11" s="245" t="s">
        <v>139</v>
      </c>
      <c r="L11" s="245" t="s">
        <v>142</v>
      </c>
      <c r="M11" s="245" t="s">
        <v>140</v>
      </c>
      <c r="N11" s="245" t="s">
        <v>141</v>
      </c>
      <c r="O11" s="240"/>
    </row>
    <row r="12" spans="1:15" ht="12" customHeight="1" x14ac:dyDescent="0.2">
      <c r="A12" s="240"/>
      <c r="B12" s="246">
        <f>'1. LDC Info'!F18-20</f>
        <v>1996</v>
      </c>
      <c r="C12" s="443">
        <v>764.1</v>
      </c>
      <c r="D12" s="443">
        <v>693.7</v>
      </c>
      <c r="E12" s="443">
        <v>645.5</v>
      </c>
      <c r="F12" s="443">
        <v>428.8</v>
      </c>
      <c r="G12" s="443">
        <v>237.5</v>
      </c>
      <c r="H12" s="443">
        <v>41.1</v>
      </c>
      <c r="I12" s="443">
        <v>17.899999999999999</v>
      </c>
      <c r="J12" s="443">
        <v>6.6</v>
      </c>
      <c r="K12" s="443">
        <v>78</v>
      </c>
      <c r="L12" s="443">
        <v>254.1</v>
      </c>
      <c r="M12" s="443">
        <v>507.1</v>
      </c>
      <c r="N12" s="443">
        <v>545.1</v>
      </c>
      <c r="O12" s="240"/>
    </row>
    <row r="13" spans="1:15" ht="12" customHeight="1" x14ac:dyDescent="0.2">
      <c r="A13" s="240"/>
      <c r="B13" s="246">
        <f>'1. LDC Info'!F18-19</f>
        <v>1997</v>
      </c>
      <c r="C13" s="443">
        <v>752.8</v>
      </c>
      <c r="D13" s="443">
        <v>596.9</v>
      </c>
      <c r="E13" s="443">
        <v>611.70000000000005</v>
      </c>
      <c r="F13" s="443">
        <v>397.6</v>
      </c>
      <c r="G13" s="443">
        <v>291</v>
      </c>
      <c r="H13" s="443">
        <v>39.299999999999997</v>
      </c>
      <c r="I13" s="443">
        <v>19.3</v>
      </c>
      <c r="J13" s="443">
        <v>24.5</v>
      </c>
      <c r="K13" s="443">
        <v>67.3</v>
      </c>
      <c r="L13" s="443">
        <v>256.10000000000002</v>
      </c>
      <c r="M13" s="443">
        <v>451.8</v>
      </c>
      <c r="N13" s="443">
        <v>584</v>
      </c>
      <c r="O13" s="240"/>
    </row>
    <row r="14" spans="1:15" ht="12" customHeight="1" x14ac:dyDescent="0.2">
      <c r="A14" s="240"/>
      <c r="B14" s="246">
        <f>'1. LDC Info'!F18-18</f>
        <v>1998</v>
      </c>
      <c r="C14" s="443">
        <v>672.3</v>
      </c>
      <c r="D14" s="443">
        <v>564</v>
      </c>
      <c r="E14" s="443">
        <v>535.6</v>
      </c>
      <c r="F14" s="443">
        <v>347.4</v>
      </c>
      <c r="G14" s="443">
        <v>94.1</v>
      </c>
      <c r="H14" s="443">
        <v>72.900000000000006</v>
      </c>
      <c r="I14" s="443">
        <v>5.2</v>
      </c>
      <c r="J14" s="443">
        <v>7.8</v>
      </c>
      <c r="K14" s="443">
        <v>42.9</v>
      </c>
      <c r="L14" s="443">
        <v>237.7</v>
      </c>
      <c r="M14" s="443">
        <v>400.8</v>
      </c>
      <c r="N14" s="443">
        <v>523</v>
      </c>
      <c r="O14" s="240"/>
    </row>
    <row r="15" spans="1:15" ht="12" customHeight="1" x14ac:dyDescent="0.2">
      <c r="A15" s="240"/>
      <c r="B15" s="246">
        <f>'1. LDC Info'!F18-17</f>
        <v>1999</v>
      </c>
      <c r="C15" s="443">
        <v>737.1</v>
      </c>
      <c r="D15" s="443">
        <v>550.20000000000005</v>
      </c>
      <c r="E15" s="443">
        <v>565.79999999999995</v>
      </c>
      <c r="F15" s="443">
        <v>326.5</v>
      </c>
      <c r="G15" s="443">
        <v>127</v>
      </c>
      <c r="H15" s="443">
        <v>31.9</v>
      </c>
      <c r="I15" s="443">
        <v>3.1</v>
      </c>
      <c r="J15" s="443">
        <v>8.6999999999999993</v>
      </c>
      <c r="K15" s="443">
        <v>45.6</v>
      </c>
      <c r="L15" s="443">
        <v>256.3</v>
      </c>
      <c r="M15" s="443">
        <v>351.6</v>
      </c>
      <c r="N15" s="443">
        <v>583.4</v>
      </c>
      <c r="O15" s="240"/>
    </row>
    <row r="16" spans="1:15" ht="12" customHeight="1" x14ac:dyDescent="0.2">
      <c r="A16" s="240"/>
      <c r="B16" s="246">
        <f>'1. LDC Info'!F18-16</f>
        <v>2000</v>
      </c>
      <c r="C16" s="443">
        <v>717.5</v>
      </c>
      <c r="D16" s="443">
        <v>581.5</v>
      </c>
      <c r="E16" s="443">
        <v>442.2</v>
      </c>
      <c r="F16" s="443">
        <v>375</v>
      </c>
      <c r="G16" s="443">
        <v>138.5</v>
      </c>
      <c r="H16" s="443">
        <v>59.4</v>
      </c>
      <c r="I16" s="443">
        <v>30</v>
      </c>
      <c r="J16" s="443">
        <v>23.1</v>
      </c>
      <c r="K16" s="443">
        <v>106.8</v>
      </c>
      <c r="L16" s="443">
        <v>130.19999999999999</v>
      </c>
      <c r="M16" s="443">
        <v>177.7</v>
      </c>
      <c r="N16" s="443">
        <v>748.6</v>
      </c>
      <c r="O16" s="240"/>
    </row>
    <row r="17" spans="1:26" ht="12" customHeight="1" x14ac:dyDescent="0.2">
      <c r="A17" s="240"/>
      <c r="B17" s="246">
        <f>'1. LDC Info'!F18-15</f>
        <v>2001</v>
      </c>
      <c r="C17" s="443">
        <v>657.9</v>
      </c>
      <c r="D17" s="443">
        <v>554</v>
      </c>
      <c r="E17" s="443">
        <v>528.79999999999995</v>
      </c>
      <c r="F17" s="443">
        <v>242.6</v>
      </c>
      <c r="G17" s="443">
        <v>129.4</v>
      </c>
      <c r="H17" s="443">
        <v>63.6</v>
      </c>
      <c r="I17" s="443">
        <v>19.8</v>
      </c>
      <c r="J17" s="443">
        <v>0.6</v>
      </c>
      <c r="K17" s="443">
        <v>93.9</v>
      </c>
      <c r="L17" s="443">
        <v>230.3</v>
      </c>
      <c r="M17" s="443">
        <v>309.8</v>
      </c>
      <c r="N17" s="443">
        <v>496</v>
      </c>
      <c r="O17" s="240"/>
    </row>
    <row r="18" spans="1:26" ht="12" customHeight="1" x14ac:dyDescent="0.2">
      <c r="A18" s="240"/>
      <c r="B18" s="246">
        <f>'1. LDC Info'!F18-14</f>
        <v>2002</v>
      </c>
      <c r="C18" s="443">
        <v>570.20000000000005</v>
      </c>
      <c r="D18" s="443">
        <v>542.9</v>
      </c>
      <c r="E18" s="443">
        <v>571.5</v>
      </c>
      <c r="F18" s="443">
        <v>342.7</v>
      </c>
      <c r="G18" s="443">
        <v>236.5</v>
      </c>
      <c r="H18" s="443">
        <v>59.7</v>
      </c>
      <c r="I18" s="443">
        <v>3.8</v>
      </c>
      <c r="J18" s="443">
        <v>5</v>
      </c>
      <c r="K18" s="443">
        <v>30.3</v>
      </c>
      <c r="L18" s="443">
        <v>304.39999999999998</v>
      </c>
      <c r="M18" s="443">
        <v>375.1</v>
      </c>
      <c r="N18" s="443">
        <v>613.70000000000005</v>
      </c>
      <c r="O18" s="240"/>
    </row>
    <row r="19" spans="1:26" ht="12" customHeight="1" x14ac:dyDescent="0.2">
      <c r="A19" s="240"/>
      <c r="B19" s="246">
        <f>'1. LDC Info'!F18-13</f>
        <v>2003</v>
      </c>
      <c r="C19" s="443">
        <v>805.3</v>
      </c>
      <c r="D19" s="443">
        <v>743.3</v>
      </c>
      <c r="E19" s="443">
        <v>611</v>
      </c>
      <c r="F19" s="443">
        <v>426.4</v>
      </c>
      <c r="G19" s="443">
        <v>231.3</v>
      </c>
      <c r="H19" s="443">
        <v>70.900000000000006</v>
      </c>
      <c r="I19" s="443">
        <v>4.3</v>
      </c>
      <c r="J19" s="443">
        <v>3.9</v>
      </c>
      <c r="K19" s="443">
        <v>56.5</v>
      </c>
      <c r="L19" s="443">
        <v>270.3</v>
      </c>
      <c r="M19" s="443">
        <v>386</v>
      </c>
      <c r="N19" s="443">
        <v>581.79999999999995</v>
      </c>
      <c r="O19" s="240"/>
    </row>
    <row r="20" spans="1:26" ht="12" customHeight="1" x14ac:dyDescent="0.2">
      <c r="A20" s="240"/>
      <c r="B20" s="246">
        <f>'1. LDC Info'!F18-12</f>
        <v>2004</v>
      </c>
      <c r="C20" s="443">
        <v>865.2</v>
      </c>
      <c r="D20" s="443">
        <v>652.20000000000005</v>
      </c>
      <c r="E20" s="443">
        <v>525</v>
      </c>
      <c r="F20" s="443">
        <v>371.4</v>
      </c>
      <c r="G20" s="443">
        <v>205.5</v>
      </c>
      <c r="H20" s="443">
        <v>64.2</v>
      </c>
      <c r="I20" s="443">
        <v>14</v>
      </c>
      <c r="J20" s="443">
        <v>22.9</v>
      </c>
      <c r="K20" s="443">
        <v>49.7</v>
      </c>
      <c r="L20" s="443">
        <v>223.9</v>
      </c>
      <c r="M20" s="443">
        <v>394.8</v>
      </c>
      <c r="N20" s="443">
        <v>664.1</v>
      </c>
      <c r="O20" s="240"/>
    </row>
    <row r="21" spans="1:26" x14ac:dyDescent="0.2">
      <c r="A21" s="240"/>
      <c r="B21" s="246">
        <f>'1. LDC Info'!F18-11</f>
        <v>2005</v>
      </c>
      <c r="C21" s="443">
        <v>780.6</v>
      </c>
      <c r="D21" s="443">
        <v>627.9</v>
      </c>
      <c r="E21" s="443">
        <v>646.4</v>
      </c>
      <c r="F21" s="443">
        <v>358.2</v>
      </c>
      <c r="G21" s="443">
        <v>234.3</v>
      </c>
      <c r="H21" s="443">
        <v>18.5</v>
      </c>
      <c r="I21" s="443">
        <v>1.6</v>
      </c>
      <c r="J21" s="443">
        <v>3.7</v>
      </c>
      <c r="K21" s="443">
        <v>30.2</v>
      </c>
      <c r="L21" s="443">
        <v>214.8</v>
      </c>
      <c r="M21" s="443">
        <v>392.5</v>
      </c>
      <c r="N21" s="443">
        <v>658.5</v>
      </c>
      <c r="O21" s="240"/>
      <c r="Z21" s="214" t="str">
        <f>+$B$10</f>
        <v>HDD</v>
      </c>
    </row>
    <row r="22" spans="1:26" x14ac:dyDescent="0.2">
      <c r="A22" s="240"/>
      <c r="B22" s="246">
        <f>'1. LDC Info'!F18-10</f>
        <v>2006</v>
      </c>
      <c r="C22" s="443">
        <v>573.5</v>
      </c>
      <c r="D22" s="443">
        <v>630.6</v>
      </c>
      <c r="E22" s="443">
        <v>555.29999999999995</v>
      </c>
      <c r="F22" s="443">
        <v>323.8</v>
      </c>
      <c r="G22" s="443">
        <v>160.9</v>
      </c>
      <c r="H22" s="443">
        <v>46.1</v>
      </c>
      <c r="I22" s="443">
        <v>2.5</v>
      </c>
      <c r="J22" s="443">
        <v>12.1</v>
      </c>
      <c r="K22" s="443">
        <v>98.2</v>
      </c>
      <c r="L22" s="443">
        <v>287.7</v>
      </c>
      <c r="M22" s="443">
        <v>367.5</v>
      </c>
      <c r="N22" s="443">
        <v>503.7</v>
      </c>
      <c r="O22" s="240"/>
      <c r="Z22" s="214" t="str">
        <f>+B33</f>
        <v>CDD</v>
      </c>
    </row>
    <row r="23" spans="1:26" x14ac:dyDescent="0.2">
      <c r="A23" s="240"/>
      <c r="B23" s="246">
        <f>'1. LDC Info'!F18-9</f>
        <v>2007</v>
      </c>
      <c r="C23" s="443">
        <v>668.8</v>
      </c>
      <c r="D23" s="443">
        <v>729.3</v>
      </c>
      <c r="E23" s="443">
        <v>559.9</v>
      </c>
      <c r="F23" s="443">
        <v>402.3</v>
      </c>
      <c r="G23" s="443">
        <v>185.5</v>
      </c>
      <c r="H23" s="443">
        <v>45.6</v>
      </c>
      <c r="I23" s="443">
        <v>13.4</v>
      </c>
      <c r="J23" s="443">
        <v>17.5</v>
      </c>
      <c r="K23" s="443">
        <v>50.4</v>
      </c>
      <c r="L23" s="443">
        <v>141.9</v>
      </c>
      <c r="M23" s="443">
        <v>466.3</v>
      </c>
      <c r="N23" s="443">
        <v>654.1</v>
      </c>
      <c r="O23" s="240"/>
      <c r="Z23" s="214" t="str">
        <f>+B56</f>
        <v>Spring Fall Flag</v>
      </c>
    </row>
    <row r="24" spans="1:26" x14ac:dyDescent="0.2">
      <c r="A24" s="240"/>
      <c r="B24" s="246">
        <f>'1. LDC Info'!F18-8</f>
        <v>2008</v>
      </c>
      <c r="C24" s="443">
        <v>622.1</v>
      </c>
      <c r="D24" s="443">
        <v>688.6</v>
      </c>
      <c r="E24" s="443">
        <v>630.20000000000005</v>
      </c>
      <c r="F24" s="443">
        <v>280.39999999999998</v>
      </c>
      <c r="G24" s="443">
        <v>238.1</v>
      </c>
      <c r="H24" s="443">
        <v>35.200000000000003</v>
      </c>
      <c r="I24" s="443">
        <v>9.5</v>
      </c>
      <c r="J24" s="443">
        <v>19.399999999999999</v>
      </c>
      <c r="K24" s="443">
        <v>72.7</v>
      </c>
      <c r="L24" s="443">
        <v>273</v>
      </c>
      <c r="M24" s="443">
        <v>444.3</v>
      </c>
      <c r="N24" s="443">
        <v>668.4</v>
      </c>
      <c r="O24" s="240"/>
      <c r="Z24" s="214" t="str">
        <f>+B70</f>
        <v>Days in Month</v>
      </c>
    </row>
    <row r="25" spans="1:26" x14ac:dyDescent="0.2">
      <c r="A25" s="240"/>
      <c r="B25" s="246">
        <f>'1. LDC Info'!F18-7</f>
        <v>2009</v>
      </c>
      <c r="C25" s="443">
        <v>816.5</v>
      </c>
      <c r="D25" s="443">
        <v>620.1</v>
      </c>
      <c r="E25" s="443">
        <v>556.5</v>
      </c>
      <c r="F25" s="443">
        <v>352</v>
      </c>
      <c r="G25" s="443">
        <v>232.5</v>
      </c>
      <c r="H25" s="443">
        <v>98.2</v>
      </c>
      <c r="I25" s="443">
        <v>21.5</v>
      </c>
      <c r="J25" s="443">
        <v>20</v>
      </c>
      <c r="K25" s="443">
        <v>75.8</v>
      </c>
      <c r="L25" s="443">
        <v>296.5</v>
      </c>
      <c r="M25" s="443">
        <v>351.5</v>
      </c>
      <c r="N25" s="443">
        <v>619</v>
      </c>
      <c r="O25" s="240"/>
      <c r="Z25" s="214" t="str">
        <f>+B84</f>
        <v>Customer Count</v>
      </c>
    </row>
    <row r="26" spans="1:26" x14ac:dyDescent="0.2">
      <c r="A26" s="240"/>
      <c r="B26" s="246">
        <f>'1. LDC Info'!F18-6</f>
        <v>2010</v>
      </c>
      <c r="C26" s="443">
        <v>725.8</v>
      </c>
      <c r="D26" s="443">
        <v>625.29999999999995</v>
      </c>
      <c r="E26" s="443">
        <v>485</v>
      </c>
      <c r="F26" s="443">
        <v>265</v>
      </c>
      <c r="G26" s="443">
        <v>139</v>
      </c>
      <c r="H26" s="443">
        <v>51.7</v>
      </c>
      <c r="I26" s="443">
        <v>7.7</v>
      </c>
      <c r="J26" s="443">
        <v>6</v>
      </c>
      <c r="K26" s="443">
        <v>93.2</v>
      </c>
      <c r="L26" s="443">
        <v>238.8</v>
      </c>
      <c r="M26" s="443">
        <v>410</v>
      </c>
      <c r="N26" s="443">
        <v>668.7</v>
      </c>
      <c r="O26" s="240"/>
    </row>
    <row r="27" spans="1:26" x14ac:dyDescent="0.2">
      <c r="A27" s="240"/>
      <c r="B27" s="246">
        <f>'1. LDC Info'!F18-5</f>
        <v>2011</v>
      </c>
      <c r="C27" s="443">
        <v>777.5</v>
      </c>
      <c r="D27" s="443">
        <v>645.29999999999995</v>
      </c>
      <c r="E27" s="443">
        <v>610.79999999999995</v>
      </c>
      <c r="F27" s="443">
        <v>334.7</v>
      </c>
      <c r="G27" s="443">
        <v>175.6</v>
      </c>
      <c r="H27" s="443">
        <v>58.4</v>
      </c>
      <c r="I27" s="443">
        <v>0.7</v>
      </c>
      <c r="J27" s="443">
        <v>2.7</v>
      </c>
      <c r="K27" s="443">
        <v>72.3</v>
      </c>
      <c r="L27" s="443">
        <v>223</v>
      </c>
      <c r="M27" s="443">
        <v>336.2</v>
      </c>
      <c r="N27" s="443">
        <v>555.29999999999995</v>
      </c>
      <c r="O27" s="240"/>
    </row>
    <row r="28" spans="1:26" x14ac:dyDescent="0.2">
      <c r="A28" s="240"/>
      <c r="B28" s="246">
        <f>'1. LDC Info'!F18-4</f>
        <v>2012</v>
      </c>
      <c r="C28" s="444">
        <v>633.70000000000005</v>
      </c>
      <c r="D28" s="444">
        <v>551.6</v>
      </c>
      <c r="E28" s="444">
        <v>362.4</v>
      </c>
      <c r="F28" s="444">
        <v>377.9</v>
      </c>
      <c r="G28" s="444">
        <v>133.5</v>
      </c>
      <c r="H28" s="444">
        <v>40.799999999999997</v>
      </c>
      <c r="I28" s="444">
        <v>0.2</v>
      </c>
      <c r="J28" s="444">
        <v>4.5</v>
      </c>
      <c r="K28" s="444">
        <v>90.2</v>
      </c>
      <c r="L28" s="444">
        <v>235.2</v>
      </c>
      <c r="M28" s="444">
        <v>446</v>
      </c>
      <c r="N28" s="444">
        <v>524</v>
      </c>
      <c r="O28" s="240"/>
    </row>
    <row r="29" spans="1:26" x14ac:dyDescent="0.2">
      <c r="A29" s="240"/>
      <c r="B29" s="246">
        <f>'1. LDC Info'!F18-3</f>
        <v>2013</v>
      </c>
      <c r="C29" s="444">
        <v>638.9</v>
      </c>
      <c r="D29" s="444">
        <v>647.79999999999995</v>
      </c>
      <c r="E29" s="444">
        <v>582.20000000000005</v>
      </c>
      <c r="F29" s="444">
        <v>368.7</v>
      </c>
      <c r="G29" s="444">
        <v>163.69999999999999</v>
      </c>
      <c r="H29" s="444">
        <v>73.3</v>
      </c>
      <c r="I29" s="444">
        <v>6.3</v>
      </c>
      <c r="J29" s="444">
        <v>13.8</v>
      </c>
      <c r="K29" s="444">
        <v>103.5</v>
      </c>
      <c r="L29" s="444">
        <v>189.8</v>
      </c>
      <c r="M29" s="444">
        <v>476.7</v>
      </c>
      <c r="N29" s="444">
        <v>717.5</v>
      </c>
      <c r="O29" s="240"/>
    </row>
    <row r="30" spans="1:26" x14ac:dyDescent="0.2">
      <c r="A30" s="240"/>
      <c r="B30" s="246">
        <f>'1. LDC Info'!F18-2</f>
        <v>2014</v>
      </c>
      <c r="C30" s="248">
        <v>826.1</v>
      </c>
      <c r="D30" s="248">
        <v>740.1</v>
      </c>
      <c r="E30" s="248">
        <v>730</v>
      </c>
      <c r="F30" s="248">
        <v>389.7</v>
      </c>
      <c r="G30" s="248">
        <v>174.6</v>
      </c>
      <c r="H30" s="248">
        <v>57.2</v>
      </c>
      <c r="I30" s="248">
        <v>29.7</v>
      </c>
      <c r="J30" s="248">
        <v>24.1</v>
      </c>
      <c r="K30" s="248">
        <v>86.3</v>
      </c>
      <c r="L30" s="248">
        <v>238.8</v>
      </c>
      <c r="M30" s="248">
        <v>460.7</v>
      </c>
      <c r="N30" s="248">
        <v>537.70000000000005</v>
      </c>
      <c r="O30" s="240"/>
    </row>
    <row r="31" spans="1:26" x14ac:dyDescent="0.2">
      <c r="A31" s="240"/>
      <c r="B31" s="249"/>
      <c r="C31" s="241"/>
      <c r="D31" s="241"/>
      <c r="E31" s="241"/>
      <c r="F31" s="241"/>
      <c r="G31" s="241"/>
      <c r="H31" s="241"/>
      <c r="I31" s="241"/>
      <c r="J31" s="241"/>
      <c r="K31" s="241"/>
      <c r="L31" s="241"/>
      <c r="M31" s="241"/>
      <c r="N31" s="241"/>
      <c r="O31" s="240"/>
    </row>
    <row r="32" spans="1:26" x14ac:dyDescent="0.2">
      <c r="A32" s="240"/>
      <c r="B32" s="249"/>
      <c r="C32" s="241"/>
      <c r="D32" s="241"/>
      <c r="E32" s="241"/>
      <c r="F32" s="241"/>
      <c r="G32" s="241"/>
      <c r="H32" s="241"/>
      <c r="I32" s="241"/>
      <c r="J32" s="241"/>
      <c r="K32" s="241"/>
      <c r="L32" s="241"/>
      <c r="M32" s="241"/>
      <c r="N32" s="241"/>
      <c r="O32" s="240"/>
    </row>
    <row r="33" spans="1:15" x14ac:dyDescent="0.2">
      <c r="A33" s="240"/>
      <c r="B33" s="239" t="s">
        <v>2</v>
      </c>
      <c r="C33" s="241"/>
      <c r="D33" s="241"/>
      <c r="E33" s="241"/>
      <c r="F33" s="241"/>
      <c r="G33" s="241"/>
      <c r="H33" s="241"/>
      <c r="I33" s="241"/>
      <c r="J33" s="241"/>
      <c r="K33" s="241"/>
      <c r="L33" s="241"/>
      <c r="M33" s="241"/>
      <c r="N33" s="241"/>
      <c r="O33" s="240"/>
    </row>
    <row r="34" spans="1:15" x14ac:dyDescent="0.2">
      <c r="A34" s="240"/>
      <c r="B34" s="240"/>
      <c r="C34" s="245" t="s">
        <v>132</v>
      </c>
      <c r="D34" s="245" t="s">
        <v>133</v>
      </c>
      <c r="E34" s="245" t="s">
        <v>134</v>
      </c>
      <c r="F34" s="245" t="s">
        <v>135</v>
      </c>
      <c r="G34" s="245" t="s">
        <v>110</v>
      </c>
      <c r="H34" s="245" t="s">
        <v>136</v>
      </c>
      <c r="I34" s="245" t="s">
        <v>137</v>
      </c>
      <c r="J34" s="245" t="s">
        <v>138</v>
      </c>
      <c r="K34" s="245" t="s">
        <v>139</v>
      </c>
      <c r="L34" s="245" t="s">
        <v>142</v>
      </c>
      <c r="M34" s="245" t="s">
        <v>140</v>
      </c>
      <c r="N34" s="245" t="s">
        <v>141</v>
      </c>
      <c r="O34" s="240"/>
    </row>
    <row r="35" spans="1:15" x14ac:dyDescent="0.2">
      <c r="A35" s="240"/>
      <c r="B35" s="250">
        <f t="shared" ref="B35:B53" si="0">B12</f>
        <v>1996</v>
      </c>
      <c r="C35" s="443">
        <v>0</v>
      </c>
      <c r="D35" s="443">
        <v>0</v>
      </c>
      <c r="E35" s="443">
        <v>0</v>
      </c>
      <c r="F35" s="443">
        <v>0</v>
      </c>
      <c r="G35" s="443">
        <v>8.3000000000000007</v>
      </c>
      <c r="H35" s="443">
        <v>19.7</v>
      </c>
      <c r="I35" s="443">
        <v>44.6</v>
      </c>
      <c r="J35" s="443">
        <v>65.599999999999994</v>
      </c>
      <c r="K35" s="443">
        <v>17.2</v>
      </c>
      <c r="L35" s="443">
        <v>2.1</v>
      </c>
      <c r="M35" s="443">
        <v>0</v>
      </c>
      <c r="N35" s="443">
        <v>0</v>
      </c>
      <c r="O35" s="240"/>
    </row>
    <row r="36" spans="1:15" x14ac:dyDescent="0.2">
      <c r="A36" s="240"/>
      <c r="B36" s="250">
        <f t="shared" si="0"/>
        <v>1997</v>
      </c>
      <c r="C36" s="443">
        <v>0</v>
      </c>
      <c r="D36" s="443">
        <v>0</v>
      </c>
      <c r="E36" s="443">
        <v>0</v>
      </c>
      <c r="F36" s="443">
        <v>0</v>
      </c>
      <c r="G36" s="443">
        <v>0</v>
      </c>
      <c r="H36" s="443">
        <v>56.6</v>
      </c>
      <c r="I36" s="443">
        <v>84.5</v>
      </c>
      <c r="J36" s="443">
        <v>17.8</v>
      </c>
      <c r="K36" s="443">
        <v>9.1</v>
      </c>
      <c r="L36" s="443">
        <v>10.9</v>
      </c>
      <c r="M36" s="443">
        <v>0</v>
      </c>
      <c r="N36" s="443">
        <v>0</v>
      </c>
      <c r="O36" s="240"/>
    </row>
    <row r="37" spans="1:15" x14ac:dyDescent="0.2">
      <c r="A37" s="240"/>
      <c r="B37" s="250">
        <f t="shared" si="0"/>
        <v>1998</v>
      </c>
      <c r="C37" s="443">
        <v>0</v>
      </c>
      <c r="D37" s="443">
        <v>0</v>
      </c>
      <c r="E37" s="443">
        <v>0</v>
      </c>
      <c r="F37" s="443">
        <v>0</v>
      </c>
      <c r="G37" s="443">
        <v>15.2</v>
      </c>
      <c r="H37" s="443">
        <v>58.3</v>
      </c>
      <c r="I37" s="443">
        <v>84.7</v>
      </c>
      <c r="J37" s="443">
        <v>81.8</v>
      </c>
      <c r="K37" s="443">
        <v>29.5</v>
      </c>
      <c r="L37" s="443">
        <v>1.3</v>
      </c>
      <c r="M37" s="443">
        <v>0</v>
      </c>
      <c r="N37" s="443">
        <v>0</v>
      </c>
      <c r="O37" s="240"/>
    </row>
    <row r="38" spans="1:15" x14ac:dyDescent="0.2">
      <c r="A38" s="240"/>
      <c r="B38" s="250">
        <f t="shared" si="0"/>
        <v>1999</v>
      </c>
      <c r="C38" s="443">
        <v>0</v>
      </c>
      <c r="D38" s="443">
        <v>0</v>
      </c>
      <c r="E38" s="443">
        <v>0</v>
      </c>
      <c r="F38" s="443">
        <v>0</v>
      </c>
      <c r="G38" s="443">
        <v>28</v>
      </c>
      <c r="H38" s="443">
        <v>83.4</v>
      </c>
      <c r="I38" s="443">
        <v>152</v>
      </c>
      <c r="J38" s="443">
        <v>64.5</v>
      </c>
      <c r="K38" s="443">
        <v>42.5</v>
      </c>
      <c r="L38" s="443">
        <v>0</v>
      </c>
      <c r="M38" s="443">
        <v>0</v>
      </c>
      <c r="N38" s="443">
        <v>0</v>
      </c>
      <c r="O38" s="240"/>
    </row>
    <row r="39" spans="1:15" x14ac:dyDescent="0.2">
      <c r="A39" s="240"/>
      <c r="B39" s="250">
        <f t="shared" si="0"/>
        <v>2000</v>
      </c>
      <c r="C39" s="443">
        <v>0</v>
      </c>
      <c r="D39" s="443">
        <v>0</v>
      </c>
      <c r="E39" s="443">
        <v>0</v>
      </c>
      <c r="F39" s="443">
        <v>0</v>
      </c>
      <c r="G39" s="443">
        <v>11.1</v>
      </c>
      <c r="H39" s="443">
        <v>33.700000000000003</v>
      </c>
      <c r="I39" s="443">
        <v>51.1</v>
      </c>
      <c r="J39" s="443">
        <v>53.8</v>
      </c>
      <c r="K39" s="443">
        <v>32</v>
      </c>
      <c r="L39" s="443">
        <v>1.8</v>
      </c>
      <c r="M39" s="443">
        <v>0</v>
      </c>
      <c r="N39" s="443">
        <v>0</v>
      </c>
      <c r="O39" s="240"/>
    </row>
    <row r="40" spans="1:15" x14ac:dyDescent="0.2">
      <c r="A40" s="240"/>
      <c r="B40" s="250">
        <f t="shared" si="0"/>
        <v>2001</v>
      </c>
      <c r="C40" s="443">
        <v>0</v>
      </c>
      <c r="D40" s="443">
        <v>0</v>
      </c>
      <c r="E40" s="443">
        <v>0</v>
      </c>
      <c r="F40" s="443">
        <v>0</v>
      </c>
      <c r="G40" s="443">
        <v>12.2</v>
      </c>
      <c r="H40" s="443">
        <v>61.5</v>
      </c>
      <c r="I40" s="443">
        <v>85.2</v>
      </c>
      <c r="J40" s="443">
        <v>128.4</v>
      </c>
      <c r="K40" s="443">
        <v>28.1</v>
      </c>
      <c r="L40" s="443">
        <v>1.8</v>
      </c>
      <c r="M40" s="443">
        <v>0</v>
      </c>
      <c r="N40" s="443">
        <v>0</v>
      </c>
      <c r="O40" s="240"/>
    </row>
    <row r="41" spans="1:15" x14ac:dyDescent="0.2">
      <c r="A41" s="240"/>
      <c r="B41" s="250">
        <f t="shared" si="0"/>
        <v>2002</v>
      </c>
      <c r="C41" s="443">
        <v>0</v>
      </c>
      <c r="D41" s="443">
        <v>0</v>
      </c>
      <c r="E41" s="443">
        <v>0</v>
      </c>
      <c r="F41" s="443">
        <v>10.3</v>
      </c>
      <c r="G41" s="443">
        <v>2.2999999999999998</v>
      </c>
      <c r="H41" s="443">
        <v>61.2</v>
      </c>
      <c r="I41" s="443">
        <v>153.9</v>
      </c>
      <c r="J41" s="443">
        <v>102.4</v>
      </c>
      <c r="K41" s="443">
        <v>81.400000000000006</v>
      </c>
      <c r="L41" s="443">
        <v>9.5</v>
      </c>
      <c r="M41" s="443">
        <v>0</v>
      </c>
      <c r="N41" s="443">
        <v>0</v>
      </c>
      <c r="O41" s="240"/>
    </row>
    <row r="42" spans="1:15" x14ac:dyDescent="0.2">
      <c r="A42" s="240"/>
      <c r="B42" s="250">
        <f t="shared" si="0"/>
        <v>2003</v>
      </c>
      <c r="C42" s="443">
        <v>0</v>
      </c>
      <c r="D42" s="443">
        <v>0</v>
      </c>
      <c r="E42" s="443">
        <v>0</v>
      </c>
      <c r="F42" s="443">
        <v>5.2</v>
      </c>
      <c r="G42" s="443">
        <v>0</v>
      </c>
      <c r="H42" s="443">
        <v>32.299999999999997</v>
      </c>
      <c r="I42" s="443">
        <v>81</v>
      </c>
      <c r="J42" s="443">
        <v>91.4</v>
      </c>
      <c r="K42" s="443">
        <v>19.7</v>
      </c>
      <c r="L42" s="443">
        <v>0</v>
      </c>
      <c r="M42" s="443">
        <v>0</v>
      </c>
      <c r="N42" s="443">
        <v>0</v>
      </c>
      <c r="O42" s="240"/>
    </row>
    <row r="43" spans="1:15" x14ac:dyDescent="0.2">
      <c r="A43" s="240"/>
      <c r="B43" s="250">
        <f t="shared" si="0"/>
        <v>2004</v>
      </c>
      <c r="C43" s="443">
        <v>0</v>
      </c>
      <c r="D43" s="443">
        <v>0</v>
      </c>
      <c r="E43" s="443">
        <v>0</v>
      </c>
      <c r="F43" s="443">
        <v>0</v>
      </c>
      <c r="G43" s="443">
        <v>7.2</v>
      </c>
      <c r="H43" s="443">
        <v>25.3</v>
      </c>
      <c r="I43" s="443">
        <v>63.9</v>
      </c>
      <c r="J43" s="443">
        <v>54.2</v>
      </c>
      <c r="K43" s="443">
        <v>49.4</v>
      </c>
      <c r="L43" s="443">
        <v>1.3</v>
      </c>
      <c r="M43" s="443">
        <v>0</v>
      </c>
      <c r="N43" s="443">
        <v>0</v>
      </c>
      <c r="O43" s="240"/>
    </row>
    <row r="44" spans="1:15" x14ac:dyDescent="0.2">
      <c r="A44" s="240"/>
      <c r="B44" s="250">
        <f t="shared" si="0"/>
        <v>2005</v>
      </c>
      <c r="C44" s="443">
        <v>0</v>
      </c>
      <c r="D44" s="443">
        <v>0</v>
      </c>
      <c r="E44" s="443">
        <v>0</v>
      </c>
      <c r="F44" s="443">
        <v>1.1000000000000001</v>
      </c>
      <c r="G44" s="443">
        <v>1.4</v>
      </c>
      <c r="H44" s="443">
        <v>102.4</v>
      </c>
      <c r="I44" s="443">
        <v>132.5</v>
      </c>
      <c r="J44" s="443">
        <v>106.4</v>
      </c>
      <c r="K44" s="443">
        <v>57.5</v>
      </c>
      <c r="L44" s="443">
        <v>20</v>
      </c>
      <c r="M44" s="443">
        <v>0</v>
      </c>
      <c r="N44" s="443">
        <v>0</v>
      </c>
      <c r="O44" s="240"/>
    </row>
    <row r="45" spans="1:15" x14ac:dyDescent="0.2">
      <c r="A45" s="240"/>
      <c r="B45" s="250">
        <f t="shared" si="0"/>
        <v>2006</v>
      </c>
      <c r="C45" s="443">
        <v>0</v>
      </c>
      <c r="D45" s="443">
        <v>0</v>
      </c>
      <c r="E45" s="443">
        <v>0</v>
      </c>
      <c r="F45" s="443">
        <v>0</v>
      </c>
      <c r="G45" s="443">
        <v>15.6</v>
      </c>
      <c r="H45" s="443">
        <v>44.9</v>
      </c>
      <c r="I45" s="443">
        <v>141.4</v>
      </c>
      <c r="J45" s="443">
        <v>73.599999999999994</v>
      </c>
      <c r="K45" s="443">
        <v>9.1999999999999993</v>
      </c>
      <c r="L45" s="443">
        <v>0.6</v>
      </c>
      <c r="M45" s="443">
        <v>0</v>
      </c>
      <c r="N45" s="443">
        <v>0</v>
      </c>
      <c r="O45" s="240"/>
    </row>
    <row r="46" spans="1:15" x14ac:dyDescent="0.2">
      <c r="A46" s="240"/>
      <c r="B46" s="250">
        <f t="shared" si="0"/>
        <v>2007</v>
      </c>
      <c r="C46" s="443">
        <v>0</v>
      </c>
      <c r="D46" s="443">
        <v>0</v>
      </c>
      <c r="E46" s="443">
        <v>0</v>
      </c>
      <c r="F46" s="443">
        <v>0</v>
      </c>
      <c r="G46" s="443">
        <v>18</v>
      </c>
      <c r="H46" s="443">
        <v>59.8</v>
      </c>
      <c r="I46" s="443">
        <v>64.400000000000006</v>
      </c>
      <c r="J46" s="443">
        <v>88.7</v>
      </c>
      <c r="K46" s="443">
        <v>40.9</v>
      </c>
      <c r="L46" s="443">
        <v>22.2</v>
      </c>
      <c r="M46" s="443">
        <v>0</v>
      </c>
      <c r="N46" s="443">
        <v>0</v>
      </c>
      <c r="O46" s="240"/>
    </row>
    <row r="47" spans="1:15" x14ac:dyDescent="0.2">
      <c r="A47" s="240"/>
      <c r="B47" s="250">
        <f t="shared" si="0"/>
        <v>2008</v>
      </c>
      <c r="C47" s="443">
        <v>0</v>
      </c>
      <c r="D47" s="443">
        <v>0</v>
      </c>
      <c r="E47" s="443">
        <v>0</v>
      </c>
      <c r="F47" s="443">
        <v>0.9</v>
      </c>
      <c r="G47" s="443">
        <v>0</v>
      </c>
      <c r="H47" s="443">
        <v>49.6</v>
      </c>
      <c r="I47" s="443">
        <v>87.9</v>
      </c>
      <c r="J47" s="443">
        <v>50.5</v>
      </c>
      <c r="K47" s="443">
        <v>21.6</v>
      </c>
      <c r="L47" s="443">
        <v>3.7</v>
      </c>
      <c r="M47" s="443">
        <v>0</v>
      </c>
      <c r="N47" s="443">
        <v>0</v>
      </c>
      <c r="O47" s="240"/>
    </row>
    <row r="48" spans="1:15" x14ac:dyDescent="0.2">
      <c r="A48" s="240"/>
      <c r="B48" s="250">
        <f t="shared" si="0"/>
        <v>2009</v>
      </c>
      <c r="C48" s="443">
        <v>0</v>
      </c>
      <c r="D48" s="443">
        <v>0</v>
      </c>
      <c r="E48" s="443">
        <v>0</v>
      </c>
      <c r="F48" s="443">
        <v>0.5</v>
      </c>
      <c r="G48" s="443">
        <v>2.8</v>
      </c>
      <c r="H48" s="443">
        <v>16.899999999999999</v>
      </c>
      <c r="I48" s="443">
        <v>26.6</v>
      </c>
      <c r="J48" s="443">
        <v>69.099999999999994</v>
      </c>
      <c r="K48" s="443">
        <v>10.7</v>
      </c>
      <c r="L48" s="443">
        <v>0</v>
      </c>
      <c r="M48" s="443">
        <v>0</v>
      </c>
      <c r="N48" s="443">
        <v>0</v>
      </c>
      <c r="O48" s="240"/>
    </row>
    <row r="49" spans="1:15" x14ac:dyDescent="0.2">
      <c r="A49" s="240"/>
      <c r="B49" s="250">
        <f t="shared" si="0"/>
        <v>2010</v>
      </c>
      <c r="C49" s="443">
        <v>0</v>
      </c>
      <c r="D49" s="443">
        <v>0</v>
      </c>
      <c r="E49" s="443">
        <v>0</v>
      </c>
      <c r="F49" s="443">
        <v>3</v>
      </c>
      <c r="G49" s="443">
        <v>20.7</v>
      </c>
      <c r="H49" s="443">
        <v>21.9</v>
      </c>
      <c r="I49" s="443">
        <v>136</v>
      </c>
      <c r="J49" s="443">
        <v>129.80000000000001</v>
      </c>
      <c r="K49" s="443">
        <v>26.8</v>
      </c>
      <c r="L49" s="443">
        <v>0</v>
      </c>
      <c r="M49" s="443">
        <v>0</v>
      </c>
      <c r="N49" s="443">
        <v>0</v>
      </c>
      <c r="O49" s="240"/>
    </row>
    <row r="50" spans="1:15" x14ac:dyDescent="0.2">
      <c r="A50" s="240"/>
      <c r="B50" s="250">
        <f t="shared" si="0"/>
        <v>2011</v>
      </c>
      <c r="C50" s="443">
        <v>0</v>
      </c>
      <c r="D50" s="443">
        <v>0</v>
      </c>
      <c r="E50" s="443">
        <v>0</v>
      </c>
      <c r="F50" s="443">
        <v>0</v>
      </c>
      <c r="G50" s="443">
        <v>14.1</v>
      </c>
      <c r="H50" s="443">
        <v>20.7</v>
      </c>
      <c r="I50" s="443">
        <v>139.9</v>
      </c>
      <c r="J50" s="443">
        <v>88.2</v>
      </c>
      <c r="K50" s="443">
        <v>21.2</v>
      </c>
      <c r="L50" s="443">
        <v>2.8</v>
      </c>
      <c r="M50" s="443">
        <v>0</v>
      </c>
      <c r="N50" s="443">
        <v>0</v>
      </c>
      <c r="O50" s="240"/>
    </row>
    <row r="51" spans="1:15" x14ac:dyDescent="0.2">
      <c r="A51" s="240"/>
      <c r="B51" s="250">
        <f t="shared" si="0"/>
        <v>2012</v>
      </c>
      <c r="C51" s="443">
        <v>0</v>
      </c>
      <c r="D51" s="443">
        <v>0</v>
      </c>
      <c r="E51" s="443">
        <v>2.8</v>
      </c>
      <c r="F51" s="443">
        <v>0</v>
      </c>
      <c r="G51" s="443">
        <v>24.4</v>
      </c>
      <c r="H51" s="443">
        <v>77.8</v>
      </c>
      <c r="I51" s="443">
        <v>125.7</v>
      </c>
      <c r="J51" s="443">
        <v>84</v>
      </c>
      <c r="K51" s="443">
        <v>24.4</v>
      </c>
      <c r="L51" s="443">
        <v>0.1</v>
      </c>
      <c r="M51" s="443">
        <v>0</v>
      </c>
      <c r="N51" s="443">
        <v>0</v>
      </c>
      <c r="O51" s="240"/>
    </row>
    <row r="52" spans="1:15" x14ac:dyDescent="0.2">
      <c r="A52" s="240"/>
      <c r="B52" s="250">
        <f t="shared" si="0"/>
        <v>2013</v>
      </c>
      <c r="C52" s="443">
        <v>0</v>
      </c>
      <c r="D52" s="443">
        <v>0</v>
      </c>
      <c r="E52" s="443">
        <v>0</v>
      </c>
      <c r="F52" s="443">
        <v>0</v>
      </c>
      <c r="G52" s="443">
        <v>15.7</v>
      </c>
      <c r="H52" s="443">
        <v>41</v>
      </c>
      <c r="I52" s="443">
        <v>96.7</v>
      </c>
      <c r="J52" s="443">
        <v>63.9</v>
      </c>
      <c r="K52" s="443">
        <v>24.1</v>
      </c>
      <c r="L52" s="443">
        <v>0.1</v>
      </c>
      <c r="M52" s="443">
        <v>0</v>
      </c>
      <c r="N52" s="443">
        <v>0</v>
      </c>
      <c r="O52" s="240"/>
    </row>
    <row r="53" spans="1:15" x14ac:dyDescent="0.2">
      <c r="A53" s="240"/>
      <c r="B53" s="250">
        <f t="shared" si="0"/>
        <v>2014</v>
      </c>
      <c r="C53" s="248">
        <v>0</v>
      </c>
      <c r="D53" s="248">
        <v>0</v>
      </c>
      <c r="E53" s="248">
        <v>0</v>
      </c>
      <c r="F53" s="248">
        <v>0</v>
      </c>
      <c r="G53" s="248">
        <v>4.0999999999999996</v>
      </c>
      <c r="H53" s="248">
        <v>41.5</v>
      </c>
      <c r="I53" s="248">
        <v>50.3</v>
      </c>
      <c r="J53" s="248">
        <v>45.9</v>
      </c>
      <c r="K53" s="248">
        <v>21.4</v>
      </c>
      <c r="L53" s="248">
        <v>1.2</v>
      </c>
      <c r="M53" s="248">
        <v>0</v>
      </c>
      <c r="N53" s="248">
        <v>0</v>
      </c>
      <c r="O53" s="240"/>
    </row>
    <row r="54" spans="1:15" x14ac:dyDescent="0.2">
      <c r="A54" s="240"/>
      <c r="B54" s="241"/>
      <c r="C54" s="241"/>
      <c r="D54" s="241"/>
      <c r="E54" s="241"/>
      <c r="F54" s="241"/>
      <c r="G54" s="241"/>
      <c r="H54" s="241"/>
      <c r="I54" s="241"/>
      <c r="J54" s="241"/>
      <c r="K54" s="241"/>
      <c r="L54" s="241"/>
      <c r="M54" s="241"/>
      <c r="N54" s="241"/>
      <c r="O54" s="240"/>
    </row>
    <row r="55" spans="1:15" x14ac:dyDescent="0.2">
      <c r="A55" s="240"/>
      <c r="B55" s="241"/>
      <c r="C55" s="241"/>
      <c r="D55" s="241"/>
      <c r="E55" s="241"/>
      <c r="F55" s="241"/>
      <c r="G55" s="241"/>
      <c r="H55" s="241"/>
      <c r="I55" s="241"/>
      <c r="J55" s="241"/>
      <c r="K55" s="241"/>
      <c r="L55" s="241"/>
      <c r="M55" s="241"/>
      <c r="N55" s="241"/>
      <c r="O55" s="240"/>
    </row>
    <row r="56" spans="1:15" x14ac:dyDescent="0.2">
      <c r="A56" s="240"/>
      <c r="B56" s="251" t="s">
        <v>127</v>
      </c>
      <c r="C56" s="241"/>
      <c r="D56" s="241"/>
      <c r="E56" s="241"/>
      <c r="F56" s="241"/>
      <c r="G56" s="241"/>
      <c r="H56" s="241"/>
      <c r="I56" s="241"/>
      <c r="J56" s="241"/>
      <c r="K56" s="241"/>
      <c r="L56" s="241"/>
      <c r="M56" s="241"/>
      <c r="N56" s="241"/>
      <c r="O56" s="240"/>
    </row>
    <row r="57" spans="1:15" x14ac:dyDescent="0.2">
      <c r="A57" s="240"/>
      <c r="B57" s="240"/>
      <c r="C57" s="245" t="s">
        <v>132</v>
      </c>
      <c r="D57" s="245" t="s">
        <v>133</v>
      </c>
      <c r="E57" s="245" t="s">
        <v>134</v>
      </c>
      <c r="F57" s="245" t="s">
        <v>135</v>
      </c>
      <c r="G57" s="245" t="s">
        <v>110</v>
      </c>
      <c r="H57" s="245" t="s">
        <v>136</v>
      </c>
      <c r="I57" s="245" t="s">
        <v>137</v>
      </c>
      <c r="J57" s="245" t="s">
        <v>138</v>
      </c>
      <c r="K57" s="245" t="s">
        <v>139</v>
      </c>
      <c r="L57" s="245" t="s">
        <v>142</v>
      </c>
      <c r="M57" s="245" t="s">
        <v>140</v>
      </c>
      <c r="N57" s="245" t="s">
        <v>141</v>
      </c>
      <c r="O57" s="240"/>
    </row>
    <row r="58" spans="1:15" x14ac:dyDescent="0.2">
      <c r="A58" s="240"/>
      <c r="B58" s="246">
        <f t="shared" ref="B58:B67" si="1">B44</f>
        <v>2005</v>
      </c>
      <c r="C58" s="248">
        <v>0</v>
      </c>
      <c r="D58" s="248">
        <v>0</v>
      </c>
      <c r="E58" s="248">
        <v>1</v>
      </c>
      <c r="F58" s="248">
        <v>1</v>
      </c>
      <c r="G58" s="248">
        <v>1</v>
      </c>
      <c r="H58" s="248">
        <v>0</v>
      </c>
      <c r="I58" s="248">
        <v>0</v>
      </c>
      <c r="J58" s="248">
        <v>0</v>
      </c>
      <c r="K58" s="248">
        <v>1</v>
      </c>
      <c r="L58" s="248">
        <v>1</v>
      </c>
      <c r="M58" s="248">
        <v>1</v>
      </c>
      <c r="N58" s="248">
        <v>0</v>
      </c>
      <c r="O58" s="240"/>
    </row>
    <row r="59" spans="1:15" x14ac:dyDescent="0.2">
      <c r="A59" s="240"/>
      <c r="B59" s="246">
        <f t="shared" si="1"/>
        <v>2006</v>
      </c>
      <c r="C59" s="248">
        <v>0</v>
      </c>
      <c r="D59" s="248">
        <v>0</v>
      </c>
      <c r="E59" s="248">
        <v>1</v>
      </c>
      <c r="F59" s="248">
        <v>1</v>
      </c>
      <c r="G59" s="248">
        <v>1</v>
      </c>
      <c r="H59" s="248">
        <v>0</v>
      </c>
      <c r="I59" s="248">
        <v>0</v>
      </c>
      <c r="J59" s="248">
        <v>0</v>
      </c>
      <c r="K59" s="248">
        <v>1</v>
      </c>
      <c r="L59" s="248">
        <v>1</v>
      </c>
      <c r="M59" s="248">
        <v>1</v>
      </c>
      <c r="N59" s="248">
        <v>0</v>
      </c>
      <c r="O59" s="240"/>
    </row>
    <row r="60" spans="1:15" x14ac:dyDescent="0.2">
      <c r="A60" s="240"/>
      <c r="B60" s="246">
        <f t="shared" si="1"/>
        <v>2007</v>
      </c>
      <c r="C60" s="248">
        <v>0</v>
      </c>
      <c r="D60" s="248">
        <v>0</v>
      </c>
      <c r="E60" s="248">
        <v>1</v>
      </c>
      <c r="F60" s="248">
        <v>1</v>
      </c>
      <c r="G60" s="248">
        <v>1</v>
      </c>
      <c r="H60" s="248">
        <v>0</v>
      </c>
      <c r="I60" s="248">
        <v>0</v>
      </c>
      <c r="J60" s="248">
        <v>0</v>
      </c>
      <c r="K60" s="248">
        <v>1</v>
      </c>
      <c r="L60" s="248">
        <v>1</v>
      </c>
      <c r="M60" s="248">
        <v>1</v>
      </c>
      <c r="N60" s="248">
        <v>0</v>
      </c>
      <c r="O60" s="240"/>
    </row>
    <row r="61" spans="1:15" x14ac:dyDescent="0.2">
      <c r="A61" s="240"/>
      <c r="B61" s="246">
        <f t="shared" si="1"/>
        <v>2008</v>
      </c>
      <c r="C61" s="248">
        <v>0</v>
      </c>
      <c r="D61" s="248">
        <v>0</v>
      </c>
      <c r="E61" s="248">
        <v>1</v>
      </c>
      <c r="F61" s="248">
        <v>1</v>
      </c>
      <c r="G61" s="248">
        <v>1</v>
      </c>
      <c r="H61" s="248">
        <v>0</v>
      </c>
      <c r="I61" s="248">
        <v>0</v>
      </c>
      <c r="J61" s="248">
        <v>0</v>
      </c>
      <c r="K61" s="248">
        <v>1</v>
      </c>
      <c r="L61" s="248">
        <v>1</v>
      </c>
      <c r="M61" s="248">
        <v>1</v>
      </c>
      <c r="N61" s="248">
        <v>0</v>
      </c>
      <c r="O61" s="240"/>
    </row>
    <row r="62" spans="1:15" x14ac:dyDescent="0.2">
      <c r="A62" s="240"/>
      <c r="B62" s="246">
        <f t="shared" si="1"/>
        <v>2009</v>
      </c>
      <c r="C62" s="248">
        <v>0</v>
      </c>
      <c r="D62" s="248">
        <v>0</v>
      </c>
      <c r="E62" s="248">
        <v>1</v>
      </c>
      <c r="F62" s="248">
        <v>1</v>
      </c>
      <c r="G62" s="248">
        <v>1</v>
      </c>
      <c r="H62" s="248">
        <v>0</v>
      </c>
      <c r="I62" s="248">
        <v>0</v>
      </c>
      <c r="J62" s="248">
        <v>0</v>
      </c>
      <c r="K62" s="248">
        <v>1</v>
      </c>
      <c r="L62" s="248">
        <v>1</v>
      </c>
      <c r="M62" s="248">
        <v>1</v>
      </c>
      <c r="N62" s="248">
        <v>0</v>
      </c>
      <c r="O62" s="240"/>
    </row>
    <row r="63" spans="1:15" x14ac:dyDescent="0.2">
      <c r="A63" s="240"/>
      <c r="B63" s="246">
        <f t="shared" si="1"/>
        <v>2010</v>
      </c>
      <c r="C63" s="248">
        <v>0</v>
      </c>
      <c r="D63" s="248">
        <v>0</v>
      </c>
      <c r="E63" s="248">
        <v>1</v>
      </c>
      <c r="F63" s="248">
        <v>1</v>
      </c>
      <c r="G63" s="248">
        <v>1</v>
      </c>
      <c r="H63" s="248">
        <v>0</v>
      </c>
      <c r="I63" s="248">
        <v>0</v>
      </c>
      <c r="J63" s="248">
        <v>0</v>
      </c>
      <c r="K63" s="248">
        <v>1</v>
      </c>
      <c r="L63" s="248">
        <v>1</v>
      </c>
      <c r="M63" s="248">
        <v>1</v>
      </c>
      <c r="N63" s="248">
        <v>0</v>
      </c>
      <c r="O63" s="240"/>
    </row>
    <row r="64" spans="1:15" x14ac:dyDescent="0.2">
      <c r="A64" s="240"/>
      <c r="B64" s="246">
        <f t="shared" si="1"/>
        <v>2011</v>
      </c>
      <c r="C64" s="248">
        <v>0</v>
      </c>
      <c r="D64" s="248">
        <v>0</v>
      </c>
      <c r="E64" s="248">
        <v>1</v>
      </c>
      <c r="F64" s="248">
        <v>1</v>
      </c>
      <c r="G64" s="248">
        <v>1</v>
      </c>
      <c r="H64" s="248">
        <v>0</v>
      </c>
      <c r="I64" s="248">
        <v>0</v>
      </c>
      <c r="J64" s="248">
        <v>0</v>
      </c>
      <c r="K64" s="248">
        <v>1</v>
      </c>
      <c r="L64" s="248">
        <v>1</v>
      </c>
      <c r="M64" s="248">
        <v>1</v>
      </c>
      <c r="N64" s="248">
        <v>0</v>
      </c>
      <c r="O64" s="240"/>
    </row>
    <row r="65" spans="1:15" x14ac:dyDescent="0.2">
      <c r="A65" s="240"/>
      <c r="B65" s="246">
        <f t="shared" si="1"/>
        <v>2012</v>
      </c>
      <c r="C65" s="248">
        <v>0</v>
      </c>
      <c r="D65" s="248">
        <v>0</v>
      </c>
      <c r="E65" s="248">
        <v>1</v>
      </c>
      <c r="F65" s="248">
        <v>1</v>
      </c>
      <c r="G65" s="248">
        <v>1</v>
      </c>
      <c r="H65" s="248">
        <v>0</v>
      </c>
      <c r="I65" s="248">
        <v>0</v>
      </c>
      <c r="J65" s="248">
        <v>0</v>
      </c>
      <c r="K65" s="248">
        <v>1</v>
      </c>
      <c r="L65" s="248">
        <v>1</v>
      </c>
      <c r="M65" s="248">
        <v>1</v>
      </c>
      <c r="N65" s="248">
        <v>0</v>
      </c>
      <c r="O65" s="240"/>
    </row>
    <row r="66" spans="1:15" x14ac:dyDescent="0.2">
      <c r="A66" s="240"/>
      <c r="B66" s="246">
        <f t="shared" si="1"/>
        <v>2013</v>
      </c>
      <c r="C66" s="248">
        <v>0</v>
      </c>
      <c r="D66" s="248">
        <v>0</v>
      </c>
      <c r="E66" s="248">
        <v>1</v>
      </c>
      <c r="F66" s="248">
        <v>1</v>
      </c>
      <c r="G66" s="248">
        <v>1</v>
      </c>
      <c r="H66" s="248">
        <v>0</v>
      </c>
      <c r="I66" s="248">
        <v>0</v>
      </c>
      <c r="J66" s="248">
        <v>0</v>
      </c>
      <c r="K66" s="248">
        <v>1</v>
      </c>
      <c r="L66" s="248">
        <v>1</v>
      </c>
      <c r="M66" s="248">
        <v>1</v>
      </c>
      <c r="N66" s="248">
        <v>0</v>
      </c>
      <c r="O66" s="240"/>
    </row>
    <row r="67" spans="1:15" x14ac:dyDescent="0.2">
      <c r="A67" s="240"/>
      <c r="B67" s="246">
        <f t="shared" si="1"/>
        <v>2014</v>
      </c>
      <c r="C67" s="248">
        <v>0</v>
      </c>
      <c r="D67" s="248">
        <v>0</v>
      </c>
      <c r="E67" s="248">
        <v>1</v>
      </c>
      <c r="F67" s="248">
        <v>1</v>
      </c>
      <c r="G67" s="248">
        <v>1</v>
      </c>
      <c r="H67" s="248">
        <v>0</v>
      </c>
      <c r="I67" s="248">
        <v>0</v>
      </c>
      <c r="J67" s="248">
        <v>0</v>
      </c>
      <c r="K67" s="248">
        <v>1</v>
      </c>
      <c r="L67" s="248">
        <v>1</v>
      </c>
      <c r="M67" s="248">
        <v>1</v>
      </c>
      <c r="N67" s="248">
        <v>0</v>
      </c>
      <c r="O67" s="240"/>
    </row>
    <row r="68" spans="1:15" x14ac:dyDescent="0.2">
      <c r="A68" s="240"/>
      <c r="B68" s="241"/>
      <c r="C68" s="241"/>
      <c r="D68" s="241"/>
      <c r="E68" s="241"/>
      <c r="F68" s="241"/>
      <c r="G68" s="241"/>
      <c r="H68" s="241"/>
      <c r="I68" s="241"/>
      <c r="J68" s="241"/>
      <c r="K68" s="241"/>
      <c r="L68" s="241"/>
      <c r="M68" s="241"/>
      <c r="N68" s="241"/>
      <c r="O68" s="240"/>
    </row>
    <row r="69" spans="1:15" x14ac:dyDescent="0.2">
      <c r="A69" s="240"/>
      <c r="B69" s="241"/>
      <c r="C69" s="241"/>
      <c r="D69" s="241"/>
      <c r="E69" s="241"/>
      <c r="F69" s="241"/>
      <c r="G69" s="241"/>
      <c r="H69" s="241"/>
      <c r="I69" s="241"/>
      <c r="J69" s="241"/>
      <c r="K69" s="241"/>
      <c r="L69" s="241"/>
      <c r="M69" s="241"/>
      <c r="N69" s="241"/>
      <c r="O69" s="240"/>
    </row>
    <row r="70" spans="1:15" x14ac:dyDescent="0.2">
      <c r="A70" s="240"/>
      <c r="B70" s="251" t="s">
        <v>152</v>
      </c>
      <c r="C70" s="241"/>
      <c r="D70" s="241"/>
      <c r="E70" s="241"/>
      <c r="F70" s="241"/>
      <c r="G70" s="241"/>
      <c r="H70" s="241"/>
      <c r="I70" s="241"/>
      <c r="J70" s="241"/>
      <c r="K70" s="241"/>
      <c r="L70" s="241"/>
      <c r="M70" s="241"/>
      <c r="N70" s="241"/>
      <c r="O70" s="240"/>
    </row>
    <row r="71" spans="1:15" x14ac:dyDescent="0.2">
      <c r="A71" s="240"/>
      <c r="B71" s="240"/>
      <c r="C71" s="245" t="s">
        <v>132</v>
      </c>
      <c r="D71" s="245" t="s">
        <v>133</v>
      </c>
      <c r="E71" s="245" t="s">
        <v>134</v>
      </c>
      <c r="F71" s="245" t="s">
        <v>135</v>
      </c>
      <c r="G71" s="245" t="s">
        <v>110</v>
      </c>
      <c r="H71" s="245" t="s">
        <v>136</v>
      </c>
      <c r="I71" s="245" t="s">
        <v>137</v>
      </c>
      <c r="J71" s="245" t="s">
        <v>138</v>
      </c>
      <c r="K71" s="245" t="s">
        <v>139</v>
      </c>
      <c r="L71" s="245" t="s">
        <v>142</v>
      </c>
      <c r="M71" s="245" t="s">
        <v>140</v>
      </c>
      <c r="N71" s="245" t="s">
        <v>141</v>
      </c>
      <c r="O71" s="240"/>
    </row>
    <row r="72" spans="1:15" x14ac:dyDescent="0.2">
      <c r="A72" s="240"/>
      <c r="B72" s="246">
        <f t="shared" ref="B72:B80" si="2">B58</f>
        <v>2005</v>
      </c>
      <c r="C72" s="444">
        <v>31</v>
      </c>
      <c r="D72" s="444">
        <v>28</v>
      </c>
      <c r="E72" s="444">
        <v>31</v>
      </c>
      <c r="F72" s="444">
        <v>30</v>
      </c>
      <c r="G72" s="444">
        <v>31</v>
      </c>
      <c r="H72" s="444">
        <v>30</v>
      </c>
      <c r="I72" s="444">
        <v>31</v>
      </c>
      <c r="J72" s="444">
        <v>31</v>
      </c>
      <c r="K72" s="444">
        <v>30</v>
      </c>
      <c r="L72" s="444">
        <v>31</v>
      </c>
      <c r="M72" s="444">
        <v>30</v>
      </c>
      <c r="N72" s="444">
        <v>31</v>
      </c>
      <c r="O72" s="240"/>
    </row>
    <row r="73" spans="1:15" x14ac:dyDescent="0.2">
      <c r="A73" s="240"/>
      <c r="B73" s="246">
        <f t="shared" si="2"/>
        <v>2006</v>
      </c>
      <c r="C73" s="444">
        <v>31</v>
      </c>
      <c r="D73" s="444">
        <v>28</v>
      </c>
      <c r="E73" s="444">
        <v>31</v>
      </c>
      <c r="F73" s="444">
        <v>30</v>
      </c>
      <c r="G73" s="444">
        <v>31</v>
      </c>
      <c r="H73" s="444">
        <v>30</v>
      </c>
      <c r="I73" s="444">
        <v>31</v>
      </c>
      <c r="J73" s="444">
        <v>31</v>
      </c>
      <c r="K73" s="444">
        <v>30</v>
      </c>
      <c r="L73" s="444">
        <v>31</v>
      </c>
      <c r="M73" s="444">
        <v>30</v>
      </c>
      <c r="N73" s="444">
        <v>31</v>
      </c>
      <c r="O73" s="240"/>
    </row>
    <row r="74" spans="1:15" x14ac:dyDescent="0.2">
      <c r="A74" s="240"/>
      <c r="B74" s="246">
        <f t="shared" si="2"/>
        <v>2007</v>
      </c>
      <c r="C74" s="444">
        <v>31</v>
      </c>
      <c r="D74" s="444">
        <v>28</v>
      </c>
      <c r="E74" s="444">
        <v>31</v>
      </c>
      <c r="F74" s="444">
        <v>30</v>
      </c>
      <c r="G74" s="444">
        <v>31</v>
      </c>
      <c r="H74" s="444">
        <v>30</v>
      </c>
      <c r="I74" s="444">
        <v>31</v>
      </c>
      <c r="J74" s="444">
        <v>31</v>
      </c>
      <c r="K74" s="444">
        <v>30</v>
      </c>
      <c r="L74" s="444">
        <v>31</v>
      </c>
      <c r="M74" s="444">
        <v>30</v>
      </c>
      <c r="N74" s="444">
        <v>31</v>
      </c>
      <c r="O74" s="240"/>
    </row>
    <row r="75" spans="1:15" x14ac:dyDescent="0.2">
      <c r="A75" s="240"/>
      <c r="B75" s="246">
        <f t="shared" si="2"/>
        <v>2008</v>
      </c>
      <c r="C75" s="443">
        <v>31</v>
      </c>
      <c r="D75" s="444">
        <v>29</v>
      </c>
      <c r="E75" s="444">
        <v>31</v>
      </c>
      <c r="F75" s="444">
        <v>30</v>
      </c>
      <c r="G75" s="444">
        <v>31</v>
      </c>
      <c r="H75" s="444">
        <v>30</v>
      </c>
      <c r="I75" s="444">
        <v>31</v>
      </c>
      <c r="J75" s="444">
        <v>31</v>
      </c>
      <c r="K75" s="444">
        <v>30</v>
      </c>
      <c r="L75" s="444">
        <v>31</v>
      </c>
      <c r="M75" s="444">
        <v>30</v>
      </c>
      <c r="N75" s="444">
        <v>31</v>
      </c>
      <c r="O75" s="240"/>
    </row>
    <row r="76" spans="1:15" x14ac:dyDescent="0.2">
      <c r="A76" s="240"/>
      <c r="B76" s="246">
        <f t="shared" si="2"/>
        <v>2009</v>
      </c>
      <c r="C76" s="444">
        <v>31</v>
      </c>
      <c r="D76" s="444">
        <v>28</v>
      </c>
      <c r="E76" s="444">
        <v>31</v>
      </c>
      <c r="F76" s="444">
        <v>30</v>
      </c>
      <c r="G76" s="444">
        <v>31</v>
      </c>
      <c r="H76" s="444">
        <v>30</v>
      </c>
      <c r="I76" s="444">
        <v>31</v>
      </c>
      <c r="J76" s="444">
        <v>31</v>
      </c>
      <c r="K76" s="444">
        <v>30</v>
      </c>
      <c r="L76" s="444">
        <v>31</v>
      </c>
      <c r="M76" s="444">
        <v>30</v>
      </c>
      <c r="N76" s="444">
        <v>31</v>
      </c>
      <c r="O76" s="240"/>
    </row>
    <row r="77" spans="1:15" x14ac:dyDescent="0.2">
      <c r="A77" s="240"/>
      <c r="B77" s="246">
        <f t="shared" si="2"/>
        <v>2010</v>
      </c>
      <c r="C77" s="444">
        <v>31</v>
      </c>
      <c r="D77" s="444">
        <v>28</v>
      </c>
      <c r="E77" s="444">
        <v>31</v>
      </c>
      <c r="F77" s="444">
        <v>30</v>
      </c>
      <c r="G77" s="444">
        <v>31</v>
      </c>
      <c r="H77" s="444">
        <v>30</v>
      </c>
      <c r="I77" s="444">
        <v>31</v>
      </c>
      <c r="J77" s="444">
        <v>31</v>
      </c>
      <c r="K77" s="444">
        <v>30</v>
      </c>
      <c r="L77" s="444">
        <v>31</v>
      </c>
      <c r="M77" s="444">
        <v>30</v>
      </c>
      <c r="N77" s="444">
        <v>31</v>
      </c>
      <c r="O77" s="240"/>
    </row>
    <row r="78" spans="1:15" x14ac:dyDescent="0.2">
      <c r="A78" s="240"/>
      <c r="B78" s="246">
        <f t="shared" si="2"/>
        <v>2011</v>
      </c>
      <c r="C78" s="444">
        <v>31</v>
      </c>
      <c r="D78" s="444">
        <v>28</v>
      </c>
      <c r="E78" s="444">
        <v>31</v>
      </c>
      <c r="F78" s="444">
        <v>30</v>
      </c>
      <c r="G78" s="444">
        <v>31</v>
      </c>
      <c r="H78" s="444">
        <v>30</v>
      </c>
      <c r="I78" s="444">
        <v>31</v>
      </c>
      <c r="J78" s="444">
        <v>31</v>
      </c>
      <c r="K78" s="444">
        <v>30</v>
      </c>
      <c r="L78" s="444">
        <v>31</v>
      </c>
      <c r="M78" s="444">
        <v>30</v>
      </c>
      <c r="N78" s="444">
        <v>31</v>
      </c>
      <c r="O78" s="240"/>
    </row>
    <row r="79" spans="1:15" x14ac:dyDescent="0.2">
      <c r="A79" s="240"/>
      <c r="B79" s="246">
        <f t="shared" si="2"/>
        <v>2012</v>
      </c>
      <c r="C79" s="443">
        <v>31</v>
      </c>
      <c r="D79" s="444">
        <v>29</v>
      </c>
      <c r="E79" s="444">
        <v>31</v>
      </c>
      <c r="F79" s="444">
        <v>30</v>
      </c>
      <c r="G79" s="444">
        <v>31</v>
      </c>
      <c r="H79" s="444">
        <v>30</v>
      </c>
      <c r="I79" s="444">
        <v>31</v>
      </c>
      <c r="J79" s="444">
        <v>31</v>
      </c>
      <c r="K79" s="444">
        <v>30</v>
      </c>
      <c r="L79" s="444">
        <v>31</v>
      </c>
      <c r="M79" s="444">
        <v>30</v>
      </c>
      <c r="N79" s="444">
        <v>31</v>
      </c>
      <c r="O79" s="240"/>
    </row>
    <row r="80" spans="1:15" x14ac:dyDescent="0.2">
      <c r="A80" s="240"/>
      <c r="B80" s="246">
        <f t="shared" si="2"/>
        <v>2013</v>
      </c>
      <c r="C80" s="444">
        <v>31</v>
      </c>
      <c r="D80" s="444">
        <v>28</v>
      </c>
      <c r="E80" s="444">
        <v>31</v>
      </c>
      <c r="F80" s="444">
        <v>30</v>
      </c>
      <c r="G80" s="444">
        <v>31</v>
      </c>
      <c r="H80" s="444">
        <v>30</v>
      </c>
      <c r="I80" s="444">
        <v>31</v>
      </c>
      <c r="J80" s="444">
        <v>31</v>
      </c>
      <c r="K80" s="444">
        <v>30</v>
      </c>
      <c r="L80" s="444">
        <v>31</v>
      </c>
      <c r="M80" s="444">
        <v>30</v>
      </c>
      <c r="N80" s="444">
        <v>31</v>
      </c>
      <c r="O80" s="240"/>
    </row>
    <row r="81" spans="1:17" x14ac:dyDescent="0.2">
      <c r="A81" s="240"/>
      <c r="B81" s="246">
        <f>B67</f>
        <v>2014</v>
      </c>
      <c r="C81" s="248">
        <v>31</v>
      </c>
      <c r="D81" s="248">
        <v>28</v>
      </c>
      <c r="E81" s="248">
        <v>31</v>
      </c>
      <c r="F81" s="248">
        <v>30</v>
      </c>
      <c r="G81" s="248">
        <v>31</v>
      </c>
      <c r="H81" s="248">
        <v>30</v>
      </c>
      <c r="I81" s="248">
        <v>31</v>
      </c>
      <c r="J81" s="248">
        <v>31</v>
      </c>
      <c r="K81" s="248">
        <v>30</v>
      </c>
      <c r="L81" s="248">
        <v>31</v>
      </c>
      <c r="M81" s="248">
        <v>30</v>
      </c>
      <c r="N81" s="248">
        <v>31</v>
      </c>
      <c r="O81" s="240"/>
    </row>
    <row r="82" spans="1:17" x14ac:dyDescent="0.2">
      <c r="A82" s="240"/>
      <c r="B82" s="241"/>
      <c r="C82" s="241"/>
      <c r="D82" s="241"/>
      <c r="E82" s="241"/>
      <c r="F82" s="241"/>
      <c r="G82" s="241"/>
      <c r="H82" s="241"/>
      <c r="I82" s="241"/>
      <c r="J82" s="241"/>
      <c r="K82" s="241"/>
      <c r="L82" s="241"/>
      <c r="M82" s="241"/>
      <c r="N82" s="241"/>
      <c r="O82" s="240"/>
    </row>
    <row r="83" spans="1:17" x14ac:dyDescent="0.2">
      <c r="A83" s="240"/>
      <c r="B83" s="241"/>
      <c r="C83" s="241"/>
      <c r="D83" s="241"/>
      <c r="E83" s="241"/>
      <c r="F83" s="241"/>
      <c r="G83" s="241"/>
      <c r="H83" s="241"/>
      <c r="I83" s="241"/>
      <c r="J83" s="241"/>
      <c r="K83" s="241"/>
      <c r="L83" s="241"/>
      <c r="M83" s="241"/>
      <c r="N83" s="241"/>
      <c r="O83" s="240"/>
    </row>
    <row r="84" spans="1:17" x14ac:dyDescent="0.2">
      <c r="A84" s="240"/>
      <c r="B84" s="251" t="s">
        <v>126</v>
      </c>
      <c r="C84" s="241"/>
      <c r="D84" s="241"/>
      <c r="E84" s="241"/>
      <c r="F84" s="241"/>
      <c r="G84" s="241"/>
      <c r="H84" s="241"/>
      <c r="I84" s="241"/>
      <c r="J84" s="241"/>
      <c r="K84" s="241"/>
      <c r="L84" s="241"/>
      <c r="M84" s="241"/>
      <c r="N84" s="241"/>
      <c r="O84" s="240"/>
    </row>
    <row r="85" spans="1:17" x14ac:dyDescent="0.2">
      <c r="A85" s="240"/>
      <c r="B85" s="240"/>
      <c r="C85" s="245" t="s">
        <v>132</v>
      </c>
      <c r="D85" s="245" t="s">
        <v>133</v>
      </c>
      <c r="E85" s="245" t="s">
        <v>134</v>
      </c>
      <c r="F85" s="245" t="s">
        <v>135</v>
      </c>
      <c r="G85" s="245" t="s">
        <v>110</v>
      </c>
      <c r="H85" s="245" t="s">
        <v>136</v>
      </c>
      <c r="I85" s="245" t="s">
        <v>137</v>
      </c>
      <c r="J85" s="245" t="s">
        <v>138</v>
      </c>
      <c r="K85" s="245" t="s">
        <v>139</v>
      </c>
      <c r="L85" s="245" t="s">
        <v>142</v>
      </c>
      <c r="M85" s="245" t="s">
        <v>140</v>
      </c>
      <c r="N85" s="245" t="s">
        <v>141</v>
      </c>
      <c r="O85" s="240"/>
    </row>
    <row r="86" spans="1:17" x14ac:dyDescent="0.2">
      <c r="A86" s="240"/>
      <c r="B86" s="246">
        <f t="shared" ref="B86:B94" si="3">B72</f>
        <v>2005</v>
      </c>
      <c r="C86" s="1316">
        <v>10118</v>
      </c>
      <c r="D86" s="1316">
        <v>10134</v>
      </c>
      <c r="E86" s="1316">
        <v>10152</v>
      </c>
      <c r="F86" s="1316">
        <v>10212</v>
      </c>
      <c r="G86" s="1316">
        <v>10233</v>
      </c>
      <c r="H86" s="1316">
        <v>10259</v>
      </c>
      <c r="I86" s="1316">
        <v>10319</v>
      </c>
      <c r="J86" s="1316">
        <v>10335</v>
      </c>
      <c r="K86" s="1316">
        <v>10380</v>
      </c>
      <c r="L86" s="1316">
        <v>10411</v>
      </c>
      <c r="M86" s="1316">
        <v>10464</v>
      </c>
      <c r="N86" s="1316">
        <v>10485</v>
      </c>
      <c r="O86" s="240"/>
    </row>
    <row r="87" spans="1:17" x14ac:dyDescent="0.2">
      <c r="A87" s="240"/>
      <c r="B87" s="246">
        <f t="shared" si="3"/>
        <v>2006</v>
      </c>
      <c r="C87" s="1316">
        <v>10522</v>
      </c>
      <c r="D87" s="1316">
        <v>10582</v>
      </c>
      <c r="E87" s="1316">
        <v>10596</v>
      </c>
      <c r="F87" s="1316">
        <v>10634</v>
      </c>
      <c r="G87" s="1316">
        <v>10671</v>
      </c>
      <c r="H87" s="1316">
        <v>10710</v>
      </c>
      <c r="I87" s="1316">
        <v>10733</v>
      </c>
      <c r="J87" s="1316">
        <v>10740</v>
      </c>
      <c r="K87" s="1316">
        <v>10815</v>
      </c>
      <c r="L87" s="1316">
        <v>10831</v>
      </c>
      <c r="M87" s="1316">
        <v>10868</v>
      </c>
      <c r="N87" s="1316">
        <v>10902</v>
      </c>
      <c r="O87" s="240"/>
    </row>
    <row r="88" spans="1:17" x14ac:dyDescent="0.2">
      <c r="A88" s="240"/>
      <c r="B88" s="246">
        <f t="shared" si="3"/>
        <v>2007</v>
      </c>
      <c r="C88" s="1316">
        <v>10954</v>
      </c>
      <c r="D88" s="1316">
        <v>11000</v>
      </c>
      <c r="E88" s="1316">
        <v>11049</v>
      </c>
      <c r="F88" s="1316">
        <v>11062</v>
      </c>
      <c r="G88" s="1316">
        <v>11100</v>
      </c>
      <c r="H88" s="1316">
        <v>11150</v>
      </c>
      <c r="I88" s="1316">
        <v>11184</v>
      </c>
      <c r="J88" s="1316">
        <v>11186</v>
      </c>
      <c r="K88" s="1316">
        <v>11236</v>
      </c>
      <c r="L88" s="1316">
        <v>11253</v>
      </c>
      <c r="M88" s="1316">
        <v>11265</v>
      </c>
      <c r="N88" s="1316">
        <v>11312</v>
      </c>
      <c r="O88" s="240"/>
      <c r="P88" s="292"/>
      <c r="Q88" s="292"/>
    </row>
    <row r="89" spans="1:17" x14ac:dyDescent="0.2">
      <c r="A89" s="240"/>
      <c r="B89" s="246">
        <f t="shared" si="3"/>
        <v>2008</v>
      </c>
      <c r="C89" s="1316">
        <v>11324</v>
      </c>
      <c r="D89" s="1316">
        <v>11335</v>
      </c>
      <c r="E89" s="1316">
        <v>11344</v>
      </c>
      <c r="F89" s="1316">
        <v>11358</v>
      </c>
      <c r="G89" s="1316">
        <v>11377</v>
      </c>
      <c r="H89" s="1316">
        <v>11435</v>
      </c>
      <c r="I89" s="1316">
        <v>11477</v>
      </c>
      <c r="J89" s="1316">
        <v>11527</v>
      </c>
      <c r="K89" s="1316">
        <v>11549</v>
      </c>
      <c r="L89" s="1316">
        <v>11596</v>
      </c>
      <c r="M89" s="1316">
        <v>11631</v>
      </c>
      <c r="N89" s="1316">
        <v>11664</v>
      </c>
      <c r="O89" s="240"/>
      <c r="P89" s="292"/>
      <c r="Q89" s="292"/>
    </row>
    <row r="90" spans="1:17" x14ac:dyDescent="0.2">
      <c r="A90" s="240"/>
      <c r="B90" s="246">
        <f t="shared" si="3"/>
        <v>2009</v>
      </c>
      <c r="C90" s="1316">
        <v>11647</v>
      </c>
      <c r="D90" s="1316">
        <v>11662</v>
      </c>
      <c r="E90" s="1316">
        <v>11677</v>
      </c>
      <c r="F90" s="1316">
        <v>11686</v>
      </c>
      <c r="G90" s="1316">
        <v>11699</v>
      </c>
      <c r="H90" s="1316">
        <v>11722</v>
      </c>
      <c r="I90" s="1316">
        <v>11752</v>
      </c>
      <c r="J90" s="1316">
        <v>11762</v>
      </c>
      <c r="K90" s="1316">
        <v>11789</v>
      </c>
      <c r="L90" s="1316">
        <v>11794</v>
      </c>
      <c r="M90" s="1316">
        <v>11818</v>
      </c>
      <c r="N90" s="1316">
        <v>11836</v>
      </c>
      <c r="O90" s="240"/>
      <c r="P90" s="292"/>
      <c r="Q90" s="292"/>
    </row>
    <row r="91" spans="1:17" x14ac:dyDescent="0.2">
      <c r="A91" s="240"/>
      <c r="B91" s="246">
        <f t="shared" si="3"/>
        <v>2010</v>
      </c>
      <c r="C91" s="1316">
        <v>11836</v>
      </c>
      <c r="D91" s="1316">
        <v>11865</v>
      </c>
      <c r="E91" s="1316">
        <v>11882</v>
      </c>
      <c r="F91" s="1316">
        <v>11914</v>
      </c>
      <c r="G91" s="1316">
        <v>11926</v>
      </c>
      <c r="H91" s="1316">
        <v>11954</v>
      </c>
      <c r="I91" s="1316">
        <v>11987</v>
      </c>
      <c r="J91" s="1316">
        <v>12012</v>
      </c>
      <c r="K91" s="1316">
        <v>12031</v>
      </c>
      <c r="L91" s="1316">
        <v>12052</v>
      </c>
      <c r="M91" s="1316">
        <v>12081</v>
      </c>
      <c r="N91" s="1316">
        <v>12096</v>
      </c>
      <c r="O91" s="240"/>
      <c r="P91" s="292"/>
      <c r="Q91" s="292"/>
    </row>
    <row r="92" spans="1:17" x14ac:dyDescent="0.2">
      <c r="A92" s="240"/>
      <c r="B92" s="246">
        <f t="shared" si="3"/>
        <v>2011</v>
      </c>
      <c r="C92" s="1316">
        <v>12106</v>
      </c>
      <c r="D92" s="1316">
        <v>12114</v>
      </c>
      <c r="E92" s="1316">
        <v>12124</v>
      </c>
      <c r="F92" s="1316">
        <v>12140</v>
      </c>
      <c r="G92" s="1316">
        <v>12177</v>
      </c>
      <c r="H92" s="1316">
        <v>12200</v>
      </c>
      <c r="I92" s="1316">
        <v>12230</v>
      </c>
      <c r="J92" s="1316">
        <v>12272</v>
      </c>
      <c r="K92" s="1316">
        <v>12299</v>
      </c>
      <c r="L92" s="1316">
        <v>12324</v>
      </c>
      <c r="M92" s="1316">
        <v>12349</v>
      </c>
      <c r="N92" s="1316">
        <v>12370</v>
      </c>
      <c r="O92" s="240"/>
      <c r="P92" s="292"/>
      <c r="Q92" s="292"/>
    </row>
    <row r="93" spans="1:17" x14ac:dyDescent="0.2">
      <c r="A93" s="240"/>
      <c r="B93" s="246">
        <f t="shared" si="3"/>
        <v>2012</v>
      </c>
      <c r="C93" s="1316">
        <v>12398</v>
      </c>
      <c r="D93" s="1316">
        <v>12410</v>
      </c>
      <c r="E93" s="1316">
        <v>12424</v>
      </c>
      <c r="F93" s="1316">
        <v>12437</v>
      </c>
      <c r="G93" s="1316">
        <v>12454</v>
      </c>
      <c r="H93" s="1316">
        <v>12473</v>
      </c>
      <c r="I93" s="1316">
        <v>12501</v>
      </c>
      <c r="J93" s="1316">
        <v>12521</v>
      </c>
      <c r="K93" s="1316">
        <v>12538</v>
      </c>
      <c r="L93" s="1316">
        <v>12557</v>
      </c>
      <c r="M93" s="1316">
        <v>12571</v>
      </c>
      <c r="N93" s="1316">
        <v>12582</v>
      </c>
      <c r="O93" s="240"/>
      <c r="P93" s="292"/>
      <c r="Q93" s="292"/>
    </row>
    <row r="94" spans="1:17" x14ac:dyDescent="0.2">
      <c r="A94" s="240"/>
      <c r="B94" s="246">
        <f t="shared" si="3"/>
        <v>2013</v>
      </c>
      <c r="C94" s="1317">
        <v>12593</v>
      </c>
      <c r="D94" s="1317">
        <v>12597</v>
      </c>
      <c r="E94" s="1317">
        <v>12608</v>
      </c>
      <c r="F94" s="1317">
        <v>12620</v>
      </c>
      <c r="G94" s="1317">
        <v>12628</v>
      </c>
      <c r="H94" s="1317">
        <v>12686</v>
      </c>
      <c r="I94" s="1317">
        <v>12684</v>
      </c>
      <c r="J94" s="1317">
        <v>12731</v>
      </c>
      <c r="K94" s="1317">
        <v>12749</v>
      </c>
      <c r="L94" s="1317">
        <v>12817</v>
      </c>
      <c r="M94" s="1317">
        <v>12853</v>
      </c>
      <c r="N94" s="1317">
        <v>12873</v>
      </c>
      <c r="O94" s="240"/>
      <c r="P94" s="292"/>
      <c r="Q94" s="292"/>
    </row>
    <row r="95" spans="1:17" x14ac:dyDescent="0.2">
      <c r="A95" s="240"/>
      <c r="B95" s="246">
        <f>B81</f>
        <v>2014</v>
      </c>
      <c r="C95" s="1317">
        <v>12874</v>
      </c>
      <c r="D95" s="1317">
        <v>12904</v>
      </c>
      <c r="E95" s="1317">
        <v>12843</v>
      </c>
      <c r="F95" s="1317">
        <v>12851</v>
      </c>
      <c r="G95" s="1317">
        <v>12850</v>
      </c>
      <c r="H95" s="1317">
        <v>12862</v>
      </c>
      <c r="I95" s="1317">
        <v>12873</v>
      </c>
      <c r="J95" s="1317">
        <v>12937</v>
      </c>
      <c r="K95" s="1317">
        <v>12915</v>
      </c>
      <c r="L95" s="1317">
        <v>12961</v>
      </c>
      <c r="M95" s="1317">
        <v>12976</v>
      </c>
      <c r="N95" s="1317">
        <v>13021</v>
      </c>
      <c r="O95" s="240"/>
      <c r="P95" s="292"/>
      <c r="Q95" s="292"/>
    </row>
    <row r="96" spans="1:17" x14ac:dyDescent="0.2">
      <c r="A96" s="240"/>
      <c r="B96" s="241"/>
      <c r="C96" s="241"/>
      <c r="D96" s="241"/>
      <c r="E96" s="241"/>
      <c r="F96" s="241"/>
      <c r="G96" s="241"/>
      <c r="H96" s="241"/>
      <c r="I96" s="241"/>
      <c r="J96" s="241"/>
      <c r="K96" s="241"/>
      <c r="L96" s="241"/>
      <c r="M96" s="241"/>
      <c r="N96" s="241"/>
      <c r="O96" s="240"/>
      <c r="P96" s="292"/>
      <c r="Q96" s="292"/>
    </row>
    <row r="97" spans="1:35" x14ac:dyDescent="0.2">
      <c r="A97" s="240"/>
      <c r="B97" s="241"/>
      <c r="C97" s="241"/>
      <c r="D97" s="241"/>
      <c r="E97" s="241"/>
      <c r="F97" s="241"/>
      <c r="G97" s="241"/>
      <c r="H97" s="241"/>
      <c r="I97" s="241"/>
      <c r="J97" s="241"/>
      <c r="K97" s="241"/>
      <c r="L97" s="241"/>
      <c r="M97" s="241"/>
      <c r="N97" s="241"/>
      <c r="O97" s="240"/>
      <c r="P97" s="292"/>
      <c r="Q97" s="292"/>
    </row>
    <row r="98" spans="1:35" ht="51" x14ac:dyDescent="0.2">
      <c r="A98" s="240"/>
      <c r="B98" s="251" t="s">
        <v>614</v>
      </c>
      <c r="C98" s="241"/>
      <c r="D98" s="241"/>
      <c r="E98" s="241"/>
      <c r="F98" s="241"/>
      <c r="G98" s="241"/>
      <c r="H98" s="241"/>
      <c r="I98" s="241"/>
      <c r="J98" s="241"/>
      <c r="K98" s="241"/>
      <c r="L98" s="241"/>
      <c r="M98" s="241"/>
      <c r="N98" s="241"/>
      <c r="O98" s="240"/>
      <c r="P98" s="292"/>
      <c r="Q98" s="292"/>
    </row>
    <row r="99" spans="1:35" x14ac:dyDescent="0.2">
      <c r="A99" s="240"/>
      <c r="B99" s="240"/>
      <c r="C99" s="245" t="s">
        <v>132</v>
      </c>
      <c r="D99" s="245" t="s">
        <v>133</v>
      </c>
      <c r="E99" s="245" t="s">
        <v>134</v>
      </c>
      <c r="F99" s="245" t="s">
        <v>135</v>
      </c>
      <c r="G99" s="245" t="s">
        <v>110</v>
      </c>
      <c r="H99" s="245" t="s">
        <v>136</v>
      </c>
      <c r="I99" s="245" t="s">
        <v>137</v>
      </c>
      <c r="J99" s="245" t="s">
        <v>138</v>
      </c>
      <c r="K99" s="245" t="s">
        <v>139</v>
      </c>
      <c r="L99" s="245" t="s">
        <v>142</v>
      </c>
      <c r="M99" s="245" t="s">
        <v>140</v>
      </c>
      <c r="N99" s="245" t="s">
        <v>141</v>
      </c>
      <c r="O99" s="240"/>
      <c r="P99" s="292"/>
      <c r="Q99" s="292"/>
    </row>
    <row r="100" spans="1:35" ht="15" x14ac:dyDescent="0.25">
      <c r="A100" s="240"/>
      <c r="B100" s="246">
        <f t="shared" ref="B100:B108" si="4">B86</f>
        <v>2005</v>
      </c>
      <c r="C100" s="1314">
        <v>2.2675999999999998</v>
      </c>
      <c r="D100" s="1314">
        <v>2.0480999999999998</v>
      </c>
      <c r="E100" s="1314">
        <v>1.8285999999999998</v>
      </c>
      <c r="F100" s="1314">
        <v>1.6090999999999998</v>
      </c>
      <c r="G100" s="1314">
        <v>1.3895999999999999</v>
      </c>
      <c r="H100" s="1314">
        <v>1.1700999999999999</v>
      </c>
      <c r="I100" s="1314">
        <v>0.95059999999999989</v>
      </c>
      <c r="J100" s="1314">
        <v>0.73109999999999986</v>
      </c>
      <c r="K100" s="1314">
        <v>0.51159999999999983</v>
      </c>
      <c r="L100" s="1314">
        <v>0.29210000000000003</v>
      </c>
      <c r="M100" s="1314">
        <v>7.2599999999999998E-2</v>
      </c>
      <c r="N100" s="1314">
        <v>-0.14690000000000003</v>
      </c>
      <c r="O100" s="240"/>
      <c r="P100" s="1039"/>
      <c r="Q100" s="1039"/>
      <c r="R100" s="1039"/>
      <c r="S100" s="1039"/>
      <c r="T100" s="1039"/>
      <c r="U100" s="1039"/>
      <c r="V100" s="1039"/>
      <c r="W100" s="1039"/>
      <c r="X100" s="1039"/>
      <c r="Y100" s="1039"/>
      <c r="Z100" s="1039"/>
      <c r="AA100" s="1039"/>
      <c r="AB100" s="813"/>
      <c r="AC100" s="813"/>
      <c r="AD100" s="813"/>
      <c r="AE100" s="813"/>
      <c r="AF100" s="813"/>
      <c r="AG100" s="813"/>
      <c r="AH100" s="813"/>
      <c r="AI100" s="813"/>
    </row>
    <row r="101" spans="1:35" ht="15" x14ac:dyDescent="0.25">
      <c r="A101" s="240"/>
      <c r="B101" s="246">
        <f t="shared" si="4"/>
        <v>2006</v>
      </c>
      <c r="C101" s="1315">
        <v>-0.36640000000000006</v>
      </c>
      <c r="D101" s="1315">
        <v>-0.58590000000000009</v>
      </c>
      <c r="E101" s="1315">
        <v>-0.80540000000000012</v>
      </c>
      <c r="F101" s="1315">
        <v>-1.0249000000000001</v>
      </c>
      <c r="G101" s="1315">
        <v>-1.2444000000000002</v>
      </c>
      <c r="H101" s="1315">
        <v>-1.4639000000000002</v>
      </c>
      <c r="I101" s="1315">
        <v>-1.6833999999999998</v>
      </c>
      <c r="J101" s="1315">
        <v>-1.9028999999999998</v>
      </c>
      <c r="K101" s="1315">
        <v>-2.1223999999999998</v>
      </c>
      <c r="L101" s="1315">
        <v>-2.3418999999999999</v>
      </c>
      <c r="M101" s="1315">
        <v>-2.5613999999999999</v>
      </c>
      <c r="N101" s="1315">
        <v>-2.7808999999999999</v>
      </c>
      <c r="O101" s="240"/>
      <c r="P101" s="1040"/>
      <c r="Q101" s="1040"/>
      <c r="R101" s="1040"/>
      <c r="S101" s="1040"/>
      <c r="T101" s="1040"/>
      <c r="U101" s="1040"/>
      <c r="V101" s="1040"/>
      <c r="W101" s="1040"/>
      <c r="X101" s="1040"/>
      <c r="Y101" s="1040"/>
      <c r="Z101" s="1040"/>
      <c r="AA101" s="1040"/>
    </row>
    <row r="102" spans="1:35" ht="15" x14ac:dyDescent="0.25">
      <c r="A102" s="240"/>
      <c r="B102" s="246">
        <f t="shared" si="4"/>
        <v>2007</v>
      </c>
      <c r="C102" s="1315">
        <v>-3.0004</v>
      </c>
      <c r="D102" s="1315">
        <v>-3.2199</v>
      </c>
      <c r="E102" s="1315">
        <v>-3.4394</v>
      </c>
      <c r="F102" s="1315">
        <v>-3.6589</v>
      </c>
      <c r="G102" s="1315">
        <v>-3.8784000000000001</v>
      </c>
      <c r="H102" s="1315">
        <v>-4.0979000000000001</v>
      </c>
      <c r="I102" s="1315">
        <v>-4.3174000000000001</v>
      </c>
      <c r="J102" s="1315">
        <v>-4.5369000000000002</v>
      </c>
      <c r="K102" s="1315">
        <v>-4.7564000000000002</v>
      </c>
      <c r="L102" s="1315">
        <v>-4.9759000000000002</v>
      </c>
      <c r="M102" s="1315">
        <v>-5.1954000000000002</v>
      </c>
      <c r="N102" s="1315">
        <v>-5.4149000000000003</v>
      </c>
      <c r="O102" s="963"/>
      <c r="P102" s="1041"/>
      <c r="Q102" s="1041"/>
      <c r="R102" s="1041"/>
      <c r="S102" s="1041"/>
      <c r="T102" s="1041"/>
      <c r="U102" s="1041"/>
      <c r="V102" s="1041"/>
      <c r="W102" s="1041"/>
      <c r="X102" s="1041"/>
      <c r="Y102" s="1041"/>
      <c r="Z102" s="1041"/>
      <c r="AA102" s="1041"/>
    </row>
    <row r="103" spans="1:35" ht="15" x14ac:dyDescent="0.25">
      <c r="A103" s="240"/>
      <c r="B103" s="246">
        <f t="shared" si="4"/>
        <v>2008</v>
      </c>
      <c r="C103" s="1315">
        <v>-5.6343999999999994</v>
      </c>
      <c r="D103" s="1315">
        <v>-5.8538999999999994</v>
      </c>
      <c r="E103" s="1315">
        <v>-6.0733999999999995</v>
      </c>
      <c r="F103" s="1315">
        <v>-6.2928999999999995</v>
      </c>
      <c r="G103" s="1315">
        <v>-6.5123999999999995</v>
      </c>
      <c r="H103" s="1315">
        <v>-6.7318999999999996</v>
      </c>
      <c r="I103" s="1315">
        <v>-6.9513999999999996</v>
      </c>
      <c r="J103" s="1315">
        <v>-7.1708999999999996</v>
      </c>
      <c r="K103" s="1315">
        <v>-7.3903999999999996</v>
      </c>
      <c r="L103" s="1315">
        <v>-7.6098999999999997</v>
      </c>
      <c r="M103" s="1315">
        <v>-7.8293999999999997</v>
      </c>
      <c r="N103" s="1315">
        <v>-8.0488999999999997</v>
      </c>
      <c r="O103" s="240"/>
      <c r="P103" s="1042"/>
      <c r="Q103" s="1042"/>
      <c r="R103" s="1042"/>
      <c r="S103" s="1042"/>
      <c r="T103" s="1042"/>
      <c r="U103" s="1042"/>
      <c r="V103" s="1042"/>
      <c r="W103" s="1042"/>
      <c r="X103" s="1042"/>
      <c r="Y103" s="1042"/>
      <c r="Z103" s="1042"/>
      <c r="AA103" s="1042"/>
    </row>
    <row r="104" spans="1:35" ht="15" x14ac:dyDescent="0.25">
      <c r="A104" s="240"/>
      <c r="B104" s="246">
        <f t="shared" si="4"/>
        <v>2009</v>
      </c>
      <c r="C104" s="1315">
        <v>-8.2683999999999997</v>
      </c>
      <c r="D104" s="1315">
        <v>-8.4878999999999998</v>
      </c>
      <c r="E104" s="1315">
        <v>-8.7073999999999998</v>
      </c>
      <c r="F104" s="1315">
        <v>-8.9268999999999998</v>
      </c>
      <c r="G104" s="1315">
        <v>-9.1463999999999999</v>
      </c>
      <c r="H104" s="1315">
        <v>-9.3658999999999999</v>
      </c>
      <c r="I104" s="1315">
        <v>-9.5853999999999999</v>
      </c>
      <c r="J104" s="1315">
        <v>-9.8048999999999999</v>
      </c>
      <c r="K104" s="1315">
        <v>-10.0244</v>
      </c>
      <c r="L104" s="1315">
        <v>-10.2439</v>
      </c>
      <c r="M104" s="1315">
        <v>-10.4634</v>
      </c>
      <c r="N104" s="1315">
        <v>-10.6829</v>
      </c>
      <c r="O104" s="240"/>
      <c r="P104" s="1043"/>
      <c r="Q104" s="1043"/>
      <c r="R104" s="1043"/>
      <c r="S104" s="1043"/>
      <c r="T104" s="1043"/>
      <c r="U104" s="1043"/>
      <c r="V104" s="1043"/>
      <c r="W104" s="1043"/>
      <c r="X104" s="1043"/>
      <c r="Y104" s="1043"/>
      <c r="Z104" s="1043"/>
      <c r="AA104" s="1043"/>
    </row>
    <row r="105" spans="1:35" ht="15" x14ac:dyDescent="0.25">
      <c r="A105" s="240"/>
      <c r="B105" s="246">
        <f t="shared" si="4"/>
        <v>2010</v>
      </c>
      <c r="C105" s="1315">
        <v>-10.9024</v>
      </c>
      <c r="D105" s="1315">
        <v>-11.1219</v>
      </c>
      <c r="E105" s="1315">
        <v>-11.3414</v>
      </c>
      <c r="F105" s="1315">
        <v>-11.5609</v>
      </c>
      <c r="G105" s="1315">
        <v>-11.7804</v>
      </c>
      <c r="H105" s="1315">
        <v>-11.9999</v>
      </c>
      <c r="I105" s="1315">
        <v>-12.2194</v>
      </c>
      <c r="J105" s="1315">
        <v>-12.4389</v>
      </c>
      <c r="K105" s="1315">
        <v>-12.6584</v>
      </c>
      <c r="L105" s="1315">
        <v>-12.8779</v>
      </c>
      <c r="M105" s="1315">
        <v>-13.0974</v>
      </c>
      <c r="N105" s="1315">
        <v>-13.3169</v>
      </c>
      <c r="O105" s="240"/>
      <c r="P105" s="1044"/>
      <c r="Q105" s="1044"/>
      <c r="R105" s="1044"/>
      <c r="S105" s="1044"/>
      <c r="T105" s="1044"/>
      <c r="U105" s="1044"/>
      <c r="V105" s="1044"/>
      <c r="W105" s="1044"/>
      <c r="X105" s="1044"/>
      <c r="Y105" s="1044"/>
      <c r="Z105" s="1044"/>
      <c r="AA105" s="1044"/>
    </row>
    <row r="106" spans="1:35" ht="15" x14ac:dyDescent="0.25">
      <c r="A106" s="240"/>
      <c r="B106" s="246">
        <f t="shared" si="4"/>
        <v>2011</v>
      </c>
      <c r="C106" s="1315">
        <v>-13.536399999999999</v>
      </c>
      <c r="D106" s="1315">
        <v>-13.755899999999999</v>
      </c>
      <c r="E106" s="1315">
        <v>-13.975399999999999</v>
      </c>
      <c r="F106" s="1315">
        <v>-14.194899999999999</v>
      </c>
      <c r="G106" s="1315">
        <v>-14.414399999999999</v>
      </c>
      <c r="H106" s="1315">
        <v>-14.633899999999999</v>
      </c>
      <c r="I106" s="1315">
        <v>-14.853399999999999</v>
      </c>
      <c r="J106" s="1315">
        <v>-15.072899999999999</v>
      </c>
      <c r="K106" s="1315">
        <v>-15.292399999999999</v>
      </c>
      <c r="L106" s="1315">
        <v>-15.511899999999999</v>
      </c>
      <c r="M106" s="1315">
        <v>-15.731399999999999</v>
      </c>
      <c r="N106" s="1315">
        <v>-15.950899999999999</v>
      </c>
      <c r="O106" s="240"/>
      <c r="P106" s="1045"/>
      <c r="Q106" s="1045"/>
      <c r="R106" s="1045"/>
      <c r="S106" s="1045"/>
      <c r="T106" s="1045"/>
      <c r="U106" s="1045"/>
      <c r="V106" s="1045"/>
      <c r="W106" s="1045"/>
      <c r="X106" s="1045"/>
      <c r="Y106" s="1045"/>
      <c r="Z106" s="1045"/>
      <c r="AA106" s="1045"/>
    </row>
    <row r="107" spans="1:35" ht="15" x14ac:dyDescent="0.25">
      <c r="A107" s="240"/>
      <c r="B107" s="246">
        <f t="shared" si="4"/>
        <v>2012</v>
      </c>
      <c r="C107" s="1315">
        <v>-16.170400000000001</v>
      </c>
      <c r="D107" s="1315">
        <v>-16.389899999999997</v>
      </c>
      <c r="E107" s="1315">
        <v>-16.609400000000001</v>
      </c>
      <c r="F107" s="1315">
        <v>-16.828899999999997</v>
      </c>
      <c r="G107" s="1315">
        <v>-17.048400000000001</v>
      </c>
      <c r="H107" s="1315">
        <v>-17.267899999999997</v>
      </c>
      <c r="I107" s="1315">
        <v>-17.487400000000001</v>
      </c>
      <c r="J107" s="1315">
        <v>-17.706899999999997</v>
      </c>
      <c r="K107" s="1315">
        <v>-17.926400000000001</v>
      </c>
      <c r="L107" s="1315">
        <v>-18.145899999999997</v>
      </c>
      <c r="M107" s="1315">
        <v>-18.365400000000001</v>
      </c>
      <c r="N107" s="1315">
        <v>-18.584899999999998</v>
      </c>
      <c r="O107" s="240"/>
      <c r="P107" s="1046"/>
      <c r="Q107" s="1046"/>
      <c r="R107" s="1046"/>
      <c r="S107" s="1046"/>
      <c r="T107" s="1046"/>
      <c r="U107" s="1046"/>
      <c r="V107" s="1046"/>
      <c r="W107" s="1046"/>
      <c r="X107" s="1046"/>
      <c r="Y107" s="1046"/>
      <c r="Z107" s="1046"/>
      <c r="AA107" s="1046"/>
    </row>
    <row r="108" spans="1:35" ht="15" x14ac:dyDescent="0.25">
      <c r="A108" s="240"/>
      <c r="B108" s="246">
        <f t="shared" si="4"/>
        <v>2013</v>
      </c>
      <c r="C108" s="1315">
        <v>-18.804400000000001</v>
      </c>
      <c r="D108" s="1315">
        <v>-19.023899999999998</v>
      </c>
      <c r="E108" s="1315">
        <v>-19.243400000000001</v>
      </c>
      <c r="F108" s="1315">
        <v>-19.462899999999998</v>
      </c>
      <c r="G108" s="1315">
        <v>-19.682400000000001</v>
      </c>
      <c r="H108" s="1315">
        <v>-19.901899999999998</v>
      </c>
      <c r="I108" s="1315">
        <v>-20.121400000000001</v>
      </c>
      <c r="J108" s="1315">
        <v>-20.340899999999998</v>
      </c>
      <c r="K108" s="1315">
        <v>-20.560400000000001</v>
      </c>
      <c r="L108" s="1315">
        <v>-20.779899999999998</v>
      </c>
      <c r="M108" s="1315">
        <v>-20.999400000000001</v>
      </c>
      <c r="N108" s="1315">
        <v>-21.218899999999998</v>
      </c>
      <c r="O108" s="240"/>
      <c r="P108" s="1047"/>
      <c r="Q108" s="1047"/>
      <c r="R108" s="1047"/>
      <c r="S108" s="1047"/>
      <c r="T108" s="1047"/>
      <c r="U108" s="1047"/>
      <c r="V108" s="1047"/>
      <c r="W108" s="1047"/>
      <c r="X108" s="1047"/>
      <c r="Y108" s="1047"/>
      <c r="Z108" s="1047"/>
      <c r="AA108" s="1047"/>
    </row>
    <row r="109" spans="1:35" ht="15" x14ac:dyDescent="0.25">
      <c r="A109" s="240"/>
      <c r="B109" s="246">
        <f>B95</f>
        <v>2014</v>
      </c>
      <c r="C109" s="1315">
        <v>-21.438400000000001</v>
      </c>
      <c r="D109" s="1315">
        <v>-21.657899999999998</v>
      </c>
      <c r="E109" s="1315">
        <v>-21.877400000000002</v>
      </c>
      <c r="F109" s="1315">
        <v>-22.096899999999998</v>
      </c>
      <c r="G109" s="1315">
        <v>-22.316400000000002</v>
      </c>
      <c r="H109" s="1315">
        <v>-22.535899999999998</v>
      </c>
      <c r="I109" s="1315">
        <v>-22.755400000000002</v>
      </c>
      <c r="J109" s="1315">
        <v>-22.974899999999998</v>
      </c>
      <c r="K109" s="1315">
        <v>-23.194400000000002</v>
      </c>
      <c r="L109" s="1315">
        <v>-23.413899999999998</v>
      </c>
      <c r="M109" s="1315">
        <v>-23.633400000000002</v>
      </c>
      <c r="N109" s="1315">
        <v>-23.852899999999998</v>
      </c>
      <c r="O109" s="240"/>
      <c r="P109" s="1048"/>
      <c r="Q109" s="1048"/>
      <c r="R109" s="1048"/>
      <c r="S109" s="1048"/>
      <c r="T109" s="1048"/>
      <c r="U109" s="1048"/>
      <c r="V109" s="1048"/>
      <c r="W109" s="1048"/>
      <c r="X109" s="1048"/>
      <c r="Y109" s="1048"/>
      <c r="Z109" s="1048"/>
      <c r="AA109" s="1048"/>
    </row>
    <row r="110" spans="1:35" x14ac:dyDescent="0.2">
      <c r="A110" s="240"/>
      <c r="B110" s="241"/>
      <c r="C110" s="241"/>
      <c r="D110" s="241"/>
      <c r="E110" s="241"/>
      <c r="F110" s="241"/>
      <c r="G110" s="241"/>
      <c r="H110" s="241"/>
      <c r="I110" s="241"/>
      <c r="J110" s="241"/>
      <c r="K110" s="241"/>
      <c r="L110" s="241"/>
      <c r="M110" s="241"/>
      <c r="N110" s="241"/>
      <c r="O110" s="240"/>
      <c r="P110" s="59"/>
      <c r="Q110" s="59"/>
      <c r="R110" s="59"/>
      <c r="S110" s="59"/>
      <c r="T110" s="59"/>
      <c r="U110" s="59"/>
      <c r="V110" s="59"/>
      <c r="W110" s="59"/>
      <c r="X110" s="59"/>
      <c r="Y110" s="59"/>
      <c r="Z110" s="59"/>
      <c r="AA110" s="59"/>
    </row>
    <row r="111" spans="1:35" x14ac:dyDescent="0.2">
      <c r="A111" s="240"/>
      <c r="B111" s="241"/>
      <c r="C111" s="241"/>
      <c r="D111" s="241"/>
      <c r="E111" s="241"/>
      <c r="F111" s="241"/>
      <c r="G111" s="241"/>
      <c r="H111" s="241"/>
      <c r="I111" s="241"/>
      <c r="J111" s="241"/>
      <c r="K111" s="241"/>
      <c r="L111" s="241"/>
      <c r="M111" s="241"/>
      <c r="N111" s="241"/>
      <c r="O111" s="240"/>
      <c r="P111" s="59"/>
      <c r="Q111" s="59"/>
      <c r="R111" s="59"/>
      <c r="S111" s="59"/>
      <c r="T111" s="59"/>
      <c r="U111" s="59"/>
      <c r="V111" s="59"/>
      <c r="W111" s="59"/>
      <c r="X111" s="59"/>
      <c r="Y111" s="59"/>
      <c r="Z111" s="59"/>
      <c r="AA111" s="59"/>
    </row>
    <row r="112" spans="1:35" x14ac:dyDescent="0.2">
      <c r="A112" s="240"/>
      <c r="B112" s="253" t="s">
        <v>128</v>
      </c>
      <c r="C112" s="241"/>
      <c r="D112" s="241"/>
      <c r="E112" s="241"/>
      <c r="F112" s="241"/>
      <c r="G112" s="241"/>
      <c r="H112" s="241"/>
      <c r="I112" s="241"/>
      <c r="J112" s="241"/>
      <c r="K112" s="241"/>
      <c r="L112" s="241"/>
      <c r="M112" s="241"/>
      <c r="N112" s="241"/>
      <c r="O112" s="240"/>
      <c r="P112" s="59"/>
      <c r="Q112" s="59"/>
      <c r="R112" s="59"/>
      <c r="S112" s="59"/>
      <c r="T112" s="59"/>
      <c r="U112" s="59"/>
      <c r="V112" s="59"/>
      <c r="W112" s="59"/>
      <c r="X112" s="59"/>
      <c r="Y112" s="59"/>
      <c r="Z112" s="59"/>
      <c r="AA112" s="59"/>
    </row>
    <row r="113" spans="1:27" x14ac:dyDescent="0.2">
      <c r="A113" s="240"/>
      <c r="B113" s="254"/>
      <c r="C113" s="241"/>
      <c r="D113" s="241"/>
      <c r="E113" s="241"/>
      <c r="F113" s="241"/>
      <c r="G113" s="241"/>
      <c r="H113" s="241"/>
      <c r="I113" s="241"/>
      <c r="J113" s="241"/>
      <c r="K113" s="241"/>
      <c r="L113" s="241"/>
      <c r="M113" s="241"/>
      <c r="N113" s="241"/>
      <c r="O113" s="240"/>
      <c r="P113" s="59"/>
      <c r="Q113" s="59"/>
      <c r="R113" s="59"/>
      <c r="S113" s="59"/>
      <c r="T113" s="59"/>
      <c r="U113" s="59"/>
      <c r="V113" s="59"/>
      <c r="W113" s="59"/>
      <c r="X113" s="59"/>
      <c r="Y113" s="59"/>
      <c r="Z113" s="59"/>
      <c r="AA113" s="59"/>
    </row>
    <row r="114" spans="1:27" x14ac:dyDescent="0.2">
      <c r="A114" s="240"/>
      <c r="B114" s="255" t="str">
        <f>Variable1</f>
        <v>HDD</v>
      </c>
      <c r="C114" s="241"/>
      <c r="D114" s="241"/>
      <c r="E114" s="241"/>
      <c r="F114" s="241"/>
      <c r="G114" s="241"/>
      <c r="H114" s="241"/>
      <c r="I114" s="241"/>
      <c r="J114" s="241"/>
      <c r="K114" s="241"/>
      <c r="L114" s="241"/>
      <c r="M114" s="241"/>
      <c r="N114" s="241"/>
      <c r="O114" s="240"/>
      <c r="P114" s="59"/>
      <c r="Q114" s="59"/>
      <c r="R114" s="59"/>
      <c r="S114" s="59"/>
      <c r="T114" s="59"/>
      <c r="U114" s="59"/>
      <c r="V114" s="59"/>
      <c r="W114" s="59"/>
      <c r="X114" s="59"/>
      <c r="Y114" s="59"/>
      <c r="Z114" s="59"/>
      <c r="AA114" s="59"/>
    </row>
    <row r="115" spans="1:27" x14ac:dyDescent="0.2">
      <c r="A115" s="240"/>
      <c r="B115" s="255" t="str">
        <f>Variable2</f>
        <v>CDD</v>
      </c>
      <c r="C115" s="241"/>
      <c r="D115" s="241"/>
      <c r="E115" s="241"/>
      <c r="F115" s="241"/>
      <c r="G115" s="241"/>
      <c r="H115" s="241"/>
      <c r="I115" s="241"/>
      <c r="J115" s="241"/>
      <c r="K115" s="241"/>
      <c r="L115" s="241"/>
      <c r="M115" s="241"/>
      <c r="N115" s="241"/>
      <c r="O115" s="240"/>
      <c r="P115" s="59"/>
      <c r="Q115" s="59"/>
      <c r="R115" s="59"/>
      <c r="S115" s="59"/>
      <c r="T115" s="59"/>
      <c r="U115" s="59"/>
      <c r="V115" s="59"/>
      <c r="W115" s="59"/>
      <c r="X115" s="59"/>
      <c r="Y115" s="59"/>
      <c r="Z115" s="59"/>
      <c r="AA115" s="59"/>
    </row>
    <row r="116" spans="1:27" x14ac:dyDescent="0.2">
      <c r="A116" s="240"/>
      <c r="B116" s="255" t="str">
        <f>Variable3</f>
        <v>Spring Fall Flag</v>
      </c>
      <c r="C116" s="241"/>
      <c r="D116" s="241"/>
      <c r="E116" s="241"/>
      <c r="F116" s="241"/>
      <c r="G116" s="241"/>
      <c r="H116" s="241"/>
      <c r="I116" s="241"/>
      <c r="J116" s="241"/>
      <c r="K116" s="241"/>
      <c r="L116" s="241"/>
      <c r="M116" s="241"/>
      <c r="N116" s="241"/>
      <c r="O116" s="240"/>
    </row>
    <row r="117" spans="1:27" x14ac:dyDescent="0.2">
      <c r="A117" s="240"/>
      <c r="B117" s="255" t="str">
        <f>B70</f>
        <v>Days in Month</v>
      </c>
      <c r="C117" s="241"/>
      <c r="D117" s="241"/>
      <c r="E117" s="241"/>
      <c r="F117" s="241"/>
      <c r="G117" s="241"/>
      <c r="H117" s="241"/>
      <c r="I117" s="241"/>
      <c r="J117" s="241"/>
      <c r="K117" s="241"/>
      <c r="L117" s="241"/>
      <c r="M117" s="241"/>
      <c r="N117" s="241"/>
      <c r="O117" s="240"/>
    </row>
    <row r="118" spans="1:27" x14ac:dyDescent="0.2">
      <c r="A118" s="240"/>
      <c r="B118" s="255" t="str">
        <f>Variable5</f>
        <v>Customer Count</v>
      </c>
      <c r="C118" s="241"/>
      <c r="D118" s="241"/>
      <c r="E118" s="241"/>
      <c r="F118" s="241"/>
      <c r="G118" s="241"/>
      <c r="H118" s="241"/>
      <c r="I118" s="241"/>
      <c r="J118" s="241"/>
      <c r="K118" s="241"/>
      <c r="L118" s="241"/>
      <c r="M118" s="241"/>
      <c r="N118" s="241"/>
      <c r="O118" s="240"/>
    </row>
    <row r="119" spans="1:27" x14ac:dyDescent="0.2">
      <c r="A119" s="240"/>
      <c r="B119" s="255" t="str">
        <f>Variable6</f>
        <v>CPI Index Electrcity Increase Relative to Overall CPI Index (Linear Trended)</v>
      </c>
      <c r="C119" s="241"/>
      <c r="D119" s="241"/>
      <c r="E119" s="241"/>
      <c r="F119" s="241"/>
      <c r="G119" s="241"/>
      <c r="H119" s="241"/>
      <c r="I119" s="241"/>
      <c r="J119" s="241"/>
      <c r="K119" s="241"/>
      <c r="L119" s="241"/>
      <c r="M119" s="241"/>
      <c r="N119" s="241"/>
      <c r="O119" s="240"/>
    </row>
    <row r="120" spans="1:27" x14ac:dyDescent="0.2">
      <c r="A120" s="240"/>
      <c r="B120" s="241"/>
      <c r="C120" s="241"/>
      <c r="D120" s="241"/>
      <c r="E120" s="241"/>
      <c r="F120" s="241"/>
      <c r="G120" s="241"/>
      <c r="H120" s="241"/>
      <c r="I120" s="241"/>
      <c r="J120" s="241"/>
      <c r="K120" s="241"/>
      <c r="L120" s="241"/>
      <c r="M120" s="241"/>
      <c r="N120" s="241"/>
      <c r="O120" s="240"/>
    </row>
    <row r="121" spans="1:27" x14ac:dyDescent="0.2">
      <c r="A121" s="240"/>
      <c r="B121" s="241"/>
      <c r="C121" s="241"/>
      <c r="D121" s="241"/>
      <c r="E121" s="241"/>
      <c r="F121" s="241"/>
      <c r="G121" s="241"/>
      <c r="H121" s="241"/>
      <c r="I121" s="241"/>
      <c r="J121" s="241"/>
      <c r="K121" s="241"/>
      <c r="L121" s="241"/>
      <c r="M121" s="241"/>
      <c r="N121" s="241"/>
      <c r="O121" s="240"/>
    </row>
    <row r="122" spans="1:27" x14ac:dyDescent="0.2">
      <c r="A122" s="240"/>
      <c r="B122" s="241"/>
      <c r="C122" s="241"/>
      <c r="D122" s="241"/>
      <c r="E122" s="241"/>
      <c r="F122" s="241"/>
      <c r="G122" s="241"/>
      <c r="H122" s="241"/>
      <c r="I122" s="241"/>
      <c r="J122" s="241"/>
      <c r="K122" s="241"/>
      <c r="L122" s="241"/>
      <c r="M122" s="241"/>
      <c r="N122" s="241"/>
      <c r="O122" s="240"/>
    </row>
    <row r="123" spans="1:27" x14ac:dyDescent="0.2">
      <c r="A123" s="240"/>
      <c r="B123" s="241"/>
      <c r="C123" s="241"/>
      <c r="D123" s="241"/>
      <c r="E123" s="241"/>
      <c r="F123" s="241"/>
      <c r="G123" s="241"/>
      <c r="H123" s="241"/>
      <c r="I123" s="241"/>
      <c r="J123" s="241"/>
      <c r="K123" s="241"/>
      <c r="L123" s="241"/>
      <c r="M123" s="241"/>
      <c r="N123" s="241"/>
      <c r="O123" s="240"/>
    </row>
    <row r="124" spans="1:27" x14ac:dyDescent="0.2">
      <c r="A124" s="240"/>
      <c r="C124" s="1034">
        <v>6.7956670848707823E-3</v>
      </c>
      <c r="D124" s="1034">
        <v>1.0594337550207999E-2</v>
      </c>
      <c r="E124" s="1034">
        <v>1.6270780312743316E-2</v>
      </c>
      <c r="F124" s="1034">
        <v>-8.2240915409612647E-3</v>
      </c>
      <c r="G124" s="1034">
        <v>-9.1853404696897734E-3</v>
      </c>
      <c r="H124" s="1034">
        <v>-7.310926224141534E-3</v>
      </c>
      <c r="I124" s="1034">
        <v>-1.0179355326948469E-2</v>
      </c>
      <c r="J124" s="1034">
        <v>-6.4445280627094537E-3</v>
      </c>
      <c r="K124" s="1034">
        <v>1.9275649605463574E-3</v>
      </c>
      <c r="L124" s="1034">
        <v>-4.5717736177451895E-3</v>
      </c>
      <c r="M124" s="1034">
        <v>-3.6004829793114812E-3</v>
      </c>
      <c r="N124" s="1034">
        <v>3.9695954833154357E-3</v>
      </c>
      <c r="P124" s="1" t="s">
        <v>612</v>
      </c>
    </row>
    <row r="125" spans="1:27" x14ac:dyDescent="0.2">
      <c r="A125" s="240"/>
      <c r="C125" s="1034">
        <v>-1.3311339195388738E-2</v>
      </c>
      <c r="D125" s="1034">
        <v>-1.5159768030878595E-2</v>
      </c>
      <c r="E125" s="1034">
        <v>-9.6042124753230596E-3</v>
      </c>
      <c r="F125" s="1034">
        <v>-8.7348440791790161E-3</v>
      </c>
      <c r="G125" s="1034">
        <v>-4.308101999161984E-2</v>
      </c>
      <c r="H125" s="1034">
        <v>-4.4904174048137624E-2</v>
      </c>
      <c r="I125" s="1034">
        <v>-4.9343295999754511E-2</v>
      </c>
      <c r="J125" s="1034">
        <v>-4.7518478481506254E-2</v>
      </c>
      <c r="K125" s="1034">
        <v>-5.5644893694775988E-2</v>
      </c>
      <c r="L125" s="1034">
        <v>-6.2786130039552024E-2</v>
      </c>
      <c r="M125" s="1034">
        <v>-4.0704788780991596E-2</v>
      </c>
      <c r="N125" s="1034">
        <v>-4.5162595125590399E-2</v>
      </c>
    </row>
    <row r="126" spans="1:27" x14ac:dyDescent="0.2">
      <c r="A126" s="240"/>
      <c r="C126" s="1034">
        <v>-4.4269737982733259E-2</v>
      </c>
      <c r="D126" s="1034">
        <v>-3.516981362483329E-2</v>
      </c>
      <c r="E126" s="1034">
        <v>-2.5212334182393659E-2</v>
      </c>
      <c r="F126" s="1034">
        <v>-2.0711884137389114E-2</v>
      </c>
      <c r="G126" s="1034">
        <v>-1.3541014439396593E-2</v>
      </c>
      <c r="H126" s="1034">
        <v>-3.1512186119358354E-2</v>
      </c>
      <c r="I126" s="1034">
        <v>-4.3007911601181004E-2</v>
      </c>
      <c r="J126" s="1034">
        <v>-5.5301867645137004E-2</v>
      </c>
      <c r="K126" s="1034">
        <v>-5.2645556483901901E-2</v>
      </c>
      <c r="L126" s="1034">
        <v>-4.49279081131575E-2</v>
      </c>
      <c r="M126" s="1034">
        <v>-2.6477914704122307E-2</v>
      </c>
      <c r="N126" s="1034">
        <v>-2.5584259654971353E-2</v>
      </c>
    </row>
    <row r="127" spans="1:27" x14ac:dyDescent="0.2">
      <c r="C127" s="1034">
        <v>-1.4024778211148226E-2</v>
      </c>
      <c r="D127" s="1034">
        <v>-9.5452474246573438E-3</v>
      </c>
      <c r="E127" s="1034">
        <v>-5.077657960253501E-3</v>
      </c>
      <c r="F127" s="1034">
        <v>-1.3344925357616444E-2</v>
      </c>
      <c r="G127" s="1034">
        <v>-7.2088509572248993E-3</v>
      </c>
      <c r="H127" s="1034">
        <v>-2.28048164903627E-4</v>
      </c>
      <c r="I127" s="1034">
        <v>-1.6248114695153082E-2</v>
      </c>
      <c r="J127" s="1034">
        <v>-1.3631181758561151E-2</v>
      </c>
      <c r="K127" s="1034">
        <v>-5.4972496888494593E-4</v>
      </c>
      <c r="L127" s="1034">
        <v>-1.0921375789973986E-2</v>
      </c>
      <c r="M127" s="1034">
        <v>-3.2082670094601529E-2</v>
      </c>
      <c r="N127" s="1034">
        <v>-4.8642674720173695E-2</v>
      </c>
    </row>
    <row r="128" spans="1:27" x14ac:dyDescent="0.2">
      <c r="C128" s="1034">
        <v>-4.0972369585159707E-2</v>
      </c>
      <c r="D128" s="1034">
        <v>-3.9974391682143451E-2</v>
      </c>
      <c r="E128" s="1034">
        <v>-2.3536438845454422E-2</v>
      </c>
      <c r="F128" s="1034">
        <v>-2.003151088137245E-2</v>
      </c>
      <c r="G128" s="1034">
        <v>-3.0613439679799681E-2</v>
      </c>
      <c r="H128" s="1034">
        <v>-1.8475562322589845E-2</v>
      </c>
      <c r="I128" s="1034">
        <v>-2.4568602292386221E-2</v>
      </c>
      <c r="J128" s="1034">
        <v>-4.3715686713622026E-2</v>
      </c>
      <c r="K128" s="1034">
        <v>-3.2614064168788537E-2</v>
      </c>
      <c r="L128" s="1034">
        <v>-2.0532535874657865E-2</v>
      </c>
      <c r="M128" s="1034">
        <v>-2.5795621444458905E-2</v>
      </c>
      <c r="N128" s="1034">
        <v>-3.4462648861486422E-2</v>
      </c>
    </row>
    <row r="129" spans="3:16" x14ac:dyDescent="0.2">
      <c r="C129" s="1034">
        <v>-2.5820123344315493E-2</v>
      </c>
      <c r="D129" s="1034">
        <v>-1.8876421311421199E-2</v>
      </c>
      <c r="E129" s="1034">
        <v>-1.2794753196738395E-2</v>
      </c>
      <c r="F129" s="1034">
        <v>-1.7201678451414293E-2</v>
      </c>
      <c r="G129" s="1034">
        <v>-5.7113303298141127E-2</v>
      </c>
      <c r="H129" s="1034">
        <v>-6.7124562835484292E-2</v>
      </c>
      <c r="I129" s="1034">
        <v>-0.10235676475587352</v>
      </c>
      <c r="J129" s="1034">
        <v>-0.10242053611249369</v>
      </c>
      <c r="K129" s="1034">
        <v>-8.9604440292130993E-2</v>
      </c>
      <c r="L129" s="1034">
        <v>-7.6506109516404353E-2</v>
      </c>
      <c r="M129" s="1034">
        <v>-6.5136521407265224E-2</v>
      </c>
      <c r="N129" s="1034">
        <v>-7.3313136288704284E-2</v>
      </c>
    </row>
    <row r="130" spans="3:16" x14ac:dyDescent="0.2">
      <c r="C130" s="1034">
        <v>-6.6704794758791097E-2</v>
      </c>
      <c r="D130" s="1034">
        <v>-4.2171134770846996E-2</v>
      </c>
      <c r="E130" s="1034">
        <v>-2.4502398373503875E-2</v>
      </c>
      <c r="F130" s="1034">
        <v>-5.5519456281091784E-2</v>
      </c>
      <c r="G130" s="1034">
        <v>-3.1823831752907261E-2</v>
      </c>
      <c r="H130" s="1034">
        <v>-4.257934246535211E-2</v>
      </c>
      <c r="I130" s="1034">
        <v>-7.2108579754649349E-2</v>
      </c>
      <c r="J130" s="1034">
        <v>-9.1105395041273796E-2</v>
      </c>
      <c r="K130" s="1034">
        <v>-5.8214123609564683E-2</v>
      </c>
      <c r="L130" s="1034">
        <v>-9.1121665215575187E-2</v>
      </c>
      <c r="M130" s="1034">
        <v>-7.0091830444018677E-2</v>
      </c>
      <c r="N130" s="1034">
        <v>-0.10601655309970259</v>
      </c>
    </row>
    <row r="131" spans="3:16" x14ac:dyDescent="0.2">
      <c r="C131" s="1034">
        <v>-0.11648345519641334</v>
      </c>
      <c r="D131" s="1034">
        <v>-0.10247752368661889</v>
      </c>
      <c r="E131" s="1034">
        <v>-6.0804218425058121E-2</v>
      </c>
      <c r="F131" s="1034">
        <v>-5.5103398302484563E-2</v>
      </c>
      <c r="G131" s="1034">
        <v>-7.5060484888910373E-2</v>
      </c>
      <c r="H131" s="1034">
        <v>-8.8545160345416707E-2</v>
      </c>
      <c r="I131" s="1034">
        <v>-9.9445048146314274E-2</v>
      </c>
      <c r="J131" s="1034">
        <v>-0.11462748563624725</v>
      </c>
      <c r="K131" s="1034">
        <v>-0.10770641482065313</v>
      </c>
      <c r="L131" s="1034">
        <v>-9.8485569421132846E-2</v>
      </c>
      <c r="M131" s="1034">
        <v>-8.1078070787101053E-2</v>
      </c>
      <c r="N131" s="1034">
        <v>-9.3835291641371832E-2</v>
      </c>
    </row>
    <row r="132" spans="3:16" x14ac:dyDescent="0.2">
      <c r="C132" s="1034">
        <v>-9.9202159597517436E-2</v>
      </c>
      <c r="D132" s="1034">
        <v>-7.9968219588639311E-2</v>
      </c>
      <c r="E132" s="1034">
        <v>-7.678784014169926E-2</v>
      </c>
      <c r="F132" s="1034">
        <v>-9.3166732236974248E-2</v>
      </c>
      <c r="G132" s="1034">
        <v>-9.8372853872777721E-2</v>
      </c>
      <c r="H132" s="1034">
        <v>-9.9891456758123276E-2</v>
      </c>
      <c r="I132" s="1034">
        <v>-0.11879035158482742</v>
      </c>
      <c r="J132" s="1034">
        <v>-0.1202773404324109</v>
      </c>
      <c r="K132" s="1034">
        <v>-0.11642547357058797</v>
      </c>
      <c r="L132" s="1034">
        <v>-0.106953801690157</v>
      </c>
      <c r="M132" s="1034">
        <v>-0.12201404265401239</v>
      </c>
      <c r="N132" s="1034">
        <v>-0.12222754775642242</v>
      </c>
    </row>
    <row r="133" spans="3:16" x14ac:dyDescent="0.2">
      <c r="C133" s="1034">
        <v>-0.13086347483701</v>
      </c>
      <c r="D133" s="1034">
        <v>-0.11539245941434162</v>
      </c>
      <c r="E133" s="1034">
        <v>-0.11123223190506848</v>
      </c>
      <c r="F133" s="1034">
        <v>-0.11837447990097494</v>
      </c>
      <c r="G133" s="1034">
        <v>-0.14430636123904206</v>
      </c>
      <c r="H133" s="1034">
        <v>-0.11867113640121207</v>
      </c>
      <c r="I133" s="1034">
        <v>-0.13263233339566138</v>
      </c>
      <c r="J133" s="1034">
        <v>-0.13766468422240496</v>
      </c>
      <c r="K133" s="1034">
        <v>-0.13758444685637583</v>
      </c>
      <c r="L133" s="1034">
        <v>-0.13893392314593522</v>
      </c>
      <c r="M133" s="1034">
        <v>-0.13933899521477144</v>
      </c>
      <c r="N133" s="1034">
        <v>-0.15081094638833903</v>
      </c>
    </row>
    <row r="136" spans="3:16" x14ac:dyDescent="0.2">
      <c r="C136" s="1034">
        <v>7.7000000000000002E-3</v>
      </c>
      <c r="D136" s="1034">
        <v>6.6E-3</v>
      </c>
      <c r="E136" s="1034">
        <v>5.5000000000000005E-3</v>
      </c>
      <c r="F136" s="1034">
        <v>4.4000000000000003E-3</v>
      </c>
      <c r="G136" s="1034">
        <v>3.3E-3</v>
      </c>
      <c r="H136" s="1034">
        <v>2.2000000000000006E-3</v>
      </c>
      <c r="I136" s="1034">
        <v>1.1000000000000003E-3</v>
      </c>
      <c r="J136" s="1034">
        <v>0</v>
      </c>
      <c r="K136" s="1034">
        <v>-1.1000000000000003E-3</v>
      </c>
      <c r="L136" s="1034">
        <v>-2.2000000000000006E-3</v>
      </c>
      <c r="M136" s="1034">
        <v>-3.3000000000000008E-3</v>
      </c>
      <c r="N136" s="1034">
        <v>-4.3999999999999994E-3</v>
      </c>
      <c r="P136" s="1" t="s">
        <v>613</v>
      </c>
    </row>
    <row r="137" spans="3:16" x14ac:dyDescent="0.2">
      <c r="C137" s="1034">
        <v>-5.4999999999999997E-3</v>
      </c>
      <c r="D137" s="1034">
        <v>-6.6E-3</v>
      </c>
      <c r="E137" s="1034">
        <v>-7.7000000000000002E-3</v>
      </c>
      <c r="F137" s="1034">
        <v>-8.8000000000000005E-3</v>
      </c>
      <c r="G137" s="1034">
        <v>-9.9000000000000008E-3</v>
      </c>
      <c r="H137" s="1034">
        <v>-1.1000000000000001E-2</v>
      </c>
      <c r="I137" s="1034">
        <v>-1.2100000000000001E-2</v>
      </c>
      <c r="J137" s="1034">
        <v>-1.3200000000000002E-2</v>
      </c>
      <c r="K137" s="1034">
        <v>-1.4300000000000002E-2</v>
      </c>
      <c r="L137" s="1034">
        <v>-1.5400000000000002E-2</v>
      </c>
      <c r="M137" s="1034">
        <v>-1.6500000000000001E-2</v>
      </c>
      <c r="N137" s="1034">
        <v>-1.7599999999999998E-2</v>
      </c>
    </row>
    <row r="138" spans="3:16" x14ac:dyDescent="0.2">
      <c r="C138" s="1034">
        <v>-1.8700000000000001E-2</v>
      </c>
      <c r="D138" s="1034">
        <v>-1.9799999999999998E-2</v>
      </c>
      <c r="E138" s="1034">
        <v>-2.0900000000000002E-2</v>
      </c>
      <c r="F138" s="1034">
        <v>-2.1999999999999999E-2</v>
      </c>
      <c r="G138" s="1034">
        <v>-2.3100000000000002E-2</v>
      </c>
      <c r="H138" s="1034">
        <v>-2.4199999999999999E-2</v>
      </c>
      <c r="I138" s="1034">
        <v>-2.5300000000000003E-2</v>
      </c>
      <c r="J138" s="1034">
        <v>-2.64E-2</v>
      </c>
      <c r="K138" s="1034">
        <v>-2.7499999999999997E-2</v>
      </c>
      <c r="L138" s="1034">
        <v>-2.86E-2</v>
      </c>
      <c r="M138" s="1034">
        <v>-2.9699999999999997E-2</v>
      </c>
      <c r="N138" s="1034">
        <v>-3.0800000000000001E-2</v>
      </c>
    </row>
    <row r="139" spans="3:16" x14ac:dyDescent="0.2">
      <c r="C139" s="1034">
        <v>-3.1899999999999998E-2</v>
      </c>
      <c r="D139" s="1034">
        <v>-3.3000000000000002E-2</v>
      </c>
      <c r="E139" s="1034">
        <v>-3.4099999999999998E-2</v>
      </c>
      <c r="F139" s="1034">
        <v>-3.5200000000000002E-2</v>
      </c>
      <c r="G139" s="1034">
        <v>-3.6299999999999999E-2</v>
      </c>
      <c r="H139" s="1034">
        <v>-3.7400000000000003E-2</v>
      </c>
      <c r="I139" s="1034">
        <v>-3.85E-2</v>
      </c>
      <c r="J139" s="1034">
        <v>-3.9600000000000003E-2</v>
      </c>
      <c r="K139" s="1034">
        <v>-4.07E-2</v>
      </c>
      <c r="L139" s="1034">
        <v>-4.1800000000000004E-2</v>
      </c>
      <c r="M139" s="1034">
        <v>-4.2900000000000001E-2</v>
      </c>
      <c r="N139" s="1034">
        <v>-4.3999999999999997E-2</v>
      </c>
    </row>
    <row r="140" spans="3:16" x14ac:dyDescent="0.2">
      <c r="C140" s="1034">
        <v>-4.5100000000000001E-2</v>
      </c>
      <c r="D140" s="1034">
        <v>-4.6199999999999998E-2</v>
      </c>
      <c r="E140" s="1034">
        <v>-4.7300000000000002E-2</v>
      </c>
      <c r="F140" s="1034">
        <v>-4.8399999999999999E-2</v>
      </c>
      <c r="G140" s="1034">
        <v>-4.9500000000000002E-2</v>
      </c>
      <c r="H140" s="1034">
        <v>-5.0599999999999999E-2</v>
      </c>
      <c r="I140" s="1034">
        <v>-5.1700000000000003E-2</v>
      </c>
      <c r="J140" s="1034">
        <v>-5.28E-2</v>
      </c>
      <c r="K140" s="1034">
        <v>-5.3900000000000003E-2</v>
      </c>
      <c r="L140" s="1034">
        <v>-5.5000000000000007E-2</v>
      </c>
      <c r="M140" s="1034">
        <v>-5.6099999999999997E-2</v>
      </c>
      <c r="N140" s="1034">
        <v>-5.7200000000000001E-2</v>
      </c>
    </row>
    <row r="141" spans="3:16" x14ac:dyDescent="0.2">
      <c r="C141" s="1034">
        <v>-5.8300000000000005E-2</v>
      </c>
      <c r="D141" s="1034">
        <v>-5.9400000000000008E-2</v>
      </c>
      <c r="E141" s="1034">
        <v>-6.0499999999999998E-2</v>
      </c>
      <c r="F141" s="1034">
        <v>-6.1600000000000002E-2</v>
      </c>
      <c r="G141" s="1034">
        <v>-6.2700000000000006E-2</v>
      </c>
      <c r="H141" s="1034">
        <v>-6.3799999999999996E-2</v>
      </c>
      <c r="I141" s="1034">
        <v>-6.4899999999999999E-2</v>
      </c>
      <c r="J141" s="1034">
        <v>-6.6000000000000003E-2</v>
      </c>
      <c r="K141" s="1034">
        <v>-6.7100000000000007E-2</v>
      </c>
      <c r="L141" s="1034">
        <v>-6.8199999999999997E-2</v>
      </c>
      <c r="M141" s="1034">
        <v>-6.93E-2</v>
      </c>
      <c r="N141" s="1034">
        <v>-7.0400000000000004E-2</v>
      </c>
    </row>
    <row r="142" spans="3:16" x14ac:dyDescent="0.2">
      <c r="C142" s="1034">
        <v>-7.1500000000000008E-2</v>
      </c>
      <c r="D142" s="1034">
        <v>-7.2599999999999998E-2</v>
      </c>
      <c r="E142" s="1034">
        <v>-7.3700000000000002E-2</v>
      </c>
      <c r="F142" s="1034">
        <v>-7.4800000000000005E-2</v>
      </c>
      <c r="G142" s="1034">
        <v>-7.5900000000000009E-2</v>
      </c>
      <c r="H142" s="1034">
        <v>-7.6999999999999999E-2</v>
      </c>
      <c r="I142" s="1034">
        <v>-7.8100000000000003E-2</v>
      </c>
      <c r="J142" s="1034">
        <v>-7.9200000000000007E-2</v>
      </c>
      <c r="K142" s="1034">
        <v>-8.0299999999999996E-2</v>
      </c>
      <c r="L142" s="1034">
        <v>-8.14E-2</v>
      </c>
      <c r="M142" s="1034">
        <v>-8.2500000000000004E-2</v>
      </c>
      <c r="N142" s="1034">
        <v>-8.3600000000000008E-2</v>
      </c>
    </row>
    <row r="143" spans="3:16" x14ac:dyDescent="0.2">
      <c r="C143" s="1034">
        <v>-8.4699999999999998E-2</v>
      </c>
      <c r="D143" s="1034">
        <v>-8.5800000000000001E-2</v>
      </c>
      <c r="E143" s="1034">
        <v>-8.6900000000000005E-2</v>
      </c>
      <c r="F143" s="1034">
        <v>-8.8000000000000009E-2</v>
      </c>
      <c r="G143" s="1034">
        <v>-8.9099999999999999E-2</v>
      </c>
      <c r="H143" s="1034">
        <v>-9.0200000000000002E-2</v>
      </c>
      <c r="I143" s="1034">
        <v>-9.1300000000000006E-2</v>
      </c>
      <c r="J143" s="1034">
        <v>-9.240000000000001E-2</v>
      </c>
      <c r="K143" s="1034">
        <v>-9.35E-2</v>
      </c>
      <c r="L143" s="1034">
        <v>-9.4600000000000004E-2</v>
      </c>
      <c r="M143" s="1034">
        <v>-9.5700000000000007E-2</v>
      </c>
      <c r="N143" s="1034">
        <v>-9.6799999999999997E-2</v>
      </c>
    </row>
    <row r="144" spans="3:16" x14ac:dyDescent="0.2">
      <c r="C144" s="1034">
        <v>-9.7900000000000001E-2</v>
      </c>
      <c r="D144" s="1034">
        <v>-9.9000000000000005E-2</v>
      </c>
      <c r="E144" s="1034">
        <v>-0.10010000000000001</v>
      </c>
      <c r="F144" s="1034">
        <v>-0.1012</v>
      </c>
      <c r="G144" s="1034">
        <v>-0.1023</v>
      </c>
      <c r="H144" s="1034">
        <v>-0.10340000000000001</v>
      </c>
      <c r="I144" s="1034">
        <v>-0.10450000000000001</v>
      </c>
      <c r="J144" s="1034">
        <v>-0.1056</v>
      </c>
      <c r="K144" s="1034">
        <v>-0.1067</v>
      </c>
      <c r="L144" s="1034">
        <v>-0.10780000000000001</v>
      </c>
      <c r="M144" s="1034">
        <v>-0.10890000000000001</v>
      </c>
      <c r="N144" s="1034">
        <v>-0.11</v>
      </c>
    </row>
    <row r="145" spans="3:14" x14ac:dyDescent="0.2">
      <c r="C145" s="1034">
        <v>-0.1111</v>
      </c>
      <c r="D145" s="1034">
        <v>-0.11220000000000001</v>
      </c>
      <c r="E145" s="1034">
        <v>-0.11330000000000001</v>
      </c>
      <c r="F145" s="1034">
        <v>-0.1144</v>
      </c>
      <c r="G145" s="1034">
        <v>-0.11550000000000001</v>
      </c>
      <c r="H145" s="1034">
        <v>-0.11660000000000001</v>
      </c>
      <c r="I145" s="1034">
        <v>-0.1177</v>
      </c>
      <c r="J145" s="1034">
        <v>-0.11880000000000002</v>
      </c>
      <c r="K145" s="1034">
        <v>-0.11990000000000001</v>
      </c>
      <c r="L145" s="1034">
        <v>-0.121</v>
      </c>
      <c r="M145" s="1034">
        <v>-0.12210000000000001</v>
      </c>
      <c r="N145" s="1034">
        <v>-0.1232</v>
      </c>
    </row>
    <row r="152" spans="3:14" x14ac:dyDescent="0.2">
      <c r="C152" s="1312">
        <v>2.2675999999999998</v>
      </c>
      <c r="D152" s="1312">
        <v>2.0480999999999998</v>
      </c>
      <c r="E152" s="1312">
        <v>1.8285999999999998</v>
      </c>
      <c r="F152" s="1312">
        <v>1.6090999999999998</v>
      </c>
      <c r="G152" s="1312">
        <v>1.3895999999999999</v>
      </c>
      <c r="H152" s="1312">
        <v>1.1700999999999999</v>
      </c>
      <c r="I152" s="1312">
        <v>0.95059999999999989</v>
      </c>
      <c r="J152" s="1312">
        <v>0.73109999999999986</v>
      </c>
      <c r="K152" s="1312">
        <v>0.51159999999999983</v>
      </c>
      <c r="L152" s="1312">
        <v>0.29210000000000003</v>
      </c>
      <c r="M152" s="1312">
        <v>7.2599999999999998E-2</v>
      </c>
      <c r="N152" s="1312">
        <v>-0.14690000000000003</v>
      </c>
    </row>
    <row r="153" spans="3:14" x14ac:dyDescent="0.2">
      <c r="C153" s="1313">
        <v>-0.36640000000000006</v>
      </c>
      <c r="D153" s="1313">
        <v>-0.58590000000000009</v>
      </c>
      <c r="E153" s="1313">
        <v>-0.80540000000000012</v>
      </c>
      <c r="F153" s="1313">
        <v>-1.0249000000000001</v>
      </c>
      <c r="G153" s="1313">
        <v>-1.2444000000000002</v>
      </c>
      <c r="H153" s="1313">
        <v>-1.4639000000000002</v>
      </c>
      <c r="I153" s="1313">
        <v>-1.6833999999999998</v>
      </c>
      <c r="J153" s="1313">
        <v>-1.9028999999999998</v>
      </c>
      <c r="K153" s="1313">
        <v>-2.1223999999999998</v>
      </c>
      <c r="L153" s="1313">
        <v>-2.3418999999999999</v>
      </c>
      <c r="M153" s="1313">
        <v>-2.5613999999999999</v>
      </c>
      <c r="N153" s="1313">
        <v>-2.7808999999999999</v>
      </c>
    </row>
    <row r="154" spans="3:14" x14ac:dyDescent="0.2">
      <c r="C154" s="1313">
        <v>-3.0004</v>
      </c>
      <c r="D154" s="1313">
        <v>-3.2199</v>
      </c>
      <c r="E154" s="1313">
        <v>-3.4394</v>
      </c>
      <c r="F154" s="1313">
        <v>-3.6589</v>
      </c>
      <c r="G154" s="1313">
        <v>-3.8784000000000001</v>
      </c>
      <c r="H154" s="1313">
        <v>-4.0979000000000001</v>
      </c>
      <c r="I154" s="1313">
        <v>-4.3174000000000001</v>
      </c>
      <c r="J154" s="1313">
        <v>-4.5369000000000002</v>
      </c>
      <c r="K154" s="1313">
        <v>-4.7564000000000002</v>
      </c>
      <c r="L154" s="1313">
        <v>-4.9759000000000002</v>
      </c>
      <c r="M154" s="1313">
        <v>-5.1954000000000002</v>
      </c>
      <c r="N154" s="1313">
        <v>-5.4149000000000003</v>
      </c>
    </row>
    <row r="155" spans="3:14" x14ac:dyDescent="0.2">
      <c r="C155" s="1313">
        <v>-5.6343999999999994</v>
      </c>
      <c r="D155" s="1313">
        <v>-5.8538999999999994</v>
      </c>
      <c r="E155" s="1313">
        <v>-6.0733999999999995</v>
      </c>
      <c r="F155" s="1313">
        <v>-6.2928999999999995</v>
      </c>
      <c r="G155" s="1313">
        <v>-6.5123999999999995</v>
      </c>
      <c r="H155" s="1313">
        <v>-6.7318999999999996</v>
      </c>
      <c r="I155" s="1313">
        <v>-6.9513999999999996</v>
      </c>
      <c r="J155" s="1313">
        <v>-7.1708999999999996</v>
      </c>
      <c r="K155" s="1313">
        <v>-7.3903999999999996</v>
      </c>
      <c r="L155" s="1313">
        <v>-7.6098999999999997</v>
      </c>
      <c r="M155" s="1313">
        <v>-7.8293999999999997</v>
      </c>
      <c r="N155" s="1313">
        <v>-8.0488999999999997</v>
      </c>
    </row>
    <row r="156" spans="3:14" x14ac:dyDescent="0.2">
      <c r="C156" s="1313">
        <v>-8.2683999999999997</v>
      </c>
      <c r="D156" s="1313">
        <v>-8.4878999999999998</v>
      </c>
      <c r="E156" s="1313">
        <v>-8.7073999999999998</v>
      </c>
      <c r="F156" s="1313">
        <v>-8.9268999999999998</v>
      </c>
      <c r="G156" s="1313">
        <v>-9.1463999999999999</v>
      </c>
      <c r="H156" s="1313">
        <v>-9.3658999999999999</v>
      </c>
      <c r="I156" s="1313">
        <v>-9.5853999999999999</v>
      </c>
      <c r="J156" s="1313">
        <v>-9.8048999999999999</v>
      </c>
      <c r="K156" s="1313">
        <v>-10.0244</v>
      </c>
      <c r="L156" s="1313">
        <v>-10.2439</v>
      </c>
      <c r="M156" s="1313">
        <v>-10.4634</v>
      </c>
      <c r="N156" s="1313">
        <v>-10.6829</v>
      </c>
    </row>
    <row r="157" spans="3:14" x14ac:dyDescent="0.2">
      <c r="C157" s="1313">
        <v>-10.9024</v>
      </c>
      <c r="D157" s="1313">
        <v>-11.1219</v>
      </c>
      <c r="E157" s="1313">
        <v>-11.3414</v>
      </c>
      <c r="F157" s="1313">
        <v>-11.5609</v>
      </c>
      <c r="G157" s="1313">
        <v>-11.7804</v>
      </c>
      <c r="H157" s="1313">
        <v>-11.9999</v>
      </c>
      <c r="I157" s="1313">
        <v>-12.2194</v>
      </c>
      <c r="J157" s="1313">
        <v>-12.4389</v>
      </c>
      <c r="K157" s="1313">
        <v>-12.6584</v>
      </c>
      <c r="L157" s="1313">
        <v>-12.8779</v>
      </c>
      <c r="M157" s="1313">
        <v>-13.0974</v>
      </c>
      <c r="N157" s="1313">
        <v>-13.3169</v>
      </c>
    </row>
    <row r="158" spans="3:14" x14ac:dyDescent="0.2">
      <c r="C158" s="1313">
        <v>-13.536399999999999</v>
      </c>
      <c r="D158" s="1313">
        <v>-13.755899999999999</v>
      </c>
      <c r="E158" s="1313">
        <v>-13.975399999999999</v>
      </c>
      <c r="F158" s="1313">
        <v>-14.194899999999999</v>
      </c>
      <c r="G158" s="1313">
        <v>-14.414399999999999</v>
      </c>
      <c r="H158" s="1313">
        <v>-14.633899999999999</v>
      </c>
      <c r="I158" s="1313">
        <v>-14.853399999999999</v>
      </c>
      <c r="J158" s="1313">
        <v>-15.072899999999999</v>
      </c>
      <c r="K158" s="1313">
        <v>-15.292399999999999</v>
      </c>
      <c r="L158" s="1313">
        <v>-15.511899999999999</v>
      </c>
      <c r="M158" s="1313">
        <v>-15.731399999999999</v>
      </c>
      <c r="N158" s="1313">
        <v>-15.950899999999999</v>
      </c>
    </row>
    <row r="159" spans="3:14" x14ac:dyDescent="0.2">
      <c r="C159" s="1313">
        <v>-16.170400000000001</v>
      </c>
      <c r="D159" s="1313">
        <v>-16.389899999999997</v>
      </c>
      <c r="E159" s="1313">
        <v>-16.609400000000001</v>
      </c>
      <c r="F159" s="1313">
        <v>-16.828899999999997</v>
      </c>
      <c r="G159" s="1313">
        <v>-17.048400000000001</v>
      </c>
      <c r="H159" s="1313">
        <v>-17.267899999999997</v>
      </c>
      <c r="I159" s="1313">
        <v>-17.487400000000001</v>
      </c>
      <c r="J159" s="1313">
        <v>-17.706899999999997</v>
      </c>
      <c r="K159" s="1313">
        <v>-17.926400000000001</v>
      </c>
      <c r="L159" s="1313">
        <v>-18.145899999999997</v>
      </c>
      <c r="M159" s="1313">
        <v>-18.365400000000001</v>
      </c>
      <c r="N159" s="1313">
        <v>-18.584899999999998</v>
      </c>
    </row>
    <row r="160" spans="3:14" x14ac:dyDescent="0.2">
      <c r="C160" s="1313">
        <v>-18.804400000000001</v>
      </c>
      <c r="D160" s="1313">
        <v>-19.023899999999998</v>
      </c>
      <c r="E160" s="1313">
        <v>-19.243400000000001</v>
      </c>
      <c r="F160" s="1313">
        <v>-19.462899999999998</v>
      </c>
      <c r="G160" s="1313">
        <v>-19.682400000000001</v>
      </c>
      <c r="H160" s="1313">
        <v>-19.901899999999998</v>
      </c>
      <c r="I160" s="1313">
        <v>-20.121400000000001</v>
      </c>
      <c r="J160" s="1313">
        <v>-20.340899999999998</v>
      </c>
      <c r="K160" s="1313">
        <v>-20.560400000000001</v>
      </c>
      <c r="L160" s="1313">
        <v>-20.779899999999998</v>
      </c>
      <c r="M160" s="1313">
        <v>-20.999400000000001</v>
      </c>
      <c r="N160" s="1313">
        <v>-21.218899999999998</v>
      </c>
    </row>
    <row r="161" spans="3:14" x14ac:dyDescent="0.2">
      <c r="C161" s="1313">
        <v>-21.438400000000001</v>
      </c>
      <c r="D161" s="1313">
        <v>-21.657899999999998</v>
      </c>
      <c r="E161" s="1313">
        <v>-21.877400000000002</v>
      </c>
      <c r="F161" s="1313">
        <v>-22.096899999999998</v>
      </c>
      <c r="G161" s="1313">
        <v>-22.316400000000002</v>
      </c>
      <c r="H161" s="1313">
        <v>-22.535899999999998</v>
      </c>
      <c r="I161" s="1313">
        <v>-22.755400000000002</v>
      </c>
      <c r="J161" s="1313">
        <v>-22.974899999999998</v>
      </c>
      <c r="K161" s="1313">
        <v>-23.194400000000002</v>
      </c>
      <c r="L161" s="1313">
        <v>-23.413899999999998</v>
      </c>
      <c r="M161" s="1313">
        <v>-23.633400000000002</v>
      </c>
      <c r="N161" s="1313">
        <v>-23.852899999999998</v>
      </c>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75"/>
  <sheetViews>
    <sheetView showGridLines="0" zoomScaleNormal="100" workbookViewId="0">
      <selection activeCell="B8" sqref="B8"/>
    </sheetView>
  </sheetViews>
  <sheetFormatPr defaultRowHeight="12.75" x14ac:dyDescent="0.2"/>
  <cols>
    <col min="2" max="2" width="25.33203125" style="51" customWidth="1"/>
    <col min="3" max="3" width="17.6640625" style="51" bestFit="1" customWidth="1"/>
    <col min="4" max="4" width="20.5" style="51" customWidth="1"/>
    <col min="5" max="5" width="18.1640625" style="51" bestFit="1" customWidth="1"/>
    <col min="6" max="6" width="19.5" style="51" bestFit="1" customWidth="1"/>
    <col min="7" max="7" width="16.5" style="51" customWidth="1"/>
    <col min="8" max="9" width="13.6640625" style="51" customWidth="1"/>
    <col min="10" max="10" width="16.33203125" style="51" bestFit="1" customWidth="1"/>
    <col min="11" max="16" width="14.83203125" style="51" customWidth="1"/>
    <col min="17" max="17" width="4.1640625" style="1" customWidth="1"/>
    <col min="18" max="18" width="20.33203125" style="51" bestFit="1" customWidth="1"/>
    <col min="19" max="19" width="21.6640625" style="1" bestFit="1" customWidth="1"/>
    <col min="20" max="20" width="5.6640625" style="1" customWidth="1"/>
    <col min="21" max="21" width="70.83203125" style="1" customWidth="1"/>
    <col min="22" max="22" width="17.6640625" style="1" bestFit="1" customWidth="1"/>
    <col min="23" max="24" width="21" style="1" bestFit="1" customWidth="1"/>
    <col min="25" max="25" width="14.83203125" style="1" bestFit="1" customWidth="1"/>
    <col min="26" max="27" width="17.33203125" style="1" customWidth="1"/>
    <col min="28" max="29" width="16.1640625" style="1" bestFit="1" customWidth="1"/>
    <col min="30" max="16384" width="9.33203125" style="1"/>
  </cols>
  <sheetData>
    <row r="1" spans="1:39" ht="24" thickBot="1" x14ac:dyDescent="0.25">
      <c r="A1" s="258"/>
      <c r="B1" s="259" t="s">
        <v>95</v>
      </c>
      <c r="C1" s="241"/>
      <c r="D1" s="241"/>
      <c r="E1" s="241"/>
      <c r="F1" s="241"/>
      <c r="G1" s="241"/>
      <c r="H1" s="241"/>
      <c r="I1" s="241"/>
      <c r="J1" s="241"/>
      <c r="K1" s="241"/>
      <c r="L1" s="241"/>
      <c r="M1" s="241"/>
      <c r="N1" s="241"/>
      <c r="O1" s="241"/>
      <c r="P1" s="241"/>
      <c r="Q1" s="240"/>
      <c r="R1" s="241"/>
      <c r="S1" s="240"/>
      <c r="T1" s="240"/>
      <c r="U1" s="240"/>
      <c r="V1" s="240"/>
      <c r="W1" s="240"/>
      <c r="X1" s="240"/>
      <c r="Y1" s="240"/>
      <c r="Z1" s="240"/>
      <c r="AA1" s="240"/>
      <c r="AB1" s="240"/>
      <c r="AC1" s="240"/>
      <c r="AD1" s="240"/>
      <c r="AE1" s="240"/>
      <c r="AF1" s="240"/>
      <c r="AG1" s="240"/>
      <c r="AH1" s="240"/>
      <c r="AI1" s="240"/>
      <c r="AJ1" s="240"/>
      <c r="AK1" s="240"/>
      <c r="AL1" s="240"/>
      <c r="AM1" s="240"/>
    </row>
    <row r="2" spans="1:39" ht="24" thickBot="1" x14ac:dyDescent="0.25">
      <c r="A2" s="258"/>
      <c r="B2" s="259"/>
      <c r="C2" s="241"/>
      <c r="D2" s="241"/>
      <c r="E2" s="241"/>
      <c r="F2" s="241"/>
      <c r="G2" s="241"/>
      <c r="H2" s="241"/>
      <c r="I2" s="241"/>
      <c r="J2" s="241"/>
      <c r="K2" s="241"/>
      <c r="L2" s="241"/>
      <c r="M2" s="331"/>
      <c r="N2" s="332" t="s">
        <v>173</v>
      </c>
      <c r="O2" s="241"/>
      <c r="P2" s="241"/>
      <c r="Q2" s="240"/>
      <c r="R2" s="241"/>
      <c r="S2" s="240"/>
      <c r="T2" s="240"/>
      <c r="U2" s="240"/>
      <c r="V2" s="240"/>
      <c r="W2" s="240"/>
      <c r="X2" s="240"/>
      <c r="Y2" s="240"/>
      <c r="Z2" s="240"/>
      <c r="AA2" s="240"/>
      <c r="AB2" s="240"/>
      <c r="AC2" s="240"/>
      <c r="AD2" s="240"/>
      <c r="AE2" s="240"/>
      <c r="AF2" s="240"/>
      <c r="AG2" s="240"/>
      <c r="AH2" s="240"/>
      <c r="AI2" s="240"/>
      <c r="AJ2" s="240"/>
      <c r="AK2" s="240"/>
      <c r="AL2" s="240"/>
      <c r="AM2" s="240"/>
    </row>
    <row r="3" spans="1:39" ht="23.25" x14ac:dyDescent="0.2">
      <c r="A3" s="258"/>
      <c r="B3" s="259"/>
      <c r="C3" s="241"/>
      <c r="D3" s="241"/>
      <c r="E3" s="241"/>
      <c r="F3" s="241"/>
      <c r="G3" s="241"/>
      <c r="H3" s="241"/>
      <c r="I3" s="241"/>
      <c r="J3" s="241"/>
      <c r="K3" s="241"/>
      <c r="L3" s="241"/>
      <c r="M3" s="241"/>
      <c r="N3" s="241"/>
      <c r="O3" s="241"/>
      <c r="P3" s="241"/>
      <c r="Q3" s="240"/>
      <c r="R3" s="241"/>
      <c r="S3" s="240"/>
      <c r="T3" s="240"/>
      <c r="U3" s="240"/>
      <c r="V3" s="240"/>
      <c r="W3" s="240"/>
      <c r="X3" s="240"/>
      <c r="Y3" s="240"/>
      <c r="Z3" s="240"/>
      <c r="AA3" s="240"/>
      <c r="AB3" s="240"/>
      <c r="AC3" s="240"/>
      <c r="AD3" s="240"/>
      <c r="AE3" s="240"/>
      <c r="AF3" s="240"/>
      <c r="AG3" s="240"/>
      <c r="AH3" s="240"/>
      <c r="AI3" s="240"/>
      <c r="AJ3" s="240"/>
      <c r="AK3" s="240"/>
      <c r="AL3" s="240"/>
      <c r="AM3" s="240"/>
    </row>
    <row r="4" spans="1:39" x14ac:dyDescent="0.2">
      <c r="A4" s="258"/>
      <c r="B4" s="241"/>
      <c r="C4" s="241"/>
      <c r="D4" s="241"/>
      <c r="E4" s="241"/>
      <c r="F4" s="241"/>
      <c r="G4" s="241"/>
      <c r="H4" s="241"/>
      <c r="I4" s="241"/>
      <c r="J4" s="241"/>
      <c r="K4" s="241"/>
      <c r="L4" s="241"/>
      <c r="M4" s="241"/>
      <c r="N4" s="241"/>
      <c r="O4" s="241"/>
      <c r="P4" s="241"/>
      <c r="Q4" s="240"/>
      <c r="R4" s="241"/>
      <c r="S4" s="240"/>
      <c r="T4" s="240"/>
      <c r="U4" s="240"/>
      <c r="V4" s="240"/>
      <c r="W4" s="240"/>
      <c r="X4" s="240"/>
      <c r="Y4" s="240"/>
      <c r="Z4" s="240"/>
      <c r="AA4" s="240"/>
      <c r="AB4" s="240"/>
      <c r="AC4" s="240"/>
      <c r="AD4" s="240"/>
      <c r="AE4" s="240"/>
      <c r="AF4" s="240"/>
      <c r="AG4" s="240"/>
      <c r="AH4" s="240"/>
      <c r="AI4" s="240"/>
      <c r="AJ4" s="240"/>
      <c r="AK4" s="240"/>
      <c r="AL4" s="240"/>
      <c r="AM4" s="240"/>
    </row>
    <row r="5" spans="1:39" ht="23.25" x14ac:dyDescent="0.2">
      <c r="A5" s="258"/>
      <c r="C5" s="259"/>
      <c r="D5" s="259"/>
      <c r="E5" s="259"/>
      <c r="F5" s="259"/>
      <c r="G5" s="259"/>
      <c r="H5" s="259"/>
      <c r="I5" s="259"/>
      <c r="J5" s="241"/>
      <c r="K5" s="241"/>
      <c r="L5" s="241"/>
      <c r="M5" s="241"/>
      <c r="N5" s="241"/>
      <c r="O5" s="241"/>
      <c r="P5" s="241"/>
      <c r="Q5" s="240"/>
      <c r="R5" s="241"/>
      <c r="S5" s="240"/>
      <c r="T5" s="240"/>
      <c r="U5" s="240"/>
      <c r="V5" s="240"/>
      <c r="W5" s="240"/>
      <c r="X5" s="240"/>
      <c r="Y5" s="240"/>
      <c r="Z5" s="240"/>
      <c r="AA5" s="240"/>
      <c r="AB5" s="240"/>
      <c r="AC5" s="240"/>
      <c r="AD5" s="240"/>
      <c r="AE5" s="240"/>
      <c r="AF5" s="240"/>
      <c r="AG5" s="240"/>
      <c r="AH5" s="240"/>
      <c r="AI5" s="240"/>
      <c r="AJ5" s="240"/>
      <c r="AK5" s="240"/>
      <c r="AL5" s="240"/>
      <c r="AM5" s="240"/>
    </row>
    <row r="6" spans="1:39" ht="23.25" x14ac:dyDescent="0.2">
      <c r="A6" s="258"/>
      <c r="C6" s="259"/>
      <c r="D6" s="259"/>
      <c r="E6" s="259"/>
      <c r="F6" s="259"/>
      <c r="G6" s="259"/>
      <c r="H6" s="259"/>
      <c r="I6" s="259"/>
      <c r="J6" s="241"/>
      <c r="K6" s="241"/>
      <c r="L6" s="241"/>
      <c r="M6" s="241"/>
      <c r="N6" s="241"/>
      <c r="O6" s="241"/>
      <c r="P6" s="241"/>
      <c r="Q6" s="240"/>
      <c r="R6" s="241"/>
      <c r="S6" s="240"/>
      <c r="T6" s="240"/>
      <c r="U6" s="240"/>
      <c r="V6" s="240"/>
      <c r="W6" s="240"/>
      <c r="X6" s="240"/>
      <c r="Y6" s="240"/>
      <c r="Z6" s="240"/>
      <c r="AA6" s="240"/>
      <c r="AB6" s="240"/>
      <c r="AC6" s="240"/>
      <c r="AD6" s="240"/>
      <c r="AE6" s="240"/>
      <c r="AF6" s="240"/>
      <c r="AG6" s="240"/>
      <c r="AH6" s="240"/>
      <c r="AI6" s="240"/>
      <c r="AJ6" s="240"/>
      <c r="AK6" s="240"/>
      <c r="AL6" s="240"/>
      <c r="AM6" s="240"/>
    </row>
    <row r="7" spans="1:39" x14ac:dyDescent="0.2">
      <c r="A7" s="258"/>
      <c r="B7" s="241"/>
      <c r="C7" s="241"/>
      <c r="D7" s="1350" t="s">
        <v>131</v>
      </c>
      <c r="E7" s="1350"/>
      <c r="F7" s="1350"/>
      <c r="G7" s="1350"/>
      <c r="H7" s="1350"/>
      <c r="I7" s="1350"/>
      <c r="J7" s="241"/>
      <c r="K7" s="1350" t="s">
        <v>118</v>
      </c>
      <c r="L7" s="1350"/>
      <c r="M7" s="1350"/>
      <c r="N7" s="1350"/>
      <c r="O7" s="1350"/>
      <c r="P7" s="1350"/>
      <c r="Q7" s="240"/>
      <c r="R7" s="241"/>
      <c r="S7" s="240"/>
      <c r="T7" s="240"/>
      <c r="U7" s="240"/>
      <c r="V7" s="240"/>
      <c r="W7" s="240"/>
      <c r="X7" s="240"/>
      <c r="Y7" s="240"/>
      <c r="Z7" s="240"/>
      <c r="AA7" s="240"/>
      <c r="AB7" s="240"/>
      <c r="AC7" s="240"/>
      <c r="AD7" s="240"/>
      <c r="AE7" s="240"/>
      <c r="AF7" s="240"/>
      <c r="AG7" s="240"/>
      <c r="AH7" s="240"/>
      <c r="AI7" s="240"/>
      <c r="AJ7" s="240"/>
      <c r="AK7" s="240"/>
      <c r="AL7" s="240"/>
      <c r="AM7" s="240"/>
    </row>
    <row r="8" spans="1:39" ht="91.5" customHeight="1" thickBot="1" x14ac:dyDescent="0.25">
      <c r="A8" s="258"/>
      <c r="B8" s="260"/>
      <c r="C8" s="261" t="s">
        <v>116</v>
      </c>
      <c r="D8" s="398" t="s">
        <v>57</v>
      </c>
      <c r="E8" s="398" t="s">
        <v>156</v>
      </c>
      <c r="F8" s="398" t="s">
        <v>157</v>
      </c>
      <c r="G8" s="398" t="s">
        <v>158</v>
      </c>
      <c r="H8" s="247" t="s">
        <v>129</v>
      </c>
      <c r="I8" s="247" t="s">
        <v>130</v>
      </c>
      <c r="J8" s="261" t="s">
        <v>117</v>
      </c>
      <c r="K8" s="286" t="s">
        <v>126</v>
      </c>
      <c r="L8" s="286" t="s">
        <v>1</v>
      </c>
      <c r="M8" s="286" t="s">
        <v>2</v>
      </c>
      <c r="N8" s="286" t="s">
        <v>127</v>
      </c>
      <c r="O8" s="286" t="s">
        <v>614</v>
      </c>
      <c r="P8" s="286" t="s">
        <v>152</v>
      </c>
      <c r="Q8" s="263"/>
      <c r="R8" s="262" t="s">
        <v>247</v>
      </c>
      <c r="S8" s="262" t="s">
        <v>32</v>
      </c>
      <c r="T8" s="240"/>
      <c r="U8" t="s">
        <v>153</v>
      </c>
      <c r="V8"/>
      <c r="W8"/>
      <c r="X8"/>
      <c r="Y8"/>
      <c r="Z8"/>
      <c r="AA8"/>
      <c r="AB8"/>
      <c r="AC8"/>
      <c r="AD8" s="264"/>
      <c r="AE8" s="240"/>
      <c r="AF8" s="240"/>
      <c r="AG8" s="240"/>
      <c r="AH8" s="240"/>
      <c r="AI8" s="240"/>
      <c r="AJ8" s="240"/>
      <c r="AK8" s="240"/>
      <c r="AL8" s="240"/>
      <c r="AM8" s="240"/>
    </row>
    <row r="9" spans="1:39" ht="51.75" customHeight="1" thickBot="1" x14ac:dyDescent="0.25">
      <c r="A9" s="258"/>
      <c r="B9" s="265"/>
      <c r="C9" s="733" t="s">
        <v>244</v>
      </c>
      <c r="D9" s="733" t="s">
        <v>416</v>
      </c>
      <c r="E9" s="1001" t="s">
        <v>382</v>
      </c>
      <c r="F9" s="1001"/>
      <c r="G9" s="1001" t="s">
        <v>387</v>
      </c>
      <c r="H9" s="1354" t="s">
        <v>165</v>
      </c>
      <c r="I9" s="1355"/>
      <c r="J9" s="1356"/>
      <c r="K9" s="287" t="s">
        <v>168</v>
      </c>
      <c r="L9" s="287" t="s">
        <v>167</v>
      </c>
      <c r="M9" s="287" t="s">
        <v>167</v>
      </c>
      <c r="N9" s="287" t="s">
        <v>167</v>
      </c>
      <c r="O9" s="287" t="s">
        <v>232</v>
      </c>
      <c r="P9" s="287" t="s">
        <v>167</v>
      </c>
      <c r="Q9" s="1351" t="s">
        <v>165</v>
      </c>
      <c r="R9" s="1352"/>
      <c r="S9" s="1353"/>
      <c r="T9" s="240"/>
      <c r="U9"/>
      <c r="V9"/>
      <c r="W9"/>
      <c r="X9"/>
      <c r="Y9"/>
      <c r="Z9"/>
      <c r="AA9"/>
      <c r="AB9"/>
      <c r="AC9"/>
      <c r="AD9" s="264"/>
      <c r="AE9" s="240"/>
      <c r="AF9" s="240"/>
      <c r="AG9" s="240"/>
      <c r="AH9" s="240"/>
      <c r="AI9" s="240"/>
      <c r="AJ9" s="240"/>
      <c r="AK9" s="240"/>
      <c r="AL9" s="240"/>
      <c r="AM9" s="240"/>
    </row>
    <row r="10" spans="1:39" x14ac:dyDescent="0.2">
      <c r="A10" s="675">
        <v>1</v>
      </c>
      <c r="B10" s="266" t="str">
        <f>CONCATENATE('3. Consumption by Rate Class'!B16,"-",'3. Consumption by Rate Class'!C16)</f>
        <v>2005-January</v>
      </c>
      <c r="C10" s="270">
        <v>12104125</v>
      </c>
      <c r="D10" s="247"/>
      <c r="E10" s="252"/>
      <c r="F10" s="252"/>
      <c r="G10" s="252"/>
      <c r="H10" s="731"/>
      <c r="I10" s="731"/>
      <c r="J10" s="268">
        <f t="shared" ref="J10:J41" si="0">SUM(C10:I10)</f>
        <v>12104125</v>
      </c>
      <c r="K10" s="267">
        <f>IF(K$8='5.Variables'!$B$10,+'5.Variables'!$C21,+IF(K$8='5.Variables'!$B$33,+'5.Variables'!$C44,+IF(K$8='5.Variables'!$B$56,+'5.Variables'!$C58,+IF(K$8='5.Variables'!$B$70,+'5.Variables'!$C72,+IF(K$8='5.Variables'!$B$84,+'5.Variables'!$C86,+IF(K$8='5.Variables'!$B$98,+'5.Variables'!$C100,0))))))</f>
        <v>10118</v>
      </c>
      <c r="L10" s="267">
        <f>IF(L$8='5.Variables'!$B$10,+'5.Variables'!$C21,+IF(L$8='5.Variables'!$B$33,+'5.Variables'!$C44,+IF(L$8='5.Variables'!$B$56,+'5.Variables'!$C58,+IF(L$8='5.Variables'!$B$70,+'5.Variables'!$C72,+IF(L$8='5.Variables'!$B$84,+'5.Variables'!$C86,+IF(L$8='5.Variables'!$B$98,+'5.Variables'!$C100,0))))))</f>
        <v>780.6</v>
      </c>
      <c r="M10" s="267">
        <f>IF(M$8='5.Variables'!$B$10,+'5.Variables'!$C21,+IF(M$8='5.Variables'!$B$33,+'5.Variables'!$C44,+IF(M$8='5.Variables'!$B$56,+'5.Variables'!$C58,+IF(M$8='5.Variables'!$B$70,+'5.Variables'!$C72,+IF(M$8='5.Variables'!$B$84,+'5.Variables'!$C86,+IF(M$8='5.Variables'!$B$98,+'5.Variables'!$C100,0))))))</f>
        <v>0</v>
      </c>
      <c r="N10" s="267">
        <f>IF(N$8='5.Variables'!$B$10,+'5.Variables'!$C21,+IF(N$8='5.Variables'!$B$33,+'5.Variables'!$C44,+IF(N$8='5.Variables'!$B$56,+'5.Variables'!$C58,+IF(N$8='5.Variables'!$B$70,+'5.Variables'!$C72,+IF(N$8='5.Variables'!$B$84,+'5.Variables'!$C86,+IF(N$8='5.Variables'!$B$98,+'5.Variables'!$C100,0))))))</f>
        <v>0</v>
      </c>
      <c r="O10" s="267">
        <f>IF(O$8='5.Variables'!$B$10,+'5.Variables'!$C21,+IF(O$8='5.Variables'!$B$33,+'5.Variables'!$C44,+IF(O$8='5.Variables'!$B$56,+'5.Variables'!$C58,+IF(O$8='5.Variables'!$B$70,+'5.Variables'!$C72,+IF(O$8='5.Variables'!$B$84,+'5.Variables'!$C86,+IF(O$8='5.Variables'!$B$98,+'5.Variables'!$C100,0))))))</f>
        <v>2.2675999999999998</v>
      </c>
      <c r="P10" s="267">
        <f>IF(P$8='5.Variables'!$B$10,+'5.Variables'!$C21,+IF(P$8='5.Variables'!$B$33,+'5.Variables'!$C44,+IF(P$8='5.Variables'!$B$56,+'5.Variables'!$C58,+IF(P$8='5.Variables'!$B$70,+'5.Variables'!$C72,+IF(P$8='5.Variables'!$B$84,+'5.Variables'!$C86,+IF(P$8='5.Variables'!$B$98,+'5.Variables'!$C100,0))))))</f>
        <v>31</v>
      </c>
      <c r="Q10" s="240"/>
      <c r="R10" s="268">
        <f t="shared" ref="R10:R41" si="1">$V$24+(K10*$V$25)+(L10*$V$26)+(M10*$V$27)+(N10*$V$28)+(O10*$V$29)+(P10*$V$30)</f>
        <v>11634413.689867951</v>
      </c>
      <c r="S10" s="269"/>
      <c r="T10" s="240"/>
      <c r="U10" s="291" t="s">
        <v>7</v>
      </c>
      <c r="V10" s="291"/>
      <c r="W10"/>
      <c r="X10"/>
      <c r="Y10"/>
      <c r="Z10"/>
      <c r="AA10"/>
      <c r="AB10"/>
      <c r="AC10"/>
      <c r="AD10" s="264"/>
      <c r="AE10" s="240"/>
      <c r="AF10" s="240"/>
      <c r="AG10" s="240"/>
      <c r="AH10" s="240"/>
      <c r="AI10" s="240"/>
      <c r="AJ10" s="240"/>
      <c r="AK10" s="240"/>
      <c r="AL10" s="240"/>
      <c r="AM10" s="240"/>
    </row>
    <row r="11" spans="1:39" x14ac:dyDescent="0.2">
      <c r="A11" s="675">
        <f t="shared" ref="A11:A42" si="2">+A10+1</f>
        <v>2</v>
      </c>
      <c r="B11" s="266" t="str">
        <f>CONCATENATE('3. Consumption by Rate Class'!B17,"-",'3. Consumption by Rate Class'!C17)</f>
        <v>2005-February</v>
      </c>
      <c r="C11" s="270">
        <v>10041249</v>
      </c>
      <c r="D11" s="247"/>
      <c r="E11" s="252"/>
      <c r="F11" s="252"/>
      <c r="G11" s="252"/>
      <c r="H11" s="731"/>
      <c r="I11" s="731"/>
      <c r="J11" s="268">
        <f t="shared" si="0"/>
        <v>10041249</v>
      </c>
      <c r="K11" s="267">
        <f>IF(K$8='5.Variables'!$B$10,+'5.Variables'!$D21,+IF(K$8='5.Variables'!$B$33,+'5.Variables'!$D44,+IF(K$8='5.Variables'!$B$56,+'5.Variables'!$D58,+IF(K$8='5.Variables'!$B$70,+'5.Variables'!$D72,+IF(K$8='5.Variables'!$B$84,+'5.Variables'!$D86,+IF(K$8='5.Variables'!$B$98,+'5.Variables'!$D100,0))))))</f>
        <v>10134</v>
      </c>
      <c r="L11" s="267">
        <f>IF(L$8='5.Variables'!$B$10,+'5.Variables'!$D21,+IF(L$8='5.Variables'!$B$33,+'5.Variables'!$D44,+IF(L$8='5.Variables'!$B$56,+'5.Variables'!$D58,+IF(L$8='5.Variables'!$B$70,+'5.Variables'!$D72,+IF(L$8='5.Variables'!$B$84,+'5.Variables'!$D86,+IF(L$8='5.Variables'!$B$98,+'5.Variables'!$D100,0))))))</f>
        <v>627.9</v>
      </c>
      <c r="M11" s="267">
        <f>IF(M$8='5.Variables'!$B$10,+'5.Variables'!$D21,+IF(M$8='5.Variables'!$B$33,+'5.Variables'!$D44,+IF(M$8='5.Variables'!$B$56,+'5.Variables'!$D58,+IF(M$8='5.Variables'!$B$70,+'5.Variables'!$D72,+IF(M$8='5.Variables'!$B$84,+'5.Variables'!$D86,+IF(M$8='5.Variables'!$B$98,+'5.Variables'!$D100,0))))))</f>
        <v>0</v>
      </c>
      <c r="N11" s="267">
        <f>IF(N$8='5.Variables'!$B$10,+'5.Variables'!$D21,+IF(N$8='5.Variables'!$B$33,+'5.Variables'!$D44,+IF(N$8='5.Variables'!$B$56,+'5.Variables'!$D58,+IF(N$8='5.Variables'!$B$70,+'5.Variables'!$D72,+IF(N$8='5.Variables'!$B$84,+'5.Variables'!$D86,+IF(N$8='5.Variables'!$B$98,+'5.Variables'!$D100,0))))))</f>
        <v>0</v>
      </c>
      <c r="O11" s="267">
        <f>IF(O$8='5.Variables'!$B$10,+'5.Variables'!$D21,+IF(O$8='5.Variables'!$B$33,+'5.Variables'!$D44,+IF(O$8='5.Variables'!$B$56,+'5.Variables'!$D58,+IF(O$8='5.Variables'!$B$70,+'5.Variables'!$D72,+IF(O$8='5.Variables'!$B$84,+'5.Variables'!$D86,+IF(O$8='5.Variables'!$B$98,+'5.Variables'!$D100,0))))))</f>
        <v>2.0480999999999998</v>
      </c>
      <c r="P11" s="267">
        <f>IF(P$8='5.Variables'!$B$10,+'5.Variables'!$D21,+IF(P$8='5.Variables'!$B$33,+'5.Variables'!$D44,+IF(P$8='5.Variables'!$B$56,+'5.Variables'!$D58,+IF(P$8='5.Variables'!$B$70,+'5.Variables'!$D72,+IF(P$8='5.Variables'!$B$84,+'5.Variables'!$D86,+IF(P$8='5.Variables'!$B$98,+'5.Variables'!$D100,0))))))</f>
        <v>28</v>
      </c>
      <c r="Q11" s="240"/>
      <c r="R11" s="268">
        <f t="shared" si="1"/>
        <v>9527666.4353580493</v>
      </c>
      <c r="S11" s="271"/>
      <c r="T11" s="240"/>
      <c r="U11" s="288" t="s">
        <v>8</v>
      </c>
      <c r="V11" s="288">
        <v>0.9752181692073002</v>
      </c>
      <c r="W11"/>
      <c r="X11"/>
      <c r="Y11"/>
      <c r="Z11"/>
      <c r="AA11"/>
      <c r="AB11"/>
      <c r="AC11"/>
      <c r="AD11" s="264"/>
      <c r="AE11" s="240"/>
      <c r="AF11" s="240"/>
      <c r="AG11" s="240"/>
      <c r="AH11" s="240"/>
      <c r="AI11" s="240"/>
      <c r="AJ11" s="240"/>
      <c r="AK11" s="240"/>
      <c r="AL11" s="240"/>
      <c r="AM11" s="240"/>
    </row>
    <row r="12" spans="1:39" x14ac:dyDescent="0.2">
      <c r="A12" s="675">
        <f t="shared" si="2"/>
        <v>3</v>
      </c>
      <c r="B12" s="266" t="str">
        <f>CONCATENATE('3. Consumption by Rate Class'!B18,"-",'3. Consumption by Rate Class'!C18)</f>
        <v>2005-March</v>
      </c>
      <c r="C12" s="270">
        <v>10294288</v>
      </c>
      <c r="D12" s="247"/>
      <c r="E12" s="252"/>
      <c r="F12" s="252"/>
      <c r="G12" s="252"/>
      <c r="H12" s="731"/>
      <c r="I12" s="731"/>
      <c r="J12" s="268">
        <f t="shared" si="0"/>
        <v>10294288</v>
      </c>
      <c r="K12" s="267">
        <f>IF(K$8='5.Variables'!$B$10,+'5.Variables'!$E21,+IF(K$8='5.Variables'!$B$33,+'5.Variables'!$E44,+IF(K$8='5.Variables'!$B$56,+'5.Variables'!$E58,+IF(K$8='5.Variables'!$B$70,+'5.Variables'!$E72,+IF(K$8='5.Variables'!$B$84,+'5.Variables'!$E86,+IF(K$8='5.Variables'!$B$98,+'5.Variables'!$E100,0))))))</f>
        <v>10152</v>
      </c>
      <c r="L12" s="267">
        <f>IF(L$8='5.Variables'!$B$10,+'5.Variables'!$E21,+IF(L$8='5.Variables'!$B$33,+'5.Variables'!$E44,+IF(L$8='5.Variables'!$B$56,+'5.Variables'!$E58,+IF(L$8='5.Variables'!$B$70,+'5.Variables'!$E72,+IF(L$8='5.Variables'!$B$84,+'5.Variables'!$E86,+IF(L$8='5.Variables'!$B$98,+'5.Variables'!$E100,0))))))</f>
        <v>646.4</v>
      </c>
      <c r="M12" s="267">
        <f>IF(M$8='5.Variables'!$B$10,+'5.Variables'!$E21,+IF(M$8='5.Variables'!$B$33,+'5.Variables'!$E44,+IF(M$8='5.Variables'!$B$56,+'5.Variables'!$E58,+IF(M$8='5.Variables'!$B$70,+'5.Variables'!$E72,+IF(M$8='5.Variables'!$B$84,+'5.Variables'!$E86,+IF(M$8='5.Variables'!$B$98,+'5.Variables'!$E100,0))))))</f>
        <v>0</v>
      </c>
      <c r="N12" s="267">
        <f>IF(N$8='5.Variables'!$B$10,+'5.Variables'!$E21,+IF(N$8='5.Variables'!$B$33,+'5.Variables'!$E44,+IF(N$8='5.Variables'!$B$56,+'5.Variables'!$E58,+IF(N$8='5.Variables'!$B$70,+'5.Variables'!$E72,+IF(N$8='5.Variables'!$B$84,+'5.Variables'!$E86,+IF(N$8='5.Variables'!$B$98,+'5.Variables'!$E100,0))))))</f>
        <v>1</v>
      </c>
      <c r="O12" s="267">
        <f>IF(O$8='5.Variables'!$B$10,+'5.Variables'!$E21,+IF(O$8='5.Variables'!$B$33,+'5.Variables'!$E44,+IF(O$8='5.Variables'!$B$56,+'5.Variables'!$E58,+IF(O$8='5.Variables'!$B$70,+'5.Variables'!$E72,+IF(O$8='5.Variables'!$B$84,+'5.Variables'!$E86,+IF(O$8='5.Variables'!$B$98,+'5.Variables'!$E100,0))))))</f>
        <v>1.8285999999999998</v>
      </c>
      <c r="P12" s="267">
        <f>IF(P$8='5.Variables'!$B$10,+'5.Variables'!$E21,+IF(P$8='5.Variables'!$B$33,+'5.Variables'!$E44,+IF(P$8='5.Variables'!$B$56,+'5.Variables'!$E58,+IF(P$8='5.Variables'!$B$70,+'5.Variables'!$E72,+IF(P$8='5.Variables'!$B$84,+'5.Variables'!$E86,+IF(P$8='5.Variables'!$B$98,+'5.Variables'!$E100,0))))))</f>
        <v>31</v>
      </c>
      <c r="Q12" s="240"/>
      <c r="R12" s="268">
        <f t="shared" si="1"/>
        <v>10033815.412719702</v>
      </c>
      <c r="S12" s="272"/>
      <c r="T12" s="240"/>
      <c r="U12" s="288" t="s">
        <v>9</v>
      </c>
      <c r="V12" s="288">
        <v>0.95105047755203831</v>
      </c>
      <c r="W12"/>
      <c r="X12"/>
      <c r="Y12"/>
      <c r="Z12"/>
      <c r="AA12"/>
      <c r="AB12"/>
      <c r="AC12"/>
      <c r="AD12" s="264"/>
      <c r="AE12" s="240"/>
      <c r="AF12" s="240"/>
      <c r="AG12" s="240"/>
      <c r="AH12" s="240"/>
      <c r="AI12" s="240"/>
      <c r="AJ12" s="240"/>
      <c r="AK12" s="240"/>
      <c r="AL12" s="240"/>
      <c r="AM12" s="240"/>
    </row>
    <row r="13" spans="1:39" x14ac:dyDescent="0.2">
      <c r="A13" s="675">
        <f t="shared" si="2"/>
        <v>4</v>
      </c>
      <c r="B13" s="266" t="str">
        <f>CONCATENATE('3. Consumption by Rate Class'!B19,"-",'3. Consumption by Rate Class'!C19)</f>
        <v>2005-April</v>
      </c>
      <c r="C13" s="270">
        <v>7950802</v>
      </c>
      <c r="D13" s="247"/>
      <c r="E13" s="252"/>
      <c r="F13" s="252"/>
      <c r="G13" s="252"/>
      <c r="H13" s="731"/>
      <c r="I13" s="731"/>
      <c r="J13" s="268">
        <f t="shared" si="0"/>
        <v>7950802</v>
      </c>
      <c r="K13" s="267">
        <f>IF(K$8='5.Variables'!$B$10,+'5.Variables'!$F21,+IF(K$8='5.Variables'!$B$33,+'5.Variables'!$F44,+IF(K$8='5.Variables'!$B$56,+'5.Variables'!$F58,+IF(K$8='5.Variables'!$B$70,+'5.Variables'!$F72,+IF(K$8='5.Variables'!$B$84,+'5.Variables'!$F86,+IF(K$8='5.Variables'!$B$98,+'5.Variables'!$F100,0))))))</f>
        <v>10212</v>
      </c>
      <c r="L13" s="267">
        <f>IF(L$8='5.Variables'!$B$10,+'5.Variables'!$F21,+IF(L$8='5.Variables'!$B$33,+'5.Variables'!$F44,+IF(L$8='5.Variables'!$B$56,+'5.Variables'!$F58,+IF(L$8='5.Variables'!$B$70,+'5.Variables'!$F72,+IF(L$8='5.Variables'!$B$84,+'5.Variables'!$F86,+IF(L$8='5.Variables'!$B$98,+'5.Variables'!$F100,0))))))</f>
        <v>358.2</v>
      </c>
      <c r="M13" s="267">
        <f>IF(M$8='5.Variables'!$B$10,+'5.Variables'!$F21,+IF(M$8='5.Variables'!$B$33,+'5.Variables'!$F44,+IF(M$8='5.Variables'!$B$56,+'5.Variables'!$F58,+IF(M$8='5.Variables'!$B$70,+'5.Variables'!$F72,+IF(M$8='5.Variables'!$B$84,+'5.Variables'!$F86,+IF(M$8='5.Variables'!$B$98,+'5.Variables'!$F100,0))))))</f>
        <v>1.1000000000000001</v>
      </c>
      <c r="N13" s="267">
        <f>IF(N$8='5.Variables'!$B$10,+'5.Variables'!$F21,+IF(N$8='5.Variables'!$B$33,+'5.Variables'!$F44,+IF(N$8='5.Variables'!$B$56,+'5.Variables'!$F58,+IF(N$8='5.Variables'!$B$70,+'5.Variables'!$F72,+IF(N$8='5.Variables'!$B$84,+'5.Variables'!$F86,+IF(N$8='5.Variables'!$B$98,+'5.Variables'!$F100,0))))))</f>
        <v>1</v>
      </c>
      <c r="O13" s="267">
        <f>IF(O$8='5.Variables'!$B$10,+'5.Variables'!$F21,+IF(O$8='5.Variables'!$B$33,+'5.Variables'!$F44,+IF(O$8='5.Variables'!$B$56,+'5.Variables'!$F58,+IF(O$8='5.Variables'!$B$70,+'5.Variables'!$F72,+IF(O$8='5.Variables'!$B$84,+'5.Variables'!$F86,+IF(O$8='5.Variables'!$B$98,+'5.Variables'!$F100,0))))))</f>
        <v>1.6090999999999998</v>
      </c>
      <c r="P13" s="267">
        <f>IF(P$8='5.Variables'!$B$10,+'5.Variables'!$F21,+IF(P$8='5.Variables'!$B$33,+'5.Variables'!$F44,+IF(P$8='5.Variables'!$B$56,+'5.Variables'!$F58,+IF(P$8='5.Variables'!$B$70,+'5.Variables'!$F72,+IF(P$8='5.Variables'!$B$84,+'5.Variables'!$F86,+IF(P$8='5.Variables'!$B$98,+'5.Variables'!$F100,0))))))</f>
        <v>30</v>
      </c>
      <c r="Q13" s="240"/>
      <c r="R13" s="268">
        <f t="shared" si="1"/>
        <v>8157976.7149690846</v>
      </c>
      <c r="S13" s="272"/>
      <c r="T13" s="240"/>
      <c r="U13" s="288" t="s">
        <v>10</v>
      </c>
      <c r="V13" s="288">
        <v>0.94845138786453598</v>
      </c>
      <c r="W13"/>
      <c r="X13"/>
      <c r="Y13"/>
      <c r="Z13"/>
      <c r="AA13"/>
      <c r="AB13"/>
      <c r="AC13"/>
      <c r="AD13" s="264"/>
      <c r="AE13" s="240"/>
      <c r="AF13" s="240"/>
      <c r="AG13" s="240"/>
      <c r="AH13" s="240"/>
      <c r="AI13" s="240"/>
      <c r="AJ13" s="240"/>
      <c r="AK13" s="240"/>
      <c r="AL13" s="240"/>
      <c r="AM13" s="240"/>
    </row>
    <row r="14" spans="1:39" x14ac:dyDescent="0.2">
      <c r="A14" s="675">
        <f t="shared" si="2"/>
        <v>5</v>
      </c>
      <c r="B14" s="266" t="str">
        <f>CONCATENATE('3. Consumption by Rate Class'!B20,"-",'3. Consumption by Rate Class'!C20)</f>
        <v>2005-May</v>
      </c>
      <c r="C14" s="270">
        <v>8058228</v>
      </c>
      <c r="D14" s="247"/>
      <c r="E14" s="252"/>
      <c r="F14" s="252"/>
      <c r="G14" s="252"/>
      <c r="H14" s="731"/>
      <c r="I14" s="731"/>
      <c r="J14" s="268">
        <f t="shared" si="0"/>
        <v>8058228</v>
      </c>
      <c r="K14" s="267">
        <f>IF(K$8='5.Variables'!$B$10,+'5.Variables'!$G21,+IF(K$8='5.Variables'!$B$33,+'5.Variables'!$G44,+IF(K$8='5.Variables'!$B$56,+'5.Variables'!$G58,+IF(K$8='5.Variables'!$B$70,+'5.Variables'!$G72,+IF(K$8='5.Variables'!$B$84,+'5.Variables'!$G86,+IF(K$8='5.Variables'!$B$98,+'5.Variables'!$G100,0))))))</f>
        <v>10233</v>
      </c>
      <c r="L14" s="267">
        <f>IF(L$8='5.Variables'!$B$10,+'5.Variables'!$G21,+IF(L$8='5.Variables'!$B$33,+'5.Variables'!$G44,+IF(L$8='5.Variables'!$B$56,+'5.Variables'!$G58,+IF(L$8='5.Variables'!$B$70,+'5.Variables'!$G72,+IF(L$8='5.Variables'!$B$84,+'5.Variables'!$G86,+IF(L$8='5.Variables'!$B$98,+'5.Variables'!$G100,0))))))</f>
        <v>234.3</v>
      </c>
      <c r="M14" s="267">
        <f>IF(M$8='5.Variables'!$B$10,+'5.Variables'!$G21,+IF(M$8='5.Variables'!$B$33,+'5.Variables'!$G44,+IF(M$8='5.Variables'!$B$56,+'5.Variables'!$G58,+IF(M$8='5.Variables'!$B$70,+'5.Variables'!$G72,+IF(M$8='5.Variables'!$B$84,+'5.Variables'!$G86,+IF(M$8='5.Variables'!$B$98,+'5.Variables'!$G100,0))))))</f>
        <v>1.4</v>
      </c>
      <c r="N14" s="267">
        <f>IF(N$8='5.Variables'!$B$10,+'5.Variables'!$G21,+IF(N$8='5.Variables'!$B$33,+'5.Variables'!$G44,+IF(N$8='5.Variables'!$B$56,+'5.Variables'!$G58,+IF(N$8='5.Variables'!$B$70,+'5.Variables'!$G72,+IF(N$8='5.Variables'!$B$84,+'5.Variables'!$G86,+IF(N$8='5.Variables'!$B$98,+'5.Variables'!$G100,0))))))</f>
        <v>1</v>
      </c>
      <c r="O14" s="267">
        <f>IF(O$8='5.Variables'!$B$10,+'5.Variables'!$G21,+IF(O$8='5.Variables'!$B$33,+'5.Variables'!$G44,+IF(O$8='5.Variables'!$B$56,+'5.Variables'!$G58,+IF(O$8='5.Variables'!$B$70,+'5.Variables'!$G72,+IF(O$8='5.Variables'!$B$84,+'5.Variables'!$G86,+IF(O$8='5.Variables'!$B$98,+'5.Variables'!$G100,0))))))</f>
        <v>1.3895999999999999</v>
      </c>
      <c r="P14" s="267">
        <f>IF(P$8='5.Variables'!$B$10,+'5.Variables'!$G21,+IF(P$8='5.Variables'!$B$33,+'5.Variables'!$G44,+IF(P$8='5.Variables'!$B$56,+'5.Variables'!$G58,+IF(P$8='5.Variables'!$B$70,+'5.Variables'!$G72,+IF(P$8='5.Variables'!$B$84,+'5.Variables'!$G86,+IF(P$8='5.Variables'!$B$98,+'5.Variables'!$G100,0))))))</f>
        <v>31</v>
      </c>
      <c r="Q14" s="240"/>
      <c r="R14" s="268">
        <f t="shared" si="1"/>
        <v>7935104.9940812346</v>
      </c>
      <c r="S14" s="272"/>
      <c r="T14" s="240"/>
      <c r="U14" s="288" t="s">
        <v>11</v>
      </c>
      <c r="V14" s="288">
        <v>346088.83401460951</v>
      </c>
      <c r="W14"/>
      <c r="X14"/>
      <c r="Y14"/>
      <c r="Z14"/>
      <c r="AA14"/>
      <c r="AB14"/>
      <c r="AC14"/>
      <c r="AD14" s="264"/>
      <c r="AE14" s="240"/>
      <c r="AF14" s="240"/>
      <c r="AG14" s="240"/>
      <c r="AH14" s="240"/>
      <c r="AI14" s="240"/>
      <c r="AJ14" s="240"/>
      <c r="AK14" s="240"/>
      <c r="AL14" s="240"/>
      <c r="AM14" s="240"/>
    </row>
    <row r="15" spans="1:39" ht="13.5" thickBot="1" x14ac:dyDescent="0.25">
      <c r="A15" s="675">
        <f t="shared" si="2"/>
        <v>6</v>
      </c>
      <c r="B15" s="266" t="str">
        <f>CONCATENATE('3. Consumption by Rate Class'!B21,"-",'3. Consumption by Rate Class'!C21)</f>
        <v>2005-June</v>
      </c>
      <c r="C15" s="270">
        <v>9423396</v>
      </c>
      <c r="D15" s="247"/>
      <c r="E15" s="252"/>
      <c r="F15" s="252"/>
      <c r="G15" s="252"/>
      <c r="H15" s="731"/>
      <c r="I15" s="731"/>
      <c r="J15" s="268">
        <f t="shared" si="0"/>
        <v>9423396</v>
      </c>
      <c r="K15" s="267">
        <f>IF(K$8='5.Variables'!$B$10,+'5.Variables'!$H21,+IF(K$8='5.Variables'!$B$33,+'5.Variables'!$H44,+IF(K$8='5.Variables'!$B$56,+'5.Variables'!$H58,+IF(K$8='5.Variables'!$B$70,+'5.Variables'!$H72,+IF(K$8='5.Variables'!$B$84,+'5.Variables'!$H86,+IF(K$8='5.Variables'!$B$98,+'5.Variables'!$H100,0))))))</f>
        <v>10259</v>
      </c>
      <c r="L15" s="267">
        <f>IF(L$8='5.Variables'!$B$10,+'5.Variables'!$H21,+IF(L$8='5.Variables'!$B$33,+'5.Variables'!$H44,+IF(L$8='5.Variables'!$B$56,+'5.Variables'!$H58,+IF(L$8='5.Variables'!$B$70,+'5.Variables'!$H72,+IF(L$8='5.Variables'!$B$84,+'5.Variables'!$H86,+IF(L$8='5.Variables'!$B$98,+'5.Variables'!$H100,0))))))</f>
        <v>18.5</v>
      </c>
      <c r="M15" s="267">
        <f>IF(M$8='5.Variables'!$B$10,+'5.Variables'!$H21,+IF(M$8='5.Variables'!$B$33,+'5.Variables'!$H44,+IF(M$8='5.Variables'!$B$56,+'5.Variables'!$H58,+IF(M$8='5.Variables'!$B$70,+'5.Variables'!$H72,+IF(M$8='5.Variables'!$B$84,+'5.Variables'!$H86,+IF(M$8='5.Variables'!$B$98,+'5.Variables'!$H100,0))))))</f>
        <v>102.4</v>
      </c>
      <c r="N15" s="267">
        <f>IF(N$8='5.Variables'!$B$10,+'5.Variables'!$H21,+IF(N$8='5.Variables'!$B$33,+'5.Variables'!$H44,+IF(N$8='5.Variables'!$B$56,+'5.Variables'!$H58,+IF(N$8='5.Variables'!$B$70,+'5.Variables'!$H72,+IF(N$8='5.Variables'!$B$84,+'5.Variables'!$H86,+IF(N$8='5.Variables'!$B$98,+'5.Variables'!$H100,0))))))</f>
        <v>0</v>
      </c>
      <c r="O15" s="267">
        <f>IF(O$8='5.Variables'!$B$10,+'5.Variables'!$H21,+IF(O$8='5.Variables'!$B$33,+'5.Variables'!$H44,+IF(O$8='5.Variables'!$B$56,+'5.Variables'!$H58,+IF(O$8='5.Variables'!$B$70,+'5.Variables'!$H72,+IF(O$8='5.Variables'!$B$84,+'5.Variables'!$H86,+IF(O$8='5.Variables'!$B$98,+'5.Variables'!$H100,0))))))</f>
        <v>1.1700999999999999</v>
      </c>
      <c r="P15" s="267">
        <f>IF(P$8='5.Variables'!$B$10,+'5.Variables'!$H21,+IF(P$8='5.Variables'!$B$33,+'5.Variables'!$H44,+IF(P$8='5.Variables'!$B$56,+'5.Variables'!$H58,+IF(P$8='5.Variables'!$B$70,+'5.Variables'!$H72,+IF(P$8='5.Variables'!$B$84,+'5.Variables'!$H86,+IF(P$8='5.Variables'!$B$98,+'5.Variables'!$H100,0))))))</f>
        <v>30</v>
      </c>
      <c r="Q15" s="240"/>
      <c r="R15" s="268">
        <f t="shared" si="1"/>
        <v>10046455.831012119</v>
      </c>
      <c r="S15" s="272"/>
      <c r="T15" s="240"/>
      <c r="U15" s="289" t="s">
        <v>12</v>
      </c>
      <c r="V15" s="289">
        <v>120</v>
      </c>
      <c r="W15"/>
      <c r="X15"/>
      <c r="Y15"/>
      <c r="Z15"/>
      <c r="AA15"/>
      <c r="AB15"/>
      <c r="AC15"/>
      <c r="AD15" s="264"/>
      <c r="AE15" s="240"/>
      <c r="AF15" s="240"/>
      <c r="AG15" s="240"/>
      <c r="AH15" s="240"/>
      <c r="AI15" s="240"/>
      <c r="AJ15" s="240"/>
      <c r="AK15" s="240"/>
      <c r="AL15" s="240"/>
      <c r="AM15" s="240"/>
    </row>
    <row r="16" spans="1:39" x14ac:dyDescent="0.2">
      <c r="A16" s="675">
        <f t="shared" si="2"/>
        <v>7</v>
      </c>
      <c r="B16" s="266" t="str">
        <f>CONCATENATE('3. Consumption by Rate Class'!B22,"-",'3. Consumption by Rate Class'!C22)</f>
        <v>2005-July</v>
      </c>
      <c r="C16" s="270">
        <v>11465909</v>
      </c>
      <c r="D16" s="247"/>
      <c r="E16" s="252"/>
      <c r="F16" s="252"/>
      <c r="G16" s="252"/>
      <c r="H16" s="731"/>
      <c r="I16" s="731"/>
      <c r="J16" s="268">
        <f t="shared" si="0"/>
        <v>11465909</v>
      </c>
      <c r="K16" s="267">
        <f>IF(K$8='5.Variables'!$B$10,+'5.Variables'!$I21,+IF(K$8='5.Variables'!$B$33,+'5.Variables'!$I44,+IF(K$8='5.Variables'!$B$56,+'5.Variables'!$I58,+IF(K$8='5.Variables'!$B$70,+'5.Variables'!$I72,+IF(K$8='5.Variables'!$B$84,+'5.Variables'!$I86,+IF(K$8='5.Variables'!$B$98,+'5.Variables'!$I100,0))))))</f>
        <v>10319</v>
      </c>
      <c r="L16" s="267">
        <f>IF(L$8='5.Variables'!$B$10,+'5.Variables'!$I21,+IF(L$8='5.Variables'!$B$33,+'5.Variables'!$I44,+IF(L$8='5.Variables'!$B$56,+'5.Variables'!$I58,+IF(L$8='5.Variables'!$B$70,+'5.Variables'!$I72,+IF(L$8='5.Variables'!$B$84,+'5.Variables'!$I86,+IF(L$8='5.Variables'!$B$98,+'5.Variables'!$I100,0))))))</f>
        <v>1.6</v>
      </c>
      <c r="M16" s="267">
        <f>IF(M$8='5.Variables'!$B$10,+'5.Variables'!$I21,+IF(M$8='5.Variables'!$B$33,+'5.Variables'!$I44,+IF(M$8='5.Variables'!$B$56,+'5.Variables'!$I58,+IF(M$8='5.Variables'!$B$70,+'5.Variables'!$I72,+IF(M$8='5.Variables'!$B$84,+'5.Variables'!$I86,+IF(M$8='5.Variables'!$B$98,+'5.Variables'!$I100,0))))))</f>
        <v>132.5</v>
      </c>
      <c r="N16" s="267">
        <f>IF(N$8='5.Variables'!$B$10,+'5.Variables'!$I21,+IF(N$8='5.Variables'!$B$33,+'5.Variables'!$I44,+IF(N$8='5.Variables'!$B$56,+'5.Variables'!$I58,+IF(N$8='5.Variables'!$B$70,+'5.Variables'!$I72,+IF(N$8='5.Variables'!$B$84,+'5.Variables'!$I86,+IF(N$8='5.Variables'!$B$98,+'5.Variables'!$I100,0))))))</f>
        <v>0</v>
      </c>
      <c r="O16" s="267">
        <f>IF(O$8='5.Variables'!$B$10,+'5.Variables'!$I21,+IF(O$8='5.Variables'!$B$33,+'5.Variables'!$I44,+IF(O$8='5.Variables'!$B$56,+'5.Variables'!$I58,+IF(O$8='5.Variables'!$B$70,+'5.Variables'!$I72,+IF(O$8='5.Variables'!$B$84,+'5.Variables'!$I86,+IF(O$8='5.Variables'!$B$98,+'5.Variables'!$I100,0))))))</f>
        <v>0.95059999999999989</v>
      </c>
      <c r="P16" s="267">
        <f>IF(P$8='5.Variables'!$B$10,+'5.Variables'!$I21,+IF(P$8='5.Variables'!$B$33,+'5.Variables'!$I44,+IF(P$8='5.Variables'!$B$56,+'5.Variables'!$I58,+IF(P$8='5.Variables'!$B$70,+'5.Variables'!$I72,+IF(P$8='5.Variables'!$B$84,+'5.Variables'!$I86,+IF(P$8='5.Variables'!$B$98,+'5.Variables'!$I100,0))))))</f>
        <v>31</v>
      </c>
      <c r="Q16" s="240"/>
      <c r="R16" s="268">
        <f t="shared" si="1"/>
        <v>11307299.776177786</v>
      </c>
      <c r="S16" s="272"/>
      <c r="T16" s="240"/>
      <c r="U16"/>
      <c r="V16"/>
      <c r="W16"/>
      <c r="X16"/>
      <c r="Y16"/>
      <c r="Z16"/>
      <c r="AA16"/>
      <c r="AB16"/>
      <c r="AC16"/>
      <c r="AD16" s="264"/>
      <c r="AE16" s="240"/>
      <c r="AF16" s="240"/>
      <c r="AG16" s="240"/>
      <c r="AH16" s="240"/>
      <c r="AI16" s="240"/>
      <c r="AJ16" s="240"/>
      <c r="AK16" s="240"/>
      <c r="AL16" s="240"/>
      <c r="AM16" s="240"/>
    </row>
    <row r="17" spans="1:39" ht="13.5" thickBot="1" x14ac:dyDescent="0.25">
      <c r="A17" s="675">
        <f t="shared" si="2"/>
        <v>8</v>
      </c>
      <c r="B17" s="266" t="str">
        <f>CONCATENATE('3. Consumption by Rate Class'!B23,"-",'3. Consumption by Rate Class'!C23)</f>
        <v>2005-August</v>
      </c>
      <c r="C17" s="270">
        <v>10420620</v>
      </c>
      <c r="D17" s="247"/>
      <c r="E17" s="252"/>
      <c r="F17" s="252"/>
      <c r="G17" s="252"/>
      <c r="H17" s="731"/>
      <c r="I17" s="731"/>
      <c r="J17" s="268">
        <f t="shared" si="0"/>
        <v>10420620</v>
      </c>
      <c r="K17" s="267">
        <f>IF(K$8='5.Variables'!$B$10,+'5.Variables'!$J21,+IF(K$8='5.Variables'!$B$33,+'5.Variables'!$J44,+IF(K$8='5.Variables'!$B$56,+'5.Variables'!$J58,+IF(K$8='5.Variables'!$B$70,+'5.Variables'!$J72,+IF(K$8='5.Variables'!$B$84,+'5.Variables'!$J86,+IF(K$8='5.Variables'!$B$98,+'5.Variables'!$J100,0))))))</f>
        <v>10335</v>
      </c>
      <c r="L17" s="267">
        <f>IF(L$8='5.Variables'!$B$10,+'5.Variables'!$J21,+IF(L$8='5.Variables'!$B$33,+'5.Variables'!$J44,+IF(L$8='5.Variables'!$B$56,+'5.Variables'!$J58,+IF(L$8='5.Variables'!$B$70,+'5.Variables'!$J72,+IF(L$8='5.Variables'!$B$84,+'5.Variables'!$J86,+IF(L$8='5.Variables'!$B$98,+'5.Variables'!$J100,0))))))</f>
        <v>3.7</v>
      </c>
      <c r="M17" s="267">
        <f>IF(M$8='5.Variables'!$B$10,+'5.Variables'!$J21,+IF(M$8='5.Variables'!$B$33,+'5.Variables'!$J44,+IF(M$8='5.Variables'!$B$56,+'5.Variables'!$J58,+IF(M$8='5.Variables'!$B$70,+'5.Variables'!$J72,+IF(M$8='5.Variables'!$B$84,+'5.Variables'!$J86,+IF(M$8='5.Variables'!$B$98,+'5.Variables'!$J100,0))))))</f>
        <v>106.4</v>
      </c>
      <c r="N17" s="267">
        <f>IF(N$8='5.Variables'!$B$10,+'5.Variables'!$J21,+IF(N$8='5.Variables'!$B$33,+'5.Variables'!$J44,+IF(N$8='5.Variables'!$B$56,+'5.Variables'!$J58,+IF(N$8='5.Variables'!$B$70,+'5.Variables'!$J72,+IF(N$8='5.Variables'!$B$84,+'5.Variables'!$J86,+IF(N$8='5.Variables'!$B$98,+'5.Variables'!$J100,0))))))</f>
        <v>0</v>
      </c>
      <c r="O17" s="267">
        <f>IF(O$8='5.Variables'!$B$10,+'5.Variables'!$J21,+IF(O$8='5.Variables'!$B$33,+'5.Variables'!$J44,+IF(O$8='5.Variables'!$B$56,+'5.Variables'!$J58,+IF(O$8='5.Variables'!$B$70,+'5.Variables'!$J72,+IF(O$8='5.Variables'!$B$84,+'5.Variables'!$J86,+IF(O$8='5.Variables'!$B$98,+'5.Variables'!$J100,0))))))</f>
        <v>0.73109999999999986</v>
      </c>
      <c r="P17" s="267">
        <f>IF(P$8='5.Variables'!$B$10,+'5.Variables'!$J21,+IF(P$8='5.Variables'!$B$33,+'5.Variables'!$J44,+IF(P$8='5.Variables'!$B$56,+'5.Variables'!$J58,+IF(P$8='5.Variables'!$B$70,+'5.Variables'!$J72,+IF(P$8='5.Variables'!$B$84,+'5.Variables'!$J86,+IF(P$8='5.Variables'!$B$98,+'5.Variables'!$J100,0))))))</f>
        <v>31</v>
      </c>
      <c r="Q17" s="240"/>
      <c r="R17" s="268">
        <f t="shared" si="1"/>
        <v>10601840.759027421</v>
      </c>
      <c r="S17" s="272"/>
      <c r="T17" s="240"/>
      <c r="U17" t="s">
        <v>13</v>
      </c>
      <c r="V17"/>
      <c r="W17"/>
      <c r="X17"/>
      <c r="Y17"/>
      <c r="Z17"/>
      <c r="AA17"/>
      <c r="AB17"/>
      <c r="AC17"/>
      <c r="AD17" s="264"/>
      <c r="AE17" s="240"/>
      <c r="AF17" s="240"/>
      <c r="AG17" s="240"/>
      <c r="AH17" s="240"/>
      <c r="AI17" s="240"/>
      <c r="AJ17" s="240"/>
      <c r="AK17" s="240"/>
      <c r="AL17" s="240"/>
      <c r="AM17" s="240"/>
    </row>
    <row r="18" spans="1:39" x14ac:dyDescent="0.2">
      <c r="A18" s="675">
        <f t="shared" si="2"/>
        <v>9</v>
      </c>
      <c r="B18" s="266" t="str">
        <f>CONCATENATE('3. Consumption by Rate Class'!B24,"-",'3. Consumption by Rate Class'!C24)</f>
        <v>2005-September</v>
      </c>
      <c r="C18" s="270">
        <v>8236530</v>
      </c>
      <c r="D18" s="247"/>
      <c r="E18" s="252"/>
      <c r="F18" s="252"/>
      <c r="G18" s="252"/>
      <c r="H18" s="731"/>
      <c r="I18" s="731"/>
      <c r="J18" s="268">
        <f t="shared" si="0"/>
        <v>8236530</v>
      </c>
      <c r="K18" s="267">
        <f>IF(K$8='5.Variables'!$B$10,+'5.Variables'!$K21,+IF(K$8='5.Variables'!$B$33,+'5.Variables'!$K44,+IF(K$8='5.Variables'!$B$56,+'5.Variables'!$K58,+IF(K$8='5.Variables'!$B$70,+'5.Variables'!$K72,+IF(K$8='5.Variables'!$B$84,+'5.Variables'!$K86,+IF(K$8='5.Variables'!$B$98,+'5.Variables'!$K100,0))))))</f>
        <v>10380</v>
      </c>
      <c r="L18" s="267">
        <f>IF(L$8='5.Variables'!$B$10,+'5.Variables'!$K21,+IF(L$8='5.Variables'!$B$33,+'5.Variables'!$K44,+IF(L$8='5.Variables'!$B$56,+'5.Variables'!$K58,+IF(L$8='5.Variables'!$B$70,+'5.Variables'!$K72,+IF(L$8='5.Variables'!$B$84,+'5.Variables'!$K86,+IF(L$8='5.Variables'!$B$98,+'5.Variables'!$K100,0))))))</f>
        <v>30.2</v>
      </c>
      <c r="M18" s="267">
        <f>IF(M$8='5.Variables'!$B$10,+'5.Variables'!$K21,+IF(M$8='5.Variables'!$B$33,+'5.Variables'!$K44,+IF(M$8='5.Variables'!$B$56,+'5.Variables'!$K58,+IF(M$8='5.Variables'!$B$70,+'5.Variables'!$K72,+IF(M$8='5.Variables'!$B$84,+'5.Variables'!$K86,+IF(M$8='5.Variables'!$B$98,+'5.Variables'!$K100,0))))))</f>
        <v>57.5</v>
      </c>
      <c r="N18" s="267">
        <f>IF(N$8='5.Variables'!$B$10,+'5.Variables'!$K21,+IF(N$8='5.Variables'!$B$33,+'5.Variables'!$K44,+IF(N$8='5.Variables'!$B$56,+'5.Variables'!$K58,+IF(N$8='5.Variables'!$B$70,+'5.Variables'!$K72,+IF(N$8='5.Variables'!$B$84,+'5.Variables'!$K86,+IF(N$8='5.Variables'!$B$98,+'5.Variables'!$K100,0))))))</f>
        <v>1</v>
      </c>
      <c r="O18" s="267">
        <f>IF(O$8='5.Variables'!$B$10,+'5.Variables'!$K21,+IF(O$8='5.Variables'!$B$33,+'5.Variables'!$K44,+IF(O$8='5.Variables'!$B$56,+'5.Variables'!$K58,+IF(O$8='5.Variables'!$B$70,+'5.Variables'!$K72,+IF(O$8='5.Variables'!$B$84,+'5.Variables'!$K86,+IF(O$8='5.Variables'!$B$98,+'5.Variables'!$K100,0))))))</f>
        <v>0.51159999999999983</v>
      </c>
      <c r="P18" s="267">
        <f>IF(P$8='5.Variables'!$B$10,+'5.Variables'!$K21,+IF(P$8='5.Variables'!$B$33,+'5.Variables'!$K44,+IF(P$8='5.Variables'!$B$56,+'5.Variables'!$K58,+IF(P$8='5.Variables'!$B$70,+'5.Variables'!$K72,+IF(P$8='5.Variables'!$B$84,+'5.Variables'!$K86,+IF(P$8='5.Variables'!$B$98,+'5.Variables'!$K100,0))))))</f>
        <v>30</v>
      </c>
      <c r="Q18" s="240"/>
      <c r="R18" s="268">
        <f t="shared" si="1"/>
        <v>8137845.0035523884</v>
      </c>
      <c r="S18" s="272"/>
      <c r="T18" s="240"/>
      <c r="U18" s="290"/>
      <c r="V18" s="290" t="s">
        <v>18</v>
      </c>
      <c r="W18" s="290" t="s">
        <v>19</v>
      </c>
      <c r="X18" s="290" t="s">
        <v>20</v>
      </c>
      <c r="Y18" s="290" t="s">
        <v>21</v>
      </c>
      <c r="Z18" s="290" t="s">
        <v>22</v>
      </c>
      <c r="AA18"/>
      <c r="AB18"/>
      <c r="AC18"/>
      <c r="AD18" s="264"/>
      <c r="AE18" s="240"/>
      <c r="AF18" s="240"/>
      <c r="AG18" s="240"/>
      <c r="AH18" s="240"/>
      <c r="AI18" s="240"/>
      <c r="AJ18" s="240"/>
      <c r="AK18" s="240"/>
      <c r="AL18" s="240"/>
      <c r="AM18" s="240"/>
    </row>
    <row r="19" spans="1:39" x14ac:dyDescent="0.2">
      <c r="A19" s="675">
        <f t="shared" si="2"/>
        <v>10</v>
      </c>
      <c r="B19" s="266" t="str">
        <f>CONCATENATE('3. Consumption by Rate Class'!B25,"-",'3. Consumption by Rate Class'!C25)</f>
        <v>2005-October</v>
      </c>
      <c r="C19" s="270">
        <v>8141870</v>
      </c>
      <c r="D19" s="247"/>
      <c r="E19" s="252"/>
      <c r="F19" s="252"/>
      <c r="G19" s="252"/>
      <c r="H19" s="731"/>
      <c r="I19" s="731"/>
      <c r="J19" s="268">
        <f t="shared" si="0"/>
        <v>8141870</v>
      </c>
      <c r="K19" s="267">
        <f>IF(K$8='5.Variables'!$B$10,+'5.Variables'!$L21,+IF(K$8='5.Variables'!$B$33,+'5.Variables'!$L44,+IF(K$8='5.Variables'!$B$56,+'5.Variables'!$L58,+IF(K$8='5.Variables'!$B$70,+'5.Variables'!$L72,+IF(K$8='5.Variables'!$B$84,+'5.Variables'!$L86,+IF(K$8='5.Variables'!$B$98,+'5.Variables'!$L100,0))))))</f>
        <v>10411</v>
      </c>
      <c r="L19" s="267">
        <f>IF(L$8='5.Variables'!$B$10,+'5.Variables'!$L21,+IF(L$8='5.Variables'!$B$33,+'5.Variables'!$L44,+IF(L$8='5.Variables'!$B$56,+'5.Variables'!$L58,+IF(L$8='5.Variables'!$B$70,+'5.Variables'!$L72,+IF(L$8='5.Variables'!$B$84,+'5.Variables'!$L86,+IF(L$8='5.Variables'!$B$98,+'5.Variables'!$L100,0))))))</f>
        <v>214.8</v>
      </c>
      <c r="M19" s="267">
        <f>IF(M$8='5.Variables'!$B$10,+'5.Variables'!$L21,+IF(M$8='5.Variables'!$B$33,+'5.Variables'!$L44,+IF(M$8='5.Variables'!$B$56,+'5.Variables'!$L58,+IF(M$8='5.Variables'!$B$70,+'5.Variables'!$L72,+IF(M$8='5.Variables'!$B$84,+'5.Variables'!$L86,+IF(M$8='5.Variables'!$B$98,+'5.Variables'!$L100,0))))))</f>
        <v>20</v>
      </c>
      <c r="N19" s="267">
        <f>IF(N$8='5.Variables'!$B$10,+'5.Variables'!$L21,+IF(N$8='5.Variables'!$B$33,+'5.Variables'!$L44,+IF(N$8='5.Variables'!$B$56,+'5.Variables'!$L58,+IF(N$8='5.Variables'!$B$70,+'5.Variables'!$L72,+IF(N$8='5.Variables'!$B$84,+'5.Variables'!$L86,+IF(N$8='5.Variables'!$B$98,+'5.Variables'!$L100,0))))))</f>
        <v>1</v>
      </c>
      <c r="O19" s="267">
        <f>IF(O$8='5.Variables'!$B$10,+'5.Variables'!$L21,+IF(O$8='5.Variables'!$B$33,+'5.Variables'!$L44,+IF(O$8='5.Variables'!$B$56,+'5.Variables'!$L58,+IF(O$8='5.Variables'!$B$70,+'5.Variables'!$L72,+IF(O$8='5.Variables'!$B$84,+'5.Variables'!$L86,+IF(O$8='5.Variables'!$B$98,+'5.Variables'!$L100,0))))))</f>
        <v>0.29210000000000003</v>
      </c>
      <c r="P19" s="267">
        <f>IF(P$8='5.Variables'!$B$10,+'5.Variables'!$L21,+IF(P$8='5.Variables'!$B$33,+'5.Variables'!$L44,+IF(P$8='5.Variables'!$B$56,+'5.Variables'!$L58,+IF(P$8='5.Variables'!$B$70,+'5.Variables'!$L72,+IF(P$8='5.Variables'!$B$84,+'5.Variables'!$L86,+IF(P$8='5.Variables'!$B$98,+'5.Variables'!$L100,0))))))</f>
        <v>31</v>
      </c>
      <c r="Q19" s="240"/>
      <c r="R19" s="268">
        <f t="shared" si="1"/>
        <v>8566291.0308092907</v>
      </c>
      <c r="S19" s="272"/>
      <c r="T19" s="240"/>
      <c r="U19" s="288" t="s">
        <v>14</v>
      </c>
      <c r="V19" s="288">
        <v>6</v>
      </c>
      <c r="W19" s="288">
        <v>262971526717819.12</v>
      </c>
      <c r="X19" s="288">
        <v>43828587786303.187</v>
      </c>
      <c r="Y19" s="288">
        <v>365.9167600583869</v>
      </c>
      <c r="Z19" s="288">
        <v>1.4248405493704193E-71</v>
      </c>
      <c r="AA19"/>
      <c r="AB19"/>
      <c r="AC19"/>
      <c r="AD19" s="264"/>
      <c r="AE19" s="240"/>
      <c r="AF19" s="240"/>
      <c r="AG19" s="240"/>
      <c r="AH19" s="240"/>
      <c r="AI19" s="240"/>
      <c r="AJ19" s="240"/>
      <c r="AK19" s="240"/>
      <c r="AL19" s="240"/>
      <c r="AM19" s="240"/>
    </row>
    <row r="20" spans="1:39" x14ac:dyDescent="0.2">
      <c r="A20" s="675">
        <f t="shared" si="2"/>
        <v>11</v>
      </c>
      <c r="B20" s="266" t="str">
        <f>CONCATENATE('3. Consumption by Rate Class'!B26,"-",'3. Consumption by Rate Class'!C26)</f>
        <v>2005-November</v>
      </c>
      <c r="C20" s="270">
        <v>8754703</v>
      </c>
      <c r="D20" s="252"/>
      <c r="E20" s="252"/>
      <c r="F20" s="252"/>
      <c r="G20" s="252"/>
      <c r="H20" s="731"/>
      <c r="I20" s="731"/>
      <c r="J20" s="268">
        <f t="shared" si="0"/>
        <v>8754703</v>
      </c>
      <c r="K20" s="267">
        <f>IF(K$8='5.Variables'!$B$10,+'5.Variables'!$M21,+IF(K$8='5.Variables'!$B$33,+'5.Variables'!$M44,+IF(K$8='5.Variables'!$B$56,+'5.Variables'!$M58,+IF(K$8='5.Variables'!$B$70,+'5.Variables'!$M72,+IF(K$8='5.Variables'!$B$84,+'5.Variables'!$M86,+IF(K$8='5.Variables'!$B$98,+'5.Variables'!$M100,0))))))</f>
        <v>10464</v>
      </c>
      <c r="L20" s="267">
        <f>IF(L$8='5.Variables'!$B$10,+'5.Variables'!$M21,+IF(L$8='5.Variables'!$B$33,+'5.Variables'!$M44,+IF(L$8='5.Variables'!$B$56,+'5.Variables'!$M58,+IF(L$8='5.Variables'!$B$70,+'5.Variables'!$M72,+IF(L$8='5.Variables'!$B$84,+'5.Variables'!$M86,+IF(L$8='5.Variables'!$B$98,+'5.Variables'!$M100,0))))))</f>
        <v>392.5</v>
      </c>
      <c r="M20" s="267">
        <f>IF(M$8='5.Variables'!$B$10,+'5.Variables'!$M21,+IF(M$8='5.Variables'!$B$33,+'5.Variables'!$M44,+IF(M$8='5.Variables'!$B$56,+'5.Variables'!$M58,+IF(M$8='5.Variables'!$B$70,+'5.Variables'!$M72,+IF(M$8='5.Variables'!$B$84,+'5.Variables'!$M86,+IF(M$8='5.Variables'!$B$98,+'5.Variables'!$M100,0))))))</f>
        <v>0</v>
      </c>
      <c r="N20" s="267">
        <f>IF(N$8='5.Variables'!$B$10,+'5.Variables'!$M21,+IF(N$8='5.Variables'!$B$33,+'5.Variables'!$M44,+IF(N$8='5.Variables'!$B$56,+'5.Variables'!$M58,+IF(N$8='5.Variables'!$B$70,+'5.Variables'!$M72,+IF(N$8='5.Variables'!$B$84,+'5.Variables'!$M86,+IF(N$8='5.Variables'!$B$98,+'5.Variables'!$M100,0))))))</f>
        <v>1</v>
      </c>
      <c r="O20" s="267">
        <f>IF(O$8='5.Variables'!$B$10,+'5.Variables'!$M21,+IF(O$8='5.Variables'!$B$33,+'5.Variables'!$M44,+IF(O$8='5.Variables'!$B$56,+'5.Variables'!$M58,+IF(O$8='5.Variables'!$B$70,+'5.Variables'!$M72,+IF(O$8='5.Variables'!$B$84,+'5.Variables'!$M86,+IF(O$8='5.Variables'!$B$98,+'5.Variables'!$M100,0))))))</f>
        <v>7.2599999999999998E-2</v>
      </c>
      <c r="P20" s="267">
        <f>IF(P$8='5.Variables'!$B$10,+'5.Variables'!$M21,+IF(P$8='5.Variables'!$B$33,+'5.Variables'!$M44,+IF(P$8='5.Variables'!$B$56,+'5.Variables'!$M58,+IF(P$8='5.Variables'!$B$70,+'5.Variables'!$M72,+IF(P$8='5.Variables'!$B$84,+'5.Variables'!$M86,+IF(P$8='5.Variables'!$B$98,+'5.Variables'!$M100,0))))))</f>
        <v>30</v>
      </c>
      <c r="Q20" s="240"/>
      <c r="R20" s="268">
        <f t="shared" si="1"/>
        <v>8629882.0147026237</v>
      </c>
      <c r="S20" s="272"/>
      <c r="T20" s="240"/>
      <c r="U20" s="288" t="s">
        <v>15</v>
      </c>
      <c r="V20" s="288">
        <v>113</v>
      </c>
      <c r="W20" s="288">
        <v>13534855356343.891</v>
      </c>
      <c r="X20" s="288">
        <v>119777481029.59195</v>
      </c>
      <c r="Y20" s="288"/>
      <c r="Z20" s="288"/>
      <c r="AA20"/>
      <c r="AB20"/>
      <c r="AC20"/>
      <c r="AD20" s="264"/>
      <c r="AE20" s="240"/>
      <c r="AF20" s="240"/>
      <c r="AG20" s="240"/>
      <c r="AH20" s="240"/>
      <c r="AI20" s="240"/>
      <c r="AJ20" s="240"/>
      <c r="AK20" s="240"/>
      <c r="AL20" s="240"/>
      <c r="AM20" s="240"/>
    </row>
    <row r="21" spans="1:39" ht="13.5" thickBot="1" x14ac:dyDescent="0.25">
      <c r="A21" s="675">
        <f t="shared" si="2"/>
        <v>12</v>
      </c>
      <c r="B21" s="266" t="str">
        <f>CONCATENATE('3. Consumption by Rate Class'!B27,"-",'3. Consumption by Rate Class'!C27)</f>
        <v>2005-December</v>
      </c>
      <c r="C21" s="270">
        <v>11491781</v>
      </c>
      <c r="D21" s="252"/>
      <c r="E21" s="252"/>
      <c r="F21" s="252"/>
      <c r="G21" s="252"/>
      <c r="H21" s="731"/>
      <c r="I21" s="731"/>
      <c r="J21" s="268">
        <f t="shared" si="0"/>
        <v>11491781</v>
      </c>
      <c r="K21" s="267">
        <f>IF(K$8='5.Variables'!$B$10,+'5.Variables'!$N21,+IF(K$8='5.Variables'!$B$33,+'5.Variables'!$N44,+IF(K$8='5.Variables'!$B$56,+'5.Variables'!$N58,+IF(K$8='5.Variables'!$B$70,+'5.Variables'!$N72,+IF(K$8='5.Variables'!$B$84,+'5.Variables'!$N86,+IF(K$8='5.Variables'!$B$98,+'5.Variables'!$N100,0))))))</f>
        <v>10485</v>
      </c>
      <c r="L21" s="267">
        <f>IF(L$8='5.Variables'!$B$10,+'5.Variables'!$N21,+IF(L$8='5.Variables'!$B$33,+'5.Variables'!$N44,+IF(L$8='5.Variables'!$B$56,+'5.Variables'!$N58,+IF(L$8='5.Variables'!$B$70,+'5.Variables'!$N72,+IF(L$8='5.Variables'!$B$84,+'5.Variables'!$N86,+IF(L$8='5.Variables'!$B$98,+'5.Variables'!$N100,0))))))</f>
        <v>658.5</v>
      </c>
      <c r="M21" s="267">
        <f>IF(M$8='5.Variables'!$B$10,+'5.Variables'!$N21,+IF(M$8='5.Variables'!$B$33,+'5.Variables'!$N44,+IF(M$8='5.Variables'!$B$56,+'5.Variables'!$N58,+IF(M$8='5.Variables'!$B$70,+'5.Variables'!$N72,+IF(M$8='5.Variables'!$B$84,+'5.Variables'!$N86,+IF(M$8='5.Variables'!$B$98,+'5.Variables'!$N100,0))))))</f>
        <v>0</v>
      </c>
      <c r="N21" s="267">
        <f>IF(N$8='5.Variables'!$B$10,+'5.Variables'!$N21,+IF(N$8='5.Variables'!$B$33,+'5.Variables'!$N44,+IF(N$8='5.Variables'!$B$56,+'5.Variables'!$N58,+IF(N$8='5.Variables'!$B$70,+'5.Variables'!$N72,+IF(N$8='5.Variables'!$B$84,+'5.Variables'!$N86,+IF(N$8='5.Variables'!$B$98,+'5.Variables'!$N100,0))))))</f>
        <v>0</v>
      </c>
      <c r="O21" s="267">
        <f>IF(O$8='5.Variables'!$B$10,+'5.Variables'!$N21,+IF(O$8='5.Variables'!$B$33,+'5.Variables'!$N44,+IF(O$8='5.Variables'!$B$56,+'5.Variables'!$N58,+IF(O$8='5.Variables'!$B$70,+'5.Variables'!$N72,+IF(O$8='5.Variables'!$B$84,+'5.Variables'!$N86,+IF(O$8='5.Variables'!$B$98,+'5.Variables'!$N100,0))))))</f>
        <v>-0.14690000000000003</v>
      </c>
      <c r="P21" s="267">
        <f>IF(P$8='5.Variables'!$B$10,+'5.Variables'!$N21,+IF(P$8='5.Variables'!$B$33,+'5.Variables'!$N44,+IF(P$8='5.Variables'!$B$56,+'5.Variables'!$N58,+IF(P$8='5.Variables'!$B$70,+'5.Variables'!$N72,+IF(P$8='5.Variables'!$B$84,+'5.Variables'!$N86,+IF(P$8='5.Variables'!$B$98,+'5.Variables'!$N100,0))))))</f>
        <v>31</v>
      </c>
      <c r="Q21" s="240"/>
      <c r="R21" s="268">
        <f t="shared" si="1"/>
        <v>11409838.229707718</v>
      </c>
      <c r="S21" s="272">
        <f>SUM(R10:R21)</f>
        <v>115988429.89198539</v>
      </c>
      <c r="T21" s="240"/>
      <c r="U21" s="289" t="s">
        <v>16</v>
      </c>
      <c r="V21" s="289">
        <v>119</v>
      </c>
      <c r="W21" s="289">
        <v>276506382074163</v>
      </c>
      <c r="X21" s="289"/>
      <c r="Y21" s="289"/>
      <c r="Z21" s="289"/>
      <c r="AA21"/>
      <c r="AB21"/>
      <c r="AC21"/>
      <c r="AD21" s="264"/>
      <c r="AE21" s="240"/>
      <c r="AF21" s="240"/>
      <c r="AG21" s="240"/>
      <c r="AH21" s="240"/>
      <c r="AI21" s="240"/>
      <c r="AJ21" s="240"/>
      <c r="AK21" s="240"/>
      <c r="AL21" s="240"/>
      <c r="AM21" s="240"/>
    </row>
    <row r="22" spans="1:39" ht="13.5" thickBot="1" x14ac:dyDescent="0.25">
      <c r="A22" s="675">
        <f t="shared" si="2"/>
        <v>13</v>
      </c>
      <c r="B22" s="266" t="str">
        <f>CONCATENATE('3. Consumption by Rate Class'!B28,"-",'3. Consumption by Rate Class'!C28)</f>
        <v>2006-January</v>
      </c>
      <c r="C22" s="270">
        <v>10835452</v>
      </c>
      <c r="D22" s="252">
        <f>+'X.1.CDM Calculation'!H19</f>
        <v>2580.3809815214877</v>
      </c>
      <c r="E22" s="252"/>
      <c r="F22" s="252"/>
      <c r="G22" s="252"/>
      <c r="H22" s="731"/>
      <c r="I22" s="731"/>
      <c r="J22" s="268">
        <f t="shared" si="0"/>
        <v>10838032.380981522</v>
      </c>
      <c r="K22" s="267">
        <f>IF(K$8='5.Variables'!$B$10,+'5.Variables'!$C22,+IF(K$8='5.Variables'!$B$33,+'5.Variables'!$C45,+IF(K$8='5.Variables'!$B$56,+'5.Variables'!$C59,+IF(K$8='5.Variables'!$B$70,+'5.Variables'!$C73,+IF(K$8='5.Variables'!$B$84,+'5.Variables'!$C87,+IF(K$8='5.Variables'!$B$98,+'5.Variables'!$C101,0))))))</f>
        <v>10522</v>
      </c>
      <c r="L22" s="267">
        <f>IF(L$8='5.Variables'!$B$10,+'5.Variables'!$C22,+IF(L$8='5.Variables'!$B$33,+'5.Variables'!$C45,+IF(L$8='5.Variables'!$B$56,+'5.Variables'!$C59,+IF(L$8='5.Variables'!$B$70,+'5.Variables'!$C73,+IF(L$8='5.Variables'!$B$84,+'5.Variables'!$C87,+IF(L$8='5.Variables'!$B$98,+'5.Variables'!$C101,0))))))</f>
        <v>573.5</v>
      </c>
      <c r="M22" s="267">
        <f>IF(M$8='5.Variables'!$B$10,+'5.Variables'!$C22,+IF(M$8='5.Variables'!$B$33,+'5.Variables'!$C45,+IF(M$8='5.Variables'!$B$56,+'5.Variables'!$C59,+IF(M$8='5.Variables'!$B$70,+'5.Variables'!$C73,+IF(M$8='5.Variables'!$B$84,+'5.Variables'!$C87,+IF(M$8='5.Variables'!$B$98,+'5.Variables'!$C101,0))))))</f>
        <v>0</v>
      </c>
      <c r="N22" s="267">
        <f>IF(N$8='5.Variables'!$B$10,+'5.Variables'!$C22,+IF(N$8='5.Variables'!$B$33,+'5.Variables'!$C45,+IF(N$8='5.Variables'!$B$56,+'5.Variables'!$C59,+IF(N$8='5.Variables'!$B$70,+'5.Variables'!$C73,+IF(N$8='5.Variables'!$B$84,+'5.Variables'!$C87,+IF(N$8='5.Variables'!$B$98,+'5.Variables'!$C101,0))))))</f>
        <v>0</v>
      </c>
      <c r="O22" s="267">
        <f>IF(O$8='5.Variables'!$B$10,+'5.Variables'!$C22,+IF(O$8='5.Variables'!$B$33,+'5.Variables'!$C45,+IF(O$8='5.Variables'!$B$56,+'5.Variables'!$C59,+IF(O$8='5.Variables'!$B$70,+'5.Variables'!$C73,+IF(O$8='5.Variables'!$B$84,+'5.Variables'!$C87,+IF(O$8='5.Variables'!$B$98,+'5.Variables'!$C101,0))))))</f>
        <v>-0.36640000000000006</v>
      </c>
      <c r="P22" s="267">
        <f>IF(P$8='5.Variables'!$B$10,+'5.Variables'!$C22,+IF(P$8='5.Variables'!$B$33,+'5.Variables'!$C45,+IF(P$8='5.Variables'!$B$56,+'5.Variables'!$C59,+IF(P$8='5.Variables'!$B$70,+'5.Variables'!$C73,+IF(P$8='5.Variables'!$B$84,+'5.Variables'!$C87,+IF(P$8='5.Variables'!$B$98,+'5.Variables'!$C101,0))))))</f>
        <v>31</v>
      </c>
      <c r="Q22" s="240"/>
      <c r="R22" s="268">
        <f t="shared" si="1"/>
        <v>10993798.714364832</v>
      </c>
      <c r="S22" s="272"/>
      <c r="T22" s="240"/>
      <c r="U22"/>
      <c r="V22"/>
      <c r="W22"/>
      <c r="X22"/>
      <c r="Y22"/>
      <c r="Z22"/>
      <c r="AA22"/>
      <c r="AB22"/>
      <c r="AC22"/>
      <c r="AD22" s="264"/>
      <c r="AE22" s="240"/>
      <c r="AF22" s="240"/>
      <c r="AG22" s="240"/>
      <c r="AH22" s="240"/>
      <c r="AI22" s="240"/>
      <c r="AJ22" s="240"/>
      <c r="AK22" s="240"/>
      <c r="AL22" s="240"/>
      <c r="AM22" s="240"/>
    </row>
    <row r="23" spans="1:39" x14ac:dyDescent="0.2">
      <c r="A23" s="675">
        <f t="shared" si="2"/>
        <v>14</v>
      </c>
      <c r="B23" s="266" t="str">
        <f>CONCATENATE('3. Consumption by Rate Class'!B29,"-",'3. Consumption by Rate Class'!C29)</f>
        <v>2006-February</v>
      </c>
      <c r="C23" s="270">
        <v>10170032</v>
      </c>
      <c r="D23" s="252">
        <f>+'X.1.CDM Calculation'!H20</f>
        <v>7741.1429445644626</v>
      </c>
      <c r="E23" s="252"/>
      <c r="F23" s="252"/>
      <c r="G23" s="252"/>
      <c r="H23" s="731"/>
      <c r="I23" s="731"/>
      <c r="J23" s="268">
        <f t="shared" si="0"/>
        <v>10177773.142944565</v>
      </c>
      <c r="K23" s="267">
        <f>IF(K$8='5.Variables'!$B$10,+'5.Variables'!$D22,+IF(K$8='5.Variables'!$B$33,+'5.Variables'!$D45,+IF(K$8='5.Variables'!$B$56,+'5.Variables'!$D59,+IF(K$8='5.Variables'!$B$70,+'5.Variables'!$D73,+IF(K$8='5.Variables'!$B$84,+'5.Variables'!$D87,+IF(K$8='5.Variables'!$B$98,+'5.Variables'!$D101,0))))))</f>
        <v>10582</v>
      </c>
      <c r="L23" s="267">
        <f>IF(L$8='5.Variables'!$B$10,+'5.Variables'!$D22,+IF(L$8='5.Variables'!$B$33,+'5.Variables'!$D45,+IF(L$8='5.Variables'!$B$56,+'5.Variables'!$D59,+IF(L$8='5.Variables'!$B$70,+'5.Variables'!$D73,+IF(L$8='5.Variables'!$B$84,+'5.Variables'!$D87,+IF(L$8='5.Variables'!$B$98,+'5.Variables'!$D101,0))))))</f>
        <v>630.6</v>
      </c>
      <c r="M23" s="267">
        <f>IF(M$8='5.Variables'!$B$10,+'5.Variables'!$D22,+IF(M$8='5.Variables'!$B$33,+'5.Variables'!$D45,+IF(M$8='5.Variables'!$B$56,+'5.Variables'!$D59,+IF(M$8='5.Variables'!$B$70,+'5.Variables'!$D73,+IF(M$8='5.Variables'!$B$84,+'5.Variables'!$D87,+IF(M$8='5.Variables'!$B$98,+'5.Variables'!$D101,0))))))</f>
        <v>0</v>
      </c>
      <c r="N23" s="267">
        <f>IF(N$8='5.Variables'!$B$10,+'5.Variables'!$D22,+IF(N$8='5.Variables'!$B$33,+'5.Variables'!$D45,+IF(N$8='5.Variables'!$B$56,+'5.Variables'!$D59,+IF(N$8='5.Variables'!$B$70,+'5.Variables'!$D73,+IF(N$8='5.Variables'!$B$84,+'5.Variables'!$D87,+IF(N$8='5.Variables'!$B$98,+'5.Variables'!$D101,0))))))</f>
        <v>0</v>
      </c>
      <c r="O23" s="267">
        <f>IF(O$8='5.Variables'!$B$10,+'5.Variables'!$D22,+IF(O$8='5.Variables'!$B$33,+'5.Variables'!$D45,+IF(O$8='5.Variables'!$B$56,+'5.Variables'!$D59,+IF(O$8='5.Variables'!$B$70,+'5.Variables'!$D73,+IF(O$8='5.Variables'!$B$84,+'5.Variables'!$D87,+IF(O$8='5.Variables'!$B$98,+'5.Variables'!$D101,0))))))</f>
        <v>-0.58590000000000009</v>
      </c>
      <c r="P23" s="267">
        <f>IF(P$8='5.Variables'!$B$10,+'5.Variables'!$D22,+IF(P$8='5.Variables'!$B$33,+'5.Variables'!$D45,+IF(P$8='5.Variables'!$B$56,+'5.Variables'!$D59,+IF(P$8='5.Variables'!$B$70,+'5.Variables'!$D73,+IF(P$8='5.Variables'!$B$84,+'5.Variables'!$D87,+IF(P$8='5.Variables'!$B$98,+'5.Variables'!$D101,0))))))</f>
        <v>28</v>
      </c>
      <c r="Q23" s="240"/>
      <c r="R23" s="268">
        <f t="shared" si="1"/>
        <v>10113874.378198911</v>
      </c>
      <c r="S23" s="272"/>
      <c r="T23" s="240"/>
      <c r="U23" s="290"/>
      <c r="V23" s="290" t="s">
        <v>23</v>
      </c>
      <c r="W23" s="290" t="s">
        <v>11</v>
      </c>
      <c r="X23" s="290" t="s">
        <v>24</v>
      </c>
      <c r="Y23" s="290" t="s">
        <v>25</v>
      </c>
      <c r="Z23" s="290" t="s">
        <v>26</v>
      </c>
      <c r="AA23" s="290" t="s">
        <v>27</v>
      </c>
      <c r="AB23" s="290" t="s">
        <v>28</v>
      </c>
      <c r="AC23" s="290" t="s">
        <v>29</v>
      </c>
      <c r="AD23" s="264"/>
      <c r="AE23" s="240"/>
      <c r="AF23" s="240"/>
      <c r="AG23" s="240"/>
      <c r="AH23" s="240"/>
      <c r="AI23" s="240"/>
      <c r="AJ23" s="240"/>
      <c r="AK23" s="240"/>
      <c r="AL23" s="240"/>
      <c r="AM23" s="240"/>
    </row>
    <row r="24" spans="1:39" x14ac:dyDescent="0.2">
      <c r="A24" s="675">
        <f t="shared" si="2"/>
        <v>15</v>
      </c>
      <c r="B24" s="266" t="str">
        <f>CONCATENATE('3. Consumption by Rate Class'!B30,"-",'3. Consumption by Rate Class'!C30)</f>
        <v>2006-March</v>
      </c>
      <c r="C24" s="270">
        <v>10248021</v>
      </c>
      <c r="D24" s="252">
        <f>+'X.1.CDM Calculation'!H21</f>
        <v>12901.904907607437</v>
      </c>
      <c r="E24" s="731"/>
      <c r="F24" s="252"/>
      <c r="G24" s="252"/>
      <c r="H24" s="731"/>
      <c r="I24" s="731"/>
      <c r="J24" s="268">
        <f t="shared" si="0"/>
        <v>10260922.904907607</v>
      </c>
      <c r="K24" s="267">
        <f>IF(K$8='5.Variables'!$B$10,+'5.Variables'!$E22,+IF(K$8='5.Variables'!$B$33,+'5.Variables'!$E45,+IF(K$8='5.Variables'!$B$56,+'5.Variables'!$E59,+IF(K$8='5.Variables'!$B$70,+'5.Variables'!$E73,+IF(K$8='5.Variables'!$B$84,+'5.Variables'!$E87,+IF(K$8='5.Variables'!$B$98,+'5.Variables'!$E101,0))))))</f>
        <v>10596</v>
      </c>
      <c r="L24" s="267">
        <f>IF(L$8='5.Variables'!$B$10,+'5.Variables'!$E22,+IF(L$8='5.Variables'!$B$33,+'5.Variables'!$E45,+IF(L$8='5.Variables'!$B$56,+'5.Variables'!$E59,+IF(L$8='5.Variables'!$B$70,+'5.Variables'!$E73,+IF(L$8='5.Variables'!$B$84,+'5.Variables'!$E87,+IF(L$8='5.Variables'!$B$98,+'5.Variables'!$E101,0))))))</f>
        <v>555.29999999999995</v>
      </c>
      <c r="M24" s="267">
        <f>IF(M$8='5.Variables'!$B$10,+'5.Variables'!$E22,+IF(M$8='5.Variables'!$B$33,+'5.Variables'!$E45,+IF(M$8='5.Variables'!$B$56,+'5.Variables'!$E59,+IF(M$8='5.Variables'!$B$70,+'5.Variables'!$E73,+IF(M$8='5.Variables'!$B$84,+'5.Variables'!$E87,+IF(M$8='5.Variables'!$B$98,+'5.Variables'!$E101,0))))))</f>
        <v>0</v>
      </c>
      <c r="N24" s="267">
        <f>IF(N$8='5.Variables'!$B$10,+'5.Variables'!$E22,+IF(N$8='5.Variables'!$B$33,+'5.Variables'!$E45,+IF(N$8='5.Variables'!$B$56,+'5.Variables'!$E59,+IF(N$8='5.Variables'!$B$70,+'5.Variables'!$E73,+IF(N$8='5.Variables'!$B$84,+'5.Variables'!$E87,+IF(N$8='5.Variables'!$B$98,+'5.Variables'!$E101,0))))))</f>
        <v>1</v>
      </c>
      <c r="O24" s="267">
        <f>IF(O$8='5.Variables'!$B$10,+'5.Variables'!$E22,+IF(O$8='5.Variables'!$B$33,+'5.Variables'!$E45,+IF(O$8='5.Variables'!$B$56,+'5.Variables'!$E59,+IF(O$8='5.Variables'!$B$70,+'5.Variables'!$E73,+IF(O$8='5.Variables'!$B$84,+'5.Variables'!$E87,+IF(O$8='5.Variables'!$B$98,+'5.Variables'!$E101,0))))))</f>
        <v>-0.80540000000000012</v>
      </c>
      <c r="P24" s="267">
        <f>IF(P$8='5.Variables'!$B$10,+'5.Variables'!$E22,+IF(P$8='5.Variables'!$B$33,+'5.Variables'!$E45,+IF(P$8='5.Variables'!$B$56,+'5.Variables'!$E59,+IF(P$8='5.Variables'!$B$70,+'5.Variables'!$E73,+IF(P$8='5.Variables'!$B$84,+'5.Variables'!$E87,+IF(P$8='5.Variables'!$B$98,+'5.Variables'!$E101,0))))))</f>
        <v>31</v>
      </c>
      <c r="Q24" s="240"/>
      <c r="R24" s="268">
        <f t="shared" si="1"/>
        <v>10101425.133003552</v>
      </c>
      <c r="S24" s="272"/>
      <c r="T24" s="240"/>
      <c r="U24" s="288" t="s">
        <v>17</v>
      </c>
      <c r="V24" s="288">
        <v>-25414449.812740594</v>
      </c>
      <c r="W24" s="288">
        <v>3331966.8838102408</v>
      </c>
      <c r="X24" s="288">
        <v>-7.6274617062454499</v>
      </c>
      <c r="Y24" s="288">
        <v>8.1438337543756257E-12</v>
      </c>
      <c r="Z24" s="288">
        <v>-32015677.161165521</v>
      </c>
      <c r="AA24" s="288">
        <v>-18813222.464315668</v>
      </c>
      <c r="AB24" s="288">
        <v>-32015677.161165521</v>
      </c>
      <c r="AC24" s="288">
        <v>-18813222.464315668</v>
      </c>
      <c r="AD24" s="264"/>
      <c r="AE24" s="240"/>
      <c r="AF24" s="240"/>
      <c r="AG24" s="240"/>
      <c r="AH24" s="240"/>
      <c r="AI24" s="240"/>
      <c r="AJ24" s="240"/>
      <c r="AK24" s="240"/>
      <c r="AL24" s="240"/>
      <c r="AM24" s="240"/>
    </row>
    <row r="25" spans="1:39" x14ac:dyDescent="0.2">
      <c r="A25" s="675">
        <f t="shared" si="2"/>
        <v>16</v>
      </c>
      <c r="B25" s="266" t="str">
        <f>CONCATENATE('3. Consumption by Rate Class'!B31,"-",'3. Consumption by Rate Class'!C31)</f>
        <v>2006-April</v>
      </c>
      <c r="C25" s="270">
        <v>7986665</v>
      </c>
      <c r="D25" s="252">
        <f>+'X.1.CDM Calculation'!H22</f>
        <v>18062.666870650413</v>
      </c>
      <c r="E25" s="731"/>
      <c r="F25" s="252"/>
      <c r="G25" s="252"/>
      <c r="H25" s="731"/>
      <c r="I25" s="731"/>
      <c r="J25" s="268">
        <f t="shared" si="0"/>
        <v>8004727.6668706508</v>
      </c>
      <c r="K25" s="267">
        <f>IF(K$8='5.Variables'!$B$10,+'5.Variables'!$F22,+IF(K$8='5.Variables'!$B$33,+'5.Variables'!$F45,+IF(K$8='5.Variables'!$B$56,+'5.Variables'!$F59,+IF(K$8='5.Variables'!$B$70,+'5.Variables'!$F73,+IF(K$8='5.Variables'!$B$84,+'5.Variables'!$F87,+IF(K$8='5.Variables'!$B$98,+'5.Variables'!$F101,0))))))</f>
        <v>10634</v>
      </c>
      <c r="L25" s="267">
        <f>IF(L$8='5.Variables'!$B$10,+'5.Variables'!$F22,+IF(L$8='5.Variables'!$B$33,+'5.Variables'!$F45,+IF(L$8='5.Variables'!$B$56,+'5.Variables'!$F59,+IF(L$8='5.Variables'!$B$70,+'5.Variables'!$F73,+IF(L$8='5.Variables'!$B$84,+'5.Variables'!$F87,+IF(L$8='5.Variables'!$B$98,+'5.Variables'!$F101,0))))))</f>
        <v>323.8</v>
      </c>
      <c r="M25" s="267">
        <f>IF(M$8='5.Variables'!$B$10,+'5.Variables'!$F22,+IF(M$8='5.Variables'!$B$33,+'5.Variables'!$F45,+IF(M$8='5.Variables'!$B$56,+'5.Variables'!$F59,+IF(M$8='5.Variables'!$B$70,+'5.Variables'!$F73,+IF(M$8='5.Variables'!$B$84,+'5.Variables'!$F87,+IF(M$8='5.Variables'!$B$98,+'5.Variables'!$F101,0))))))</f>
        <v>0</v>
      </c>
      <c r="N25" s="267">
        <f>IF(N$8='5.Variables'!$B$10,+'5.Variables'!$F22,+IF(N$8='5.Variables'!$B$33,+'5.Variables'!$F45,+IF(N$8='5.Variables'!$B$56,+'5.Variables'!$F59,+IF(N$8='5.Variables'!$B$70,+'5.Variables'!$F73,+IF(N$8='5.Variables'!$B$84,+'5.Variables'!$F87,+IF(N$8='5.Variables'!$B$98,+'5.Variables'!$F101,0))))))</f>
        <v>1</v>
      </c>
      <c r="O25" s="267">
        <f>IF(O$8='5.Variables'!$B$10,+'5.Variables'!$F22,+IF(O$8='5.Variables'!$B$33,+'5.Variables'!$F45,+IF(O$8='5.Variables'!$B$56,+'5.Variables'!$F59,+IF(O$8='5.Variables'!$B$70,+'5.Variables'!$F73,+IF(O$8='5.Variables'!$B$84,+'5.Variables'!$F87,+IF(O$8='5.Variables'!$B$98,+'5.Variables'!$F101,0))))))</f>
        <v>-1.0249000000000001</v>
      </c>
      <c r="P25" s="267">
        <f>IF(P$8='5.Variables'!$B$10,+'5.Variables'!$F22,+IF(P$8='5.Variables'!$B$33,+'5.Variables'!$F45,+IF(P$8='5.Variables'!$B$56,+'5.Variables'!$F59,+IF(P$8='5.Variables'!$B$70,+'5.Variables'!$F73,+IF(P$8='5.Variables'!$B$84,+'5.Variables'!$F87,+IF(P$8='5.Variables'!$B$98,+'5.Variables'!$F101,0))))))</f>
        <v>30</v>
      </c>
      <c r="Q25" s="240"/>
      <c r="R25" s="268">
        <f t="shared" si="1"/>
        <v>8461968.1337679513</v>
      </c>
      <c r="S25" s="272"/>
      <c r="T25" s="240"/>
      <c r="U25" s="288" t="str">
        <f>+K8</f>
        <v>Customer Count</v>
      </c>
      <c r="V25" s="288">
        <v>1908.1759878966866</v>
      </c>
      <c r="W25" s="288">
        <v>296.0152107296862</v>
      </c>
      <c r="X25" s="288">
        <v>6.4462092444269219</v>
      </c>
      <c r="Y25" s="288">
        <v>2.9234902706774175E-9</v>
      </c>
      <c r="Z25" s="288">
        <v>1321.7164663110398</v>
      </c>
      <c r="AA25" s="288">
        <v>2494.6355094823334</v>
      </c>
      <c r="AB25" s="288">
        <v>1321.7164663110398</v>
      </c>
      <c r="AC25" s="288">
        <v>2494.6355094823334</v>
      </c>
      <c r="AD25" s="264"/>
      <c r="AE25" s="240"/>
      <c r="AF25" s="240"/>
      <c r="AG25" s="240"/>
      <c r="AH25" s="240"/>
      <c r="AI25" s="240"/>
      <c r="AJ25" s="240"/>
      <c r="AK25" s="240"/>
      <c r="AL25" s="240"/>
      <c r="AM25" s="240"/>
    </row>
    <row r="26" spans="1:39" x14ac:dyDescent="0.2">
      <c r="A26" s="675">
        <f t="shared" si="2"/>
        <v>17</v>
      </c>
      <c r="B26" s="266" t="str">
        <f>CONCATENATE('3. Consumption by Rate Class'!B32,"-",'3. Consumption by Rate Class'!C32)</f>
        <v>2006-May</v>
      </c>
      <c r="C26" s="270">
        <v>8225607</v>
      </c>
      <c r="D26" s="252">
        <f>+'X.1.CDM Calculation'!H23</f>
        <v>23223.42883369339</v>
      </c>
      <c r="E26" s="731"/>
      <c r="F26" s="252"/>
      <c r="G26" s="252"/>
      <c r="H26" s="731"/>
      <c r="I26" s="731"/>
      <c r="J26" s="268">
        <f t="shared" si="0"/>
        <v>8248830.4288336933</v>
      </c>
      <c r="K26" s="267">
        <f>IF(K$8='5.Variables'!$B$10,+'5.Variables'!$G22,+IF(K$8='5.Variables'!$B$33,+'5.Variables'!$G45,+IF(K$8='5.Variables'!$B$56,+'5.Variables'!$G59,+IF(K$8='5.Variables'!$B$70,+'5.Variables'!$G73,+IF(K$8='5.Variables'!$B$84,+'5.Variables'!$G87,+IF(K$8='5.Variables'!$B$98,+'5.Variables'!$G101,0))))))</f>
        <v>10671</v>
      </c>
      <c r="L26" s="267">
        <f>IF(L$8='5.Variables'!$B$10,+'5.Variables'!$G22,+IF(L$8='5.Variables'!$B$33,+'5.Variables'!$G45,+IF(L$8='5.Variables'!$B$56,+'5.Variables'!$G59,+IF(L$8='5.Variables'!$B$70,+'5.Variables'!$G73,+IF(L$8='5.Variables'!$B$84,+'5.Variables'!$G87,+IF(L$8='5.Variables'!$B$98,+'5.Variables'!$G101,0))))))</f>
        <v>160.9</v>
      </c>
      <c r="M26" s="267">
        <f>IF(M$8='5.Variables'!$B$10,+'5.Variables'!$G22,+IF(M$8='5.Variables'!$B$33,+'5.Variables'!$G45,+IF(M$8='5.Variables'!$B$56,+'5.Variables'!$G59,+IF(M$8='5.Variables'!$B$70,+'5.Variables'!$G73,+IF(M$8='5.Variables'!$B$84,+'5.Variables'!$G87,+IF(M$8='5.Variables'!$B$98,+'5.Variables'!$G101,0))))))</f>
        <v>15.6</v>
      </c>
      <c r="N26" s="267">
        <f>IF(N$8='5.Variables'!$B$10,+'5.Variables'!$G22,+IF(N$8='5.Variables'!$B$33,+'5.Variables'!$G45,+IF(N$8='5.Variables'!$B$56,+'5.Variables'!$G59,+IF(N$8='5.Variables'!$B$70,+'5.Variables'!$G73,+IF(N$8='5.Variables'!$B$84,+'5.Variables'!$G87,+IF(N$8='5.Variables'!$B$98,+'5.Variables'!$G101,0))))))</f>
        <v>1</v>
      </c>
      <c r="O26" s="267">
        <f>IF(O$8='5.Variables'!$B$10,+'5.Variables'!$G22,+IF(O$8='5.Variables'!$B$33,+'5.Variables'!$G45,+IF(O$8='5.Variables'!$B$56,+'5.Variables'!$G59,+IF(O$8='5.Variables'!$B$70,+'5.Variables'!$G73,+IF(O$8='5.Variables'!$B$84,+'5.Variables'!$G87,+IF(O$8='5.Variables'!$B$98,+'5.Variables'!$G101,0))))))</f>
        <v>-1.2444000000000002</v>
      </c>
      <c r="P26" s="267">
        <f>IF(P$8='5.Variables'!$B$10,+'5.Variables'!$G22,+IF(P$8='5.Variables'!$B$33,+'5.Variables'!$G45,+IF(P$8='5.Variables'!$B$56,+'5.Variables'!$G59,+IF(P$8='5.Variables'!$B$70,+'5.Variables'!$G73,+IF(P$8='5.Variables'!$B$84,+'5.Variables'!$G87,+IF(P$8='5.Variables'!$B$98,+'5.Variables'!$G101,0))))))</f>
        <v>31</v>
      </c>
      <c r="Q26" s="240"/>
      <c r="R26" s="268">
        <f t="shared" si="1"/>
        <v>8481484.6852713414</v>
      </c>
      <c r="S26" s="272"/>
      <c r="T26" s="240"/>
      <c r="U26" s="288" t="str">
        <f>+L8</f>
        <v>HDD</v>
      </c>
      <c r="V26" s="288">
        <v>5447.393588543956</v>
      </c>
      <c r="W26" s="288">
        <v>203.13313517450652</v>
      </c>
      <c r="X26" s="288">
        <v>26.816863648878545</v>
      </c>
      <c r="Y26" s="288">
        <v>8.1894040885717323E-51</v>
      </c>
      <c r="Z26" s="288">
        <v>5044.9502107898998</v>
      </c>
      <c r="AA26" s="288">
        <v>5849.8369662980122</v>
      </c>
      <c r="AB26" s="288">
        <v>5044.9502107898998</v>
      </c>
      <c r="AC26" s="288">
        <v>5849.8369662980122</v>
      </c>
      <c r="AD26" s="264"/>
      <c r="AE26" s="240"/>
      <c r="AF26" s="240"/>
      <c r="AG26" s="240"/>
      <c r="AH26" s="240"/>
      <c r="AI26" s="240"/>
      <c r="AJ26" s="240"/>
      <c r="AK26" s="240"/>
      <c r="AL26" s="240"/>
      <c r="AM26" s="240"/>
    </row>
    <row r="27" spans="1:39" x14ac:dyDescent="0.2">
      <c r="A27" s="675">
        <f t="shared" si="2"/>
        <v>18</v>
      </c>
      <c r="B27" s="266" t="str">
        <f>CONCATENATE('3. Consumption by Rate Class'!B33,"-",'3. Consumption by Rate Class'!C33)</f>
        <v>2006-June</v>
      </c>
      <c r="C27" s="270">
        <v>8533586</v>
      </c>
      <c r="D27" s="252">
        <f>+'X.1.CDM Calculation'!H24</f>
        <v>28384.190796736366</v>
      </c>
      <c r="E27" s="731"/>
      <c r="F27" s="252"/>
      <c r="G27" s="252"/>
      <c r="H27" s="731"/>
      <c r="I27" s="731"/>
      <c r="J27" s="268">
        <f t="shared" si="0"/>
        <v>8561970.1907967366</v>
      </c>
      <c r="K27" s="267">
        <f>IF(K$8='5.Variables'!$B$10,+'5.Variables'!$H22,+IF(K$8='5.Variables'!$B$33,+'5.Variables'!$H45,+IF(K$8='5.Variables'!$B$56,+'5.Variables'!$H59,+IF(K$8='5.Variables'!$B$70,+'5.Variables'!$H73,+IF(K$8='5.Variables'!$B$84,+'5.Variables'!$H87,+IF(K$8='5.Variables'!$B$98,+'5.Variables'!$H101,0))))))</f>
        <v>10710</v>
      </c>
      <c r="L27" s="267">
        <f>IF(L$8='5.Variables'!$B$10,+'5.Variables'!$H22,+IF(L$8='5.Variables'!$B$33,+'5.Variables'!$H45,+IF(L$8='5.Variables'!$B$56,+'5.Variables'!$H59,+IF(L$8='5.Variables'!$B$70,+'5.Variables'!$H73,+IF(L$8='5.Variables'!$B$84,+'5.Variables'!$H87,+IF(L$8='5.Variables'!$B$98,+'5.Variables'!$H101,0))))))</f>
        <v>46.1</v>
      </c>
      <c r="M27" s="267">
        <f>IF(M$8='5.Variables'!$B$10,+'5.Variables'!$H22,+IF(M$8='5.Variables'!$B$33,+'5.Variables'!$H45,+IF(M$8='5.Variables'!$B$56,+'5.Variables'!$H59,+IF(M$8='5.Variables'!$B$70,+'5.Variables'!$H73,+IF(M$8='5.Variables'!$B$84,+'5.Variables'!$H87,+IF(M$8='5.Variables'!$B$98,+'5.Variables'!$H101,0))))))</f>
        <v>44.9</v>
      </c>
      <c r="N27" s="267">
        <f>IF(N$8='5.Variables'!$B$10,+'5.Variables'!$H22,+IF(N$8='5.Variables'!$B$33,+'5.Variables'!$H45,+IF(N$8='5.Variables'!$B$56,+'5.Variables'!$H59,+IF(N$8='5.Variables'!$B$70,+'5.Variables'!$H73,+IF(N$8='5.Variables'!$B$84,+'5.Variables'!$H87,+IF(N$8='5.Variables'!$B$98,+'5.Variables'!$H101,0))))))</f>
        <v>0</v>
      </c>
      <c r="O27" s="267">
        <f>IF(O$8='5.Variables'!$B$10,+'5.Variables'!$H22,+IF(O$8='5.Variables'!$B$33,+'5.Variables'!$H45,+IF(O$8='5.Variables'!$B$56,+'5.Variables'!$H59,+IF(O$8='5.Variables'!$B$70,+'5.Variables'!$H73,+IF(O$8='5.Variables'!$B$84,+'5.Variables'!$H87,+IF(O$8='5.Variables'!$B$98,+'5.Variables'!$H101,0))))))</f>
        <v>-1.4639000000000002</v>
      </c>
      <c r="P27" s="267">
        <f>IF(P$8='5.Variables'!$B$10,+'5.Variables'!$H22,+IF(P$8='5.Variables'!$B$33,+'5.Variables'!$H45,+IF(P$8='5.Variables'!$B$56,+'5.Variables'!$H59,+IF(P$8='5.Variables'!$B$70,+'5.Variables'!$H73,+IF(P$8='5.Variables'!$B$84,+'5.Variables'!$H87,+IF(P$8='5.Variables'!$B$98,+'5.Variables'!$H101,0))))))</f>
        <v>30</v>
      </c>
      <c r="Q27" s="240"/>
      <c r="R27" s="268">
        <f t="shared" si="1"/>
        <v>9179415.0769465044</v>
      </c>
      <c r="S27" s="272"/>
      <c r="T27" s="240"/>
      <c r="U27" s="288" t="str">
        <f>+M8</f>
        <v>CDD</v>
      </c>
      <c r="V27" s="288">
        <v>27732.405656085339</v>
      </c>
      <c r="W27" s="288">
        <v>1586.2493658809597</v>
      </c>
      <c r="X27" s="288">
        <v>17.483005038544817</v>
      </c>
      <c r="Y27" s="288">
        <v>6.3883961148032303E-34</v>
      </c>
      <c r="Z27" s="288">
        <v>24589.759567268018</v>
      </c>
      <c r="AA27" s="288">
        <v>30875.051744902659</v>
      </c>
      <c r="AB27" s="288">
        <v>24589.759567268018</v>
      </c>
      <c r="AC27" s="288">
        <v>30875.051744902659</v>
      </c>
      <c r="AD27" s="264"/>
      <c r="AE27" s="240"/>
      <c r="AF27" s="240"/>
      <c r="AG27" s="240"/>
      <c r="AH27" s="240"/>
      <c r="AI27" s="240"/>
      <c r="AJ27" s="240"/>
      <c r="AK27" s="240"/>
      <c r="AL27" s="240"/>
      <c r="AM27" s="240"/>
    </row>
    <row r="28" spans="1:39" x14ac:dyDescent="0.2">
      <c r="A28" s="675">
        <f t="shared" si="2"/>
        <v>19</v>
      </c>
      <c r="B28" s="266" t="str">
        <f>CONCATENATE('3. Consumption by Rate Class'!B34,"-",'3. Consumption by Rate Class'!C34)</f>
        <v>2006-July</v>
      </c>
      <c r="C28" s="270">
        <v>11494679</v>
      </c>
      <c r="D28" s="252">
        <f>+'X.1.CDM Calculation'!H25</f>
        <v>33544.952759779342</v>
      </c>
      <c r="E28" s="731"/>
      <c r="F28" s="252"/>
      <c r="G28" s="252"/>
      <c r="H28" s="731"/>
      <c r="I28" s="731"/>
      <c r="J28" s="268">
        <f t="shared" si="0"/>
        <v>11528223.95275978</v>
      </c>
      <c r="K28" s="267">
        <f>IF(K$8='5.Variables'!$B$10,+'5.Variables'!$I22,+IF(K$8='5.Variables'!$B$33,+'5.Variables'!$I45,+IF(K$8='5.Variables'!$B$56,+'5.Variables'!$I59,+IF(K$8='5.Variables'!$B$70,+'5.Variables'!$I73,+IF(K$8='5.Variables'!$B$84,+'5.Variables'!$I87,+IF(K$8='5.Variables'!$B$98,+'5.Variables'!$I101,0))))))</f>
        <v>10733</v>
      </c>
      <c r="L28" s="267">
        <f>IF(L$8='5.Variables'!$B$10,+'5.Variables'!$I22,+IF(L$8='5.Variables'!$B$33,+'5.Variables'!$I45,+IF(L$8='5.Variables'!$B$56,+'5.Variables'!$I59,+IF(L$8='5.Variables'!$B$70,+'5.Variables'!$I73,+IF(L$8='5.Variables'!$B$84,+'5.Variables'!$I87,+IF(L$8='5.Variables'!$B$98,+'5.Variables'!$I101,0))))))</f>
        <v>2.5</v>
      </c>
      <c r="M28" s="267">
        <f>IF(M$8='5.Variables'!$B$10,+'5.Variables'!$I22,+IF(M$8='5.Variables'!$B$33,+'5.Variables'!$I45,+IF(M$8='5.Variables'!$B$56,+'5.Variables'!$I59,+IF(M$8='5.Variables'!$B$70,+'5.Variables'!$I73,+IF(M$8='5.Variables'!$B$84,+'5.Variables'!$I87,+IF(M$8='5.Variables'!$B$98,+'5.Variables'!$I101,0))))))</f>
        <v>141.4</v>
      </c>
      <c r="N28" s="267">
        <f>IF(N$8='5.Variables'!$B$10,+'5.Variables'!$I22,+IF(N$8='5.Variables'!$B$33,+'5.Variables'!$I45,+IF(N$8='5.Variables'!$B$56,+'5.Variables'!$I59,+IF(N$8='5.Variables'!$B$70,+'5.Variables'!$I73,+IF(N$8='5.Variables'!$B$84,+'5.Variables'!$I87,+IF(N$8='5.Variables'!$B$98,+'5.Variables'!$I101,0))))))</f>
        <v>0</v>
      </c>
      <c r="O28" s="267">
        <f>IF(O$8='5.Variables'!$B$10,+'5.Variables'!$I22,+IF(O$8='5.Variables'!$B$33,+'5.Variables'!$I45,+IF(O$8='5.Variables'!$B$56,+'5.Variables'!$I59,+IF(O$8='5.Variables'!$B$70,+'5.Variables'!$I73,+IF(O$8='5.Variables'!$B$84,+'5.Variables'!$I87,+IF(O$8='5.Variables'!$B$98,+'5.Variables'!$I101,0))))))</f>
        <v>-1.6833999999999998</v>
      </c>
      <c r="P28" s="267">
        <f>IF(P$8='5.Variables'!$B$10,+'5.Variables'!$I22,+IF(P$8='5.Variables'!$B$33,+'5.Variables'!$I45,+IF(P$8='5.Variables'!$B$56,+'5.Variables'!$I59,+IF(P$8='5.Variables'!$B$70,+'5.Variables'!$I73,+IF(P$8='5.Variables'!$B$84,+'5.Variables'!$I87,+IF(P$8='5.Variables'!$B$98,+'5.Variables'!$I101,0))))))</f>
        <v>31</v>
      </c>
      <c r="Q28" s="240"/>
      <c r="R28" s="268">
        <f t="shared" si="1"/>
        <v>12065642.837309938</v>
      </c>
      <c r="S28" s="272"/>
      <c r="T28" s="240"/>
      <c r="U28" s="288" t="str">
        <f>+N8</f>
        <v>Spring Fall Flag</v>
      </c>
      <c r="V28" s="288">
        <v>-887208.89741648198</v>
      </c>
      <c r="W28" s="288">
        <v>84390.433742001696</v>
      </c>
      <c r="X28" s="288">
        <v>-10.513145365846272</v>
      </c>
      <c r="Y28" s="288">
        <v>1.9295852864648457E-18</v>
      </c>
      <c r="Z28" s="288">
        <v>-1054401.5672686202</v>
      </c>
      <c r="AA28" s="288">
        <v>-720016.22756434383</v>
      </c>
      <c r="AB28" s="288">
        <v>-1054401.5672686202</v>
      </c>
      <c r="AC28" s="288">
        <v>-720016.22756434383</v>
      </c>
      <c r="AD28" s="264"/>
      <c r="AE28" s="240"/>
      <c r="AF28" s="240"/>
      <c r="AG28" s="240"/>
      <c r="AH28" s="240"/>
      <c r="AI28" s="240"/>
      <c r="AJ28" s="240"/>
      <c r="AK28" s="240"/>
      <c r="AL28" s="240"/>
      <c r="AM28" s="240"/>
    </row>
    <row r="29" spans="1:39" x14ac:dyDescent="0.2">
      <c r="A29" s="675">
        <f t="shared" si="2"/>
        <v>20</v>
      </c>
      <c r="B29" s="266" t="str">
        <f>CONCATENATE('3. Consumption by Rate Class'!B35,"-",'3. Consumption by Rate Class'!C35)</f>
        <v>2006-August</v>
      </c>
      <c r="C29" s="270">
        <v>10408518</v>
      </c>
      <c r="D29" s="252">
        <f>+'X.1.CDM Calculation'!H26</f>
        <v>38705.714722822318</v>
      </c>
      <c r="E29" s="731"/>
      <c r="F29" s="252"/>
      <c r="G29" s="252"/>
      <c r="H29" s="731"/>
      <c r="I29" s="731"/>
      <c r="J29" s="268">
        <f t="shared" si="0"/>
        <v>10447223.714722821</v>
      </c>
      <c r="K29" s="267">
        <f>IF(K$8='5.Variables'!$B$10,+'5.Variables'!$J22,+IF(K$8='5.Variables'!$B$33,+'5.Variables'!$J45,+IF(K$8='5.Variables'!$B$56,+'5.Variables'!$J59,+IF(K$8='5.Variables'!$B$70,+'5.Variables'!$J73,+IF(K$8='5.Variables'!$B$84,+'5.Variables'!$J87,+IF(K$8='5.Variables'!$B$98,+'5.Variables'!$J101,0))))))</f>
        <v>10740</v>
      </c>
      <c r="L29" s="267">
        <f>IF(L$8='5.Variables'!$B$10,+'5.Variables'!$J22,+IF(L$8='5.Variables'!$B$33,+'5.Variables'!$J45,+IF(L$8='5.Variables'!$B$56,+'5.Variables'!$J59,+IF(L$8='5.Variables'!$B$70,+'5.Variables'!$J73,+IF(L$8='5.Variables'!$B$84,+'5.Variables'!$J87,+IF(L$8='5.Variables'!$B$98,+'5.Variables'!$J101,0))))))</f>
        <v>12.1</v>
      </c>
      <c r="M29" s="267">
        <f>IF(M$8='5.Variables'!$B$10,+'5.Variables'!$J22,+IF(M$8='5.Variables'!$B$33,+'5.Variables'!$J45,+IF(M$8='5.Variables'!$B$56,+'5.Variables'!$J59,+IF(M$8='5.Variables'!$B$70,+'5.Variables'!$J73,+IF(M$8='5.Variables'!$B$84,+'5.Variables'!$J87,+IF(M$8='5.Variables'!$B$98,+'5.Variables'!$J101,0))))))</f>
        <v>73.599999999999994</v>
      </c>
      <c r="N29" s="267">
        <f>IF(N$8='5.Variables'!$B$10,+'5.Variables'!$J22,+IF(N$8='5.Variables'!$B$33,+'5.Variables'!$J45,+IF(N$8='5.Variables'!$B$56,+'5.Variables'!$J59,+IF(N$8='5.Variables'!$B$70,+'5.Variables'!$J73,+IF(N$8='5.Variables'!$B$84,+'5.Variables'!$J87,+IF(N$8='5.Variables'!$B$98,+'5.Variables'!$J101,0))))))</f>
        <v>0</v>
      </c>
      <c r="O29" s="267">
        <f>IF(O$8='5.Variables'!$B$10,+'5.Variables'!$J22,+IF(O$8='5.Variables'!$B$33,+'5.Variables'!$J45,+IF(O$8='5.Variables'!$B$56,+'5.Variables'!$J59,+IF(O$8='5.Variables'!$B$70,+'5.Variables'!$J73,+IF(O$8='5.Variables'!$B$84,+'5.Variables'!$J87,+IF(O$8='5.Variables'!$B$98,+'5.Variables'!$J101,0))))))</f>
        <v>-1.9028999999999998</v>
      </c>
      <c r="P29" s="267">
        <f>IF(P$8='5.Variables'!$B$10,+'5.Variables'!$J22,+IF(P$8='5.Variables'!$B$33,+'5.Variables'!$J45,+IF(P$8='5.Variables'!$B$56,+'5.Variables'!$J59,+IF(P$8='5.Variables'!$B$70,+'5.Variables'!$J73,+IF(P$8='5.Variables'!$B$84,+'5.Variables'!$J87,+IF(P$8='5.Variables'!$B$98,+'5.Variables'!$J101,0))))))</f>
        <v>31</v>
      </c>
      <c r="Q29" s="240"/>
      <c r="R29" s="268">
        <f t="shared" si="1"/>
        <v>10227424.372323824</v>
      </c>
      <c r="S29" s="272"/>
      <c r="T29" s="240"/>
      <c r="U29" s="288" t="str">
        <f>+O8</f>
        <v>CPI Index Electrcity Increase Relative to Overall CPI Index (Linear Trended)</v>
      </c>
      <c r="V29" s="288">
        <v>107578.91511994175</v>
      </c>
      <c r="W29" s="288">
        <v>32008.928117725223</v>
      </c>
      <c r="X29" s="288">
        <v>3.3609033930870367</v>
      </c>
      <c r="Y29" s="288">
        <v>1.0604316185563894E-3</v>
      </c>
      <c r="Z29" s="288">
        <v>44163.455407188812</v>
      </c>
      <c r="AA29" s="288">
        <v>170994.37483269471</v>
      </c>
      <c r="AB29" s="288">
        <v>44163.455407188812</v>
      </c>
      <c r="AC29" s="288">
        <v>170994.37483269471</v>
      </c>
      <c r="AD29" s="264"/>
      <c r="AE29" s="240"/>
      <c r="AF29" s="240"/>
      <c r="AG29" s="240"/>
      <c r="AH29" s="240"/>
      <c r="AI29" s="240"/>
      <c r="AJ29" s="240"/>
      <c r="AK29" s="240"/>
      <c r="AL29" s="240"/>
      <c r="AM29" s="240"/>
    </row>
    <row r="30" spans="1:39" ht="13.5" thickBot="1" x14ac:dyDescent="0.25">
      <c r="A30" s="675">
        <f t="shared" si="2"/>
        <v>21</v>
      </c>
      <c r="B30" s="266" t="str">
        <f>CONCATENATE('3. Consumption by Rate Class'!B36,"-",'3. Consumption by Rate Class'!C36)</f>
        <v>2006-September</v>
      </c>
      <c r="C30" s="270">
        <v>8062480</v>
      </c>
      <c r="D30" s="252">
        <f>+'X.1.CDM Calculation'!H27</f>
        <v>43866.476685865295</v>
      </c>
      <c r="E30" s="731"/>
      <c r="F30" s="252"/>
      <c r="G30" s="252"/>
      <c r="H30" s="731"/>
      <c r="I30" s="731"/>
      <c r="J30" s="268">
        <f t="shared" si="0"/>
        <v>8106346.4766858649</v>
      </c>
      <c r="K30" s="267">
        <f>IF(K$8='5.Variables'!$B$10,+'5.Variables'!$K22,+IF(K$8='5.Variables'!$B$33,+'5.Variables'!$K45,+IF(K$8='5.Variables'!$B$56,+'5.Variables'!$K59,+IF(K$8='5.Variables'!$B$70,+'5.Variables'!$K73,+IF(K$8='5.Variables'!$B$84,+'5.Variables'!$K87,+IF(K$8='5.Variables'!$B$98,+'5.Variables'!$K101,0))))))</f>
        <v>10815</v>
      </c>
      <c r="L30" s="267">
        <f>IF(L$8='5.Variables'!$B$10,+'5.Variables'!$K22,+IF(L$8='5.Variables'!$B$33,+'5.Variables'!$K45,+IF(L$8='5.Variables'!$B$56,+'5.Variables'!$K59,+IF(L$8='5.Variables'!$B$70,+'5.Variables'!$K73,+IF(L$8='5.Variables'!$B$84,+'5.Variables'!$K87,+IF(L$8='5.Variables'!$B$98,+'5.Variables'!$K101,0))))))</f>
        <v>98.2</v>
      </c>
      <c r="M30" s="267">
        <f>IF(M$8='5.Variables'!$B$10,+'5.Variables'!$K22,+IF(M$8='5.Variables'!$B$33,+'5.Variables'!$K45,+IF(M$8='5.Variables'!$B$56,+'5.Variables'!$K59,+IF(M$8='5.Variables'!$B$70,+'5.Variables'!$K73,+IF(M$8='5.Variables'!$B$84,+'5.Variables'!$K87,+IF(M$8='5.Variables'!$B$98,+'5.Variables'!$K101,0))))))</f>
        <v>9.1999999999999993</v>
      </c>
      <c r="N30" s="267">
        <f>IF(N$8='5.Variables'!$B$10,+'5.Variables'!$K22,+IF(N$8='5.Variables'!$B$33,+'5.Variables'!$K45,+IF(N$8='5.Variables'!$B$56,+'5.Variables'!$K59,+IF(N$8='5.Variables'!$B$70,+'5.Variables'!$K73,+IF(N$8='5.Variables'!$B$84,+'5.Variables'!$K87,+IF(N$8='5.Variables'!$B$98,+'5.Variables'!$K101,0))))))</f>
        <v>1</v>
      </c>
      <c r="O30" s="267">
        <f>IF(O$8='5.Variables'!$B$10,+'5.Variables'!$K22,+IF(O$8='5.Variables'!$B$33,+'5.Variables'!$K45,+IF(O$8='5.Variables'!$B$56,+'5.Variables'!$K59,+IF(O$8='5.Variables'!$B$70,+'5.Variables'!$K73,+IF(O$8='5.Variables'!$B$84,+'5.Variables'!$K87,+IF(O$8='5.Variables'!$B$98,+'5.Variables'!$K101,0))))))</f>
        <v>-2.1223999999999998</v>
      </c>
      <c r="P30" s="267">
        <f>IF(P$8='5.Variables'!$B$10,+'5.Variables'!$K22,+IF(P$8='5.Variables'!$B$33,+'5.Variables'!$K45,+IF(P$8='5.Variables'!$B$56,+'5.Variables'!$K59,+IF(P$8='5.Variables'!$B$70,+'5.Variables'!$K73,+IF(P$8='5.Variables'!$B$84,+'5.Variables'!$K87,+IF(P$8='5.Variables'!$B$98,+'5.Variables'!$K101,0))))))</f>
        <v>30</v>
      </c>
      <c r="Q30" s="240"/>
      <c r="R30" s="268">
        <f t="shared" si="1"/>
        <v>7715486.2666935846</v>
      </c>
      <c r="S30" s="272"/>
      <c r="T30" s="240"/>
      <c r="U30" s="289" t="str">
        <f>+P8</f>
        <v>Days in Month</v>
      </c>
      <c r="V30" s="289">
        <v>427282.49915891862</v>
      </c>
      <c r="W30" s="289">
        <v>40131.243504100305</v>
      </c>
      <c r="X30" s="289">
        <v>10.647128318245661</v>
      </c>
      <c r="Y30" s="289">
        <v>9.4086096017370307E-19</v>
      </c>
      <c r="Z30" s="289">
        <v>347775.26772970788</v>
      </c>
      <c r="AA30" s="289">
        <v>506789.73058812937</v>
      </c>
      <c r="AB30" s="289">
        <v>347775.26772970788</v>
      </c>
      <c r="AC30" s="289">
        <v>506789.73058812937</v>
      </c>
      <c r="AD30" s="264"/>
      <c r="AE30" s="240"/>
      <c r="AF30" s="240"/>
      <c r="AG30" s="240"/>
      <c r="AH30" s="240"/>
      <c r="AI30" s="240"/>
      <c r="AJ30" s="240"/>
      <c r="AK30" s="240"/>
      <c r="AL30" s="240"/>
      <c r="AM30" s="240"/>
    </row>
    <row r="31" spans="1:39" x14ac:dyDescent="0.2">
      <c r="A31" s="675">
        <f t="shared" si="2"/>
        <v>22</v>
      </c>
      <c r="B31" s="266" t="str">
        <f>CONCATENATE('3. Consumption by Rate Class'!B37,"-",'3. Consumption by Rate Class'!C37)</f>
        <v>2006-October</v>
      </c>
      <c r="C31" s="270">
        <v>8803941</v>
      </c>
      <c r="D31" s="252">
        <f>+'X.1.CDM Calculation'!H28</f>
        <v>49027.238648908271</v>
      </c>
      <c r="E31" s="731"/>
      <c r="F31" s="252"/>
      <c r="G31" s="252"/>
      <c r="H31" s="731"/>
      <c r="I31" s="731"/>
      <c r="J31" s="268">
        <f t="shared" si="0"/>
        <v>8852968.2386489082</v>
      </c>
      <c r="K31" s="267">
        <f>IF(K$8='5.Variables'!$B$10,+'5.Variables'!$L22,+IF(K$8='5.Variables'!$B$33,+'5.Variables'!$L45,+IF(K$8='5.Variables'!$B$56,+'5.Variables'!$L59,+IF(K$8='5.Variables'!$B$70,+'5.Variables'!$L73,+IF(K$8='5.Variables'!$B$84,+'5.Variables'!$L87,+IF(K$8='5.Variables'!$B$98,+'5.Variables'!$L101,0))))))</f>
        <v>10831</v>
      </c>
      <c r="L31" s="267">
        <f>IF(L$8='5.Variables'!$B$10,+'5.Variables'!$L22,+IF(L$8='5.Variables'!$B$33,+'5.Variables'!$L45,+IF(L$8='5.Variables'!$B$56,+'5.Variables'!$L59,+IF(L$8='5.Variables'!$B$70,+'5.Variables'!$L73,+IF(L$8='5.Variables'!$B$84,+'5.Variables'!$L87,+IF(L$8='5.Variables'!$B$98,+'5.Variables'!$L101,0))))))</f>
        <v>287.7</v>
      </c>
      <c r="M31" s="267">
        <f>IF(M$8='5.Variables'!$B$10,+'5.Variables'!$L22,+IF(M$8='5.Variables'!$B$33,+'5.Variables'!$L45,+IF(M$8='5.Variables'!$B$56,+'5.Variables'!$L59,+IF(M$8='5.Variables'!$B$70,+'5.Variables'!$L73,+IF(M$8='5.Variables'!$B$84,+'5.Variables'!$L87,+IF(M$8='5.Variables'!$B$98,+'5.Variables'!$L101,0))))))</f>
        <v>0.6</v>
      </c>
      <c r="N31" s="267">
        <f>IF(N$8='5.Variables'!$B$10,+'5.Variables'!$L22,+IF(N$8='5.Variables'!$B$33,+'5.Variables'!$L45,+IF(N$8='5.Variables'!$B$56,+'5.Variables'!$L59,+IF(N$8='5.Variables'!$B$70,+'5.Variables'!$L73,+IF(N$8='5.Variables'!$B$84,+'5.Variables'!$L87,+IF(N$8='5.Variables'!$B$98,+'5.Variables'!$L101,0))))))</f>
        <v>1</v>
      </c>
      <c r="O31" s="267">
        <f>IF(O$8='5.Variables'!$B$10,+'5.Variables'!$L22,+IF(O$8='5.Variables'!$B$33,+'5.Variables'!$L45,+IF(O$8='5.Variables'!$B$56,+'5.Variables'!$L59,+IF(O$8='5.Variables'!$B$70,+'5.Variables'!$L73,+IF(O$8='5.Variables'!$B$84,+'5.Variables'!$L87,+IF(O$8='5.Variables'!$B$98,+'5.Variables'!$L101,0))))))</f>
        <v>-2.3418999999999999</v>
      </c>
      <c r="P31" s="267">
        <f>IF(P$8='5.Variables'!$B$10,+'5.Variables'!$L22,+IF(P$8='5.Variables'!$B$33,+'5.Variables'!$L45,+IF(P$8='5.Variables'!$B$56,+'5.Variables'!$L59,+IF(P$8='5.Variables'!$B$70,+'5.Variables'!$L73,+IF(P$8='5.Variables'!$B$84,+'5.Variables'!$L87,+IF(P$8='5.Variables'!$B$98,+'5.Variables'!$L101,0))))))</f>
        <v>31</v>
      </c>
      <c r="Q31" s="240"/>
      <c r="R31" s="268">
        <f t="shared" si="1"/>
        <v>8943468.406176772</v>
      </c>
      <c r="S31" s="272"/>
      <c r="T31" s="240"/>
      <c r="U31"/>
      <c r="V31"/>
      <c r="W31"/>
      <c r="X31"/>
      <c r="Y31"/>
      <c r="Z31"/>
      <c r="AA31"/>
      <c r="AB31"/>
      <c r="AC31"/>
      <c r="AD31" s="264"/>
      <c r="AE31" s="240"/>
      <c r="AF31" s="240"/>
      <c r="AG31" s="240"/>
      <c r="AH31" s="240"/>
      <c r="AI31" s="240"/>
      <c r="AJ31" s="240"/>
      <c r="AK31" s="240"/>
      <c r="AL31" s="240"/>
      <c r="AM31" s="240"/>
    </row>
    <row r="32" spans="1:39" x14ac:dyDescent="0.2">
      <c r="A32" s="675">
        <f t="shared" si="2"/>
        <v>23</v>
      </c>
      <c r="B32" s="266" t="str">
        <f>CONCATENATE('3. Consumption by Rate Class'!B38,"-",'3. Consumption by Rate Class'!C38)</f>
        <v>2006-November</v>
      </c>
      <c r="C32" s="270">
        <v>9102265</v>
      </c>
      <c r="D32" s="252">
        <f>+'X.1.CDM Calculation'!H29</f>
        <v>54188.000611951247</v>
      </c>
      <c r="E32" s="731"/>
      <c r="F32" s="252"/>
      <c r="G32" s="252"/>
      <c r="H32" s="731"/>
      <c r="I32" s="731"/>
      <c r="J32" s="268">
        <f t="shared" si="0"/>
        <v>9156453.0006119516</v>
      </c>
      <c r="K32" s="267">
        <f>IF(K$8='5.Variables'!$B$10,+'5.Variables'!$M22,+IF(K$8='5.Variables'!$B$33,+'5.Variables'!$M45,+IF(K$8='5.Variables'!$B$56,+'5.Variables'!$M59,+IF(K$8='5.Variables'!$B$70,+'5.Variables'!$M73,+IF(K$8='5.Variables'!$B$84,+'5.Variables'!$M87,+IF(K$8='5.Variables'!$B$98,+'5.Variables'!$M101,0))))))</f>
        <v>10868</v>
      </c>
      <c r="L32" s="267">
        <f>IF(L$8='5.Variables'!$B$10,+'5.Variables'!$M22,+IF(L$8='5.Variables'!$B$33,+'5.Variables'!$M45,+IF(L$8='5.Variables'!$B$56,+'5.Variables'!$M59,+IF(L$8='5.Variables'!$B$70,+'5.Variables'!$M73,+IF(L$8='5.Variables'!$B$84,+'5.Variables'!$M87,+IF(L$8='5.Variables'!$B$98,+'5.Variables'!$M101,0))))))</f>
        <v>367.5</v>
      </c>
      <c r="M32" s="267">
        <f>IF(M$8='5.Variables'!$B$10,+'5.Variables'!$M22,+IF(M$8='5.Variables'!$B$33,+'5.Variables'!$M45,+IF(M$8='5.Variables'!$B$56,+'5.Variables'!$M59,+IF(M$8='5.Variables'!$B$70,+'5.Variables'!$M73,+IF(M$8='5.Variables'!$B$84,+'5.Variables'!$M87,+IF(M$8='5.Variables'!$B$98,+'5.Variables'!$M101,0))))))</f>
        <v>0</v>
      </c>
      <c r="N32" s="267">
        <f>IF(N$8='5.Variables'!$B$10,+'5.Variables'!$M22,+IF(N$8='5.Variables'!$B$33,+'5.Variables'!$M45,+IF(N$8='5.Variables'!$B$56,+'5.Variables'!$M59,+IF(N$8='5.Variables'!$B$70,+'5.Variables'!$M73,+IF(N$8='5.Variables'!$B$84,+'5.Variables'!$M87,+IF(N$8='5.Variables'!$B$98,+'5.Variables'!$M101,0))))))</f>
        <v>1</v>
      </c>
      <c r="O32" s="267">
        <f>IF(O$8='5.Variables'!$B$10,+'5.Variables'!$M22,+IF(O$8='5.Variables'!$B$33,+'5.Variables'!$M45,+IF(O$8='5.Variables'!$B$56,+'5.Variables'!$M59,+IF(O$8='5.Variables'!$B$70,+'5.Variables'!$M73,+IF(O$8='5.Variables'!$B$84,+'5.Variables'!$M87,+IF(O$8='5.Variables'!$B$98,+'5.Variables'!$M101,0))))))</f>
        <v>-2.5613999999999999</v>
      </c>
      <c r="P32" s="267">
        <f>IF(P$8='5.Variables'!$B$10,+'5.Variables'!$M22,+IF(P$8='5.Variables'!$B$33,+'5.Variables'!$M45,+IF(P$8='5.Variables'!$B$56,+'5.Variables'!$M59,+IF(P$8='5.Variables'!$B$70,+'5.Variables'!$M73,+IF(P$8='5.Variables'!$B$84,+'5.Variables'!$M87,+IF(P$8='5.Variables'!$B$98,+'5.Variables'!$M101,0))))))</f>
        <v>30</v>
      </c>
      <c r="Q32" s="240"/>
      <c r="R32" s="268">
        <f t="shared" si="1"/>
        <v>8981237.4116733577</v>
      </c>
      <c r="S32" s="272"/>
      <c r="T32" s="240"/>
      <c r="U32"/>
      <c r="V32"/>
      <c r="W32"/>
      <c r="X32"/>
      <c r="Y32"/>
      <c r="Z32"/>
      <c r="AA32"/>
      <c r="AB32"/>
      <c r="AC32"/>
      <c r="AD32" s="264"/>
      <c r="AE32" s="240"/>
      <c r="AF32" s="240"/>
      <c r="AG32" s="240"/>
      <c r="AH32" s="240"/>
      <c r="AI32" s="240"/>
      <c r="AJ32" s="240"/>
      <c r="AK32" s="240"/>
      <c r="AL32" s="240"/>
      <c r="AM32" s="240"/>
    </row>
    <row r="33" spans="1:39" ht="13.5" customHeight="1" x14ac:dyDescent="0.2">
      <c r="A33" s="675">
        <f t="shared" si="2"/>
        <v>24</v>
      </c>
      <c r="B33" s="266" t="str">
        <f>CONCATENATE('3. Consumption by Rate Class'!B39,"-",'3. Consumption by Rate Class'!C39)</f>
        <v>2006-December</v>
      </c>
      <c r="C33" s="270">
        <v>10949116</v>
      </c>
      <c r="D33" s="252">
        <f>+'X.1.CDM Calculation'!H30</f>
        <v>59348.762574994224</v>
      </c>
      <c r="E33" s="731"/>
      <c r="F33" s="252"/>
      <c r="G33" s="252"/>
      <c r="H33" s="731"/>
      <c r="I33" s="731"/>
      <c r="J33" s="268">
        <f t="shared" si="0"/>
        <v>11008464.762574995</v>
      </c>
      <c r="K33" s="267">
        <f>IF(K$8='5.Variables'!$B$10,+'5.Variables'!$N22,+IF(K$8='5.Variables'!$B$33,+'5.Variables'!$N45,+IF(K$8='5.Variables'!$B$56,+'5.Variables'!$N59,+IF(K$8='5.Variables'!$B$70,+'5.Variables'!$N73,+IF(K$8='5.Variables'!$B$84,+'5.Variables'!$N87,+IF(K$8='5.Variables'!$B$98,+'5.Variables'!$N101,0))))))</f>
        <v>10902</v>
      </c>
      <c r="L33" s="267">
        <f>IF(L$8='5.Variables'!$B$10,+'5.Variables'!$N22,+IF(L$8='5.Variables'!$B$33,+'5.Variables'!$N45,+IF(L$8='5.Variables'!$B$56,+'5.Variables'!$N59,+IF(L$8='5.Variables'!$B$70,+'5.Variables'!$N73,+IF(L$8='5.Variables'!$B$84,+'5.Variables'!$N87,+IF(L$8='5.Variables'!$B$98,+'5.Variables'!$N101,0))))))</f>
        <v>503.7</v>
      </c>
      <c r="M33" s="267">
        <f>IF(M$8='5.Variables'!$B$10,+'5.Variables'!$N22,+IF(M$8='5.Variables'!$B$33,+'5.Variables'!$N45,+IF(M$8='5.Variables'!$B$56,+'5.Variables'!$N59,+IF(M$8='5.Variables'!$B$70,+'5.Variables'!$N73,+IF(M$8='5.Variables'!$B$84,+'5.Variables'!$N87,+IF(M$8='5.Variables'!$B$98,+'5.Variables'!$N101,0))))))</f>
        <v>0</v>
      </c>
      <c r="N33" s="267">
        <f>IF(N$8='5.Variables'!$B$10,+'5.Variables'!$N22,+IF(N$8='5.Variables'!$B$33,+'5.Variables'!$N45,+IF(N$8='5.Variables'!$B$56,+'5.Variables'!$N59,+IF(N$8='5.Variables'!$B$70,+'5.Variables'!$N73,+IF(N$8='5.Variables'!$B$84,+'5.Variables'!$N87,+IF(N$8='5.Variables'!$B$98,+'5.Variables'!$N101,0))))))</f>
        <v>0</v>
      </c>
      <c r="O33" s="267">
        <f>IF(O$8='5.Variables'!$B$10,+'5.Variables'!$N22,+IF(O$8='5.Variables'!$B$33,+'5.Variables'!$N45,+IF(O$8='5.Variables'!$B$56,+'5.Variables'!$N59,+IF(O$8='5.Variables'!$B$70,+'5.Variables'!$N73,+IF(O$8='5.Variables'!$B$84,+'5.Variables'!$N87,+IF(O$8='5.Variables'!$B$98,+'5.Variables'!$N101,0))))))</f>
        <v>-2.7808999999999999</v>
      </c>
      <c r="P33" s="267">
        <f>IF(P$8='5.Variables'!$B$10,+'5.Variables'!$N22,+IF(P$8='5.Variables'!$B$33,+'5.Variables'!$N45,+IF(P$8='5.Variables'!$B$56,+'5.Variables'!$N59,+IF(P$8='5.Variables'!$B$70,+'5.Variables'!$N73,+IF(P$8='5.Variables'!$B$84,+'5.Variables'!$N87,+IF(P$8='5.Variables'!$B$98,+'5.Variables'!$N101,0))))))</f>
        <v>31</v>
      </c>
      <c r="Q33" s="240"/>
      <c r="R33" s="268">
        <f t="shared" si="1"/>
        <v>11078928.226728106</v>
      </c>
      <c r="S33" s="272">
        <f>SUM(R22:R33)</f>
        <v>116344153.64245866</v>
      </c>
      <c r="T33" s="240"/>
      <c r="U33"/>
      <c r="V33"/>
      <c r="W33"/>
      <c r="X33"/>
      <c r="Y33"/>
      <c r="Z33"/>
      <c r="AA33"/>
      <c r="AB33"/>
      <c r="AC33"/>
      <c r="AD33" s="264"/>
      <c r="AE33" s="240"/>
      <c r="AF33" s="240"/>
      <c r="AG33" s="240"/>
      <c r="AH33" s="240"/>
      <c r="AI33" s="240"/>
      <c r="AJ33" s="240"/>
      <c r="AK33" s="240"/>
      <c r="AL33" s="240"/>
      <c r="AM33" s="240"/>
    </row>
    <row r="34" spans="1:39" x14ac:dyDescent="0.2">
      <c r="A34" s="675">
        <f t="shared" si="2"/>
        <v>25</v>
      </c>
      <c r="B34" s="266" t="str">
        <f>CONCATENATE('3. Consumption by Rate Class'!B40,"-",'3. Consumption by Rate Class'!C40)</f>
        <v>2007-January</v>
      </c>
      <c r="C34" s="270">
        <v>11595904</v>
      </c>
      <c r="D34" s="252">
        <f>+'X.1.CDM Calculation'!H31</f>
        <v>93149.269191941625</v>
      </c>
      <c r="E34" s="731"/>
      <c r="F34" s="252"/>
      <c r="G34" s="252"/>
      <c r="H34" s="731"/>
      <c r="I34" s="731"/>
      <c r="J34" s="268">
        <f t="shared" si="0"/>
        <v>11689053.269191941</v>
      </c>
      <c r="K34" s="267">
        <f>IF(K$8='5.Variables'!$B$10,+'5.Variables'!$C23,+IF(K$8='5.Variables'!$B$33,+'5.Variables'!$C46,+IF(K$8='5.Variables'!$B$56,+'5.Variables'!$C60,+IF(K$8='5.Variables'!$B$70,+'5.Variables'!$C74,+IF(K$8='5.Variables'!$B$84,+'5.Variables'!$C88,+IF(K$8='5.Variables'!$B$98,+'5.Variables'!$C102,0))))))</f>
        <v>10954</v>
      </c>
      <c r="L34" s="267">
        <f>IF(L$8='5.Variables'!$B$10,+'5.Variables'!$C23,+IF(L$8='5.Variables'!$B$33,+'5.Variables'!$C46,+IF(L$8='5.Variables'!$B$56,+'5.Variables'!$C60,+IF(L$8='5.Variables'!$B$70,+'5.Variables'!$C74,+IF(L$8='5.Variables'!$B$84,+'5.Variables'!$C88,+IF(L$8='5.Variables'!$B$98,+'5.Variables'!$C102,0))))))</f>
        <v>668.8</v>
      </c>
      <c r="M34" s="267">
        <f>IF(M$8='5.Variables'!$B$10,+'5.Variables'!$C23,+IF(M$8='5.Variables'!$B$33,+'5.Variables'!$C46,+IF(M$8='5.Variables'!$B$56,+'5.Variables'!$C60,+IF(M$8='5.Variables'!$B$70,+'5.Variables'!$C74,+IF(M$8='5.Variables'!$B$84,+'5.Variables'!$C88,+IF(M$8='5.Variables'!$B$98,+'5.Variables'!$C102,0))))))</f>
        <v>0</v>
      </c>
      <c r="N34" s="267">
        <f>IF(N$8='5.Variables'!$B$10,+'5.Variables'!$C23,+IF(N$8='5.Variables'!$B$33,+'5.Variables'!$C46,+IF(N$8='5.Variables'!$B$56,+'5.Variables'!$C60,+IF(N$8='5.Variables'!$B$70,+'5.Variables'!$C74,+IF(N$8='5.Variables'!$B$84,+'5.Variables'!$C88,+IF(N$8='5.Variables'!$B$98,+'5.Variables'!$C102,0))))))</f>
        <v>0</v>
      </c>
      <c r="O34" s="267">
        <f>IF(O$8='5.Variables'!$B$10,+'5.Variables'!$C23,+IF(O$8='5.Variables'!$B$33,+'5.Variables'!$C46,+IF(O$8='5.Variables'!$B$56,+'5.Variables'!$C60,+IF(O$8='5.Variables'!$B$70,+'5.Variables'!$C74,+IF(O$8='5.Variables'!$B$84,+'5.Variables'!$C88,+IF(O$8='5.Variables'!$B$98,+'5.Variables'!$C102,0))))))</f>
        <v>-3.0004</v>
      </c>
      <c r="P34" s="267">
        <f>IF(P$8='5.Variables'!$B$10,+'5.Variables'!$C23,+IF(P$8='5.Variables'!$B$33,+'5.Variables'!$C46,+IF(P$8='5.Variables'!$B$56,+'5.Variables'!$C60,+IF(P$8='5.Variables'!$B$70,+'5.Variables'!$C74,+IF(P$8='5.Variables'!$B$84,+'5.Variables'!$C88,+IF(P$8='5.Variables'!$B$98,+'5.Variables'!$C102,0))))))</f>
        <v>31</v>
      </c>
      <c r="Q34" s="240"/>
      <c r="R34" s="268">
        <f t="shared" si="1"/>
        <v>12053904.48769851</v>
      </c>
      <c r="S34" s="272"/>
      <c r="T34" s="240"/>
      <c r="U34" s="273" t="s">
        <v>164</v>
      </c>
      <c r="V34" s="258"/>
      <c r="W34" s="258"/>
      <c r="X34" s="258"/>
      <c r="Y34" s="258"/>
      <c r="Z34" s="258"/>
      <c r="AA34" s="258"/>
      <c r="AB34" s="258"/>
      <c r="AC34" s="258"/>
      <c r="AD34" s="264"/>
      <c r="AE34" s="240"/>
      <c r="AF34" s="240"/>
      <c r="AG34" s="240"/>
      <c r="AH34" s="240"/>
      <c r="AI34" s="240"/>
      <c r="AJ34" s="240"/>
      <c r="AK34" s="240"/>
      <c r="AL34" s="240"/>
      <c r="AM34" s="240"/>
    </row>
    <row r="35" spans="1:39" ht="27.75" customHeight="1" x14ac:dyDescent="0.2">
      <c r="A35" s="675">
        <f t="shared" si="2"/>
        <v>26</v>
      </c>
      <c r="B35" s="266" t="str">
        <f>CONCATENATE('3. Consumption by Rate Class'!B41,"-",'3. Consumption by Rate Class'!C41)</f>
        <v>2007-February</v>
      </c>
      <c r="C35" s="270">
        <v>11366145</v>
      </c>
      <c r="D35" s="252">
        <f>+'X.1.CDM Calculation'!H32</f>
        <v>93660.376906277728</v>
      </c>
      <c r="E35" s="731"/>
      <c r="F35" s="252"/>
      <c r="G35" s="252"/>
      <c r="H35" s="731"/>
      <c r="I35" s="731"/>
      <c r="J35" s="268">
        <f t="shared" si="0"/>
        <v>11459805.376906278</v>
      </c>
      <c r="K35" s="267">
        <f>IF(K$8='5.Variables'!$B$10,+'5.Variables'!$D23,+IF(K$8='5.Variables'!$B$33,+'5.Variables'!$D46,+IF(K$8='5.Variables'!$B$56,+'5.Variables'!$D60,+IF(K$8='5.Variables'!$B$70,+'5.Variables'!$D74,+IF(K$8='5.Variables'!$B$84,+'5.Variables'!$D88,+IF(K$8='5.Variables'!$B$98,+'5.Variables'!$D102,0))))))</f>
        <v>11000</v>
      </c>
      <c r="L35" s="267">
        <f>IF(L$8='5.Variables'!$B$10,+'5.Variables'!$D23,+IF(L$8='5.Variables'!$B$33,+'5.Variables'!$D46,+IF(L$8='5.Variables'!$B$56,+'5.Variables'!$D60,+IF(L$8='5.Variables'!$B$70,+'5.Variables'!$D74,+IF(L$8='5.Variables'!$B$84,+'5.Variables'!$D88,+IF(L$8='5.Variables'!$B$98,+'5.Variables'!$D102,0))))))</f>
        <v>729.3</v>
      </c>
      <c r="M35" s="267">
        <f>IF(M$8='5.Variables'!$B$10,+'5.Variables'!$D23,+IF(M$8='5.Variables'!$B$33,+'5.Variables'!$D46,+IF(M$8='5.Variables'!$B$56,+'5.Variables'!$D60,+IF(M$8='5.Variables'!$B$70,+'5.Variables'!$D74,+IF(M$8='5.Variables'!$B$84,+'5.Variables'!$D88,+IF(M$8='5.Variables'!$B$98,+'5.Variables'!$D102,0))))))</f>
        <v>0</v>
      </c>
      <c r="N35" s="267">
        <f>IF(N$8='5.Variables'!$B$10,+'5.Variables'!$D23,+IF(N$8='5.Variables'!$B$33,+'5.Variables'!$D46,+IF(N$8='5.Variables'!$B$56,+'5.Variables'!$D60,+IF(N$8='5.Variables'!$B$70,+'5.Variables'!$D74,+IF(N$8='5.Variables'!$B$84,+'5.Variables'!$D88,+IF(N$8='5.Variables'!$B$98,+'5.Variables'!$D102,0))))))</f>
        <v>0</v>
      </c>
      <c r="O35" s="267">
        <f>IF(O$8='5.Variables'!$B$10,+'5.Variables'!$D23,+IF(O$8='5.Variables'!$B$33,+'5.Variables'!$D46,+IF(O$8='5.Variables'!$B$56,+'5.Variables'!$D60,+IF(O$8='5.Variables'!$B$70,+'5.Variables'!$D74,+IF(O$8='5.Variables'!$B$84,+'5.Variables'!$D88,+IF(O$8='5.Variables'!$B$98,+'5.Variables'!$D102,0))))))</f>
        <v>-3.2199</v>
      </c>
      <c r="P35" s="267">
        <f>IF(P$8='5.Variables'!$B$10,+'5.Variables'!$D23,+IF(P$8='5.Variables'!$B$33,+'5.Variables'!$D46,+IF(P$8='5.Variables'!$B$56,+'5.Variables'!$D60,+IF(P$8='5.Variables'!$B$70,+'5.Variables'!$D74,+IF(P$8='5.Variables'!$B$84,+'5.Variables'!$D88,+IF(P$8='5.Variables'!$B$98,+'5.Variables'!$D102,0))))))</f>
        <v>28</v>
      </c>
      <c r="Q35" s="240"/>
      <c r="R35" s="268">
        <f t="shared" si="1"/>
        <v>11165786.825903086</v>
      </c>
      <c r="S35" s="272"/>
      <c r="T35" s="240"/>
      <c r="U35" s="13" t="s">
        <v>33</v>
      </c>
      <c r="V35" s="13" t="s">
        <v>42</v>
      </c>
      <c r="W35" s="13" t="s">
        <v>43</v>
      </c>
      <c r="X35" s="1083" t="s">
        <v>694</v>
      </c>
      <c r="Y35" s="13" t="s">
        <v>43</v>
      </c>
      <c r="Z35" s="1083" t="s">
        <v>706</v>
      </c>
      <c r="AA35" s="240"/>
      <c r="AB35" s="240"/>
      <c r="AC35" s="240"/>
      <c r="AD35" s="264"/>
      <c r="AE35" s="240"/>
      <c r="AF35" s="240"/>
      <c r="AG35" s="240"/>
      <c r="AH35" s="240"/>
      <c r="AI35" s="240"/>
      <c r="AJ35" s="240"/>
      <c r="AK35" s="240"/>
      <c r="AL35" s="240"/>
      <c r="AM35" s="240"/>
    </row>
    <row r="36" spans="1:39" x14ac:dyDescent="0.2">
      <c r="A36" s="675">
        <f t="shared" si="2"/>
        <v>27</v>
      </c>
      <c r="B36" s="266" t="str">
        <f>CONCATENATE('3. Consumption by Rate Class'!B42,"-",'3. Consumption by Rate Class'!C42)</f>
        <v>2007-March</v>
      </c>
      <c r="C36" s="270">
        <v>10718300</v>
      </c>
      <c r="D36" s="252">
        <f>+'X.1.CDM Calculation'!H33</f>
        <v>94171.484620613832</v>
      </c>
      <c r="E36" s="731"/>
      <c r="F36" s="252"/>
      <c r="G36" s="252"/>
      <c r="H36" s="731"/>
      <c r="I36" s="731"/>
      <c r="J36" s="268">
        <f t="shared" si="0"/>
        <v>10812471.484620614</v>
      </c>
      <c r="K36" s="267">
        <f>IF(K$8='5.Variables'!$B$10,+'5.Variables'!$E23,+IF(K$8='5.Variables'!$B$33,+'5.Variables'!$E46,+IF(K$8='5.Variables'!$B$56,+'5.Variables'!$E60,+IF(K$8='5.Variables'!$B$70,+'5.Variables'!$E74,+IF(K$8='5.Variables'!$B$84,+'5.Variables'!$E88,+IF(K$8='5.Variables'!$B$98,+'5.Variables'!$E102,0))))))</f>
        <v>11049</v>
      </c>
      <c r="L36" s="267">
        <f>IF(L$8='5.Variables'!$B$10,+'5.Variables'!$E23,+IF(L$8='5.Variables'!$B$33,+'5.Variables'!$E46,+IF(L$8='5.Variables'!$B$56,+'5.Variables'!$E60,+IF(L$8='5.Variables'!$B$70,+'5.Variables'!$E74,+IF(L$8='5.Variables'!$B$84,+'5.Variables'!$E88,+IF(L$8='5.Variables'!$B$98,+'5.Variables'!$E102,0))))))</f>
        <v>559.9</v>
      </c>
      <c r="M36" s="267">
        <f>IF(M$8='5.Variables'!$B$10,+'5.Variables'!$E23,+IF(M$8='5.Variables'!$B$33,+'5.Variables'!$E46,+IF(M$8='5.Variables'!$B$56,+'5.Variables'!$E60,+IF(M$8='5.Variables'!$B$70,+'5.Variables'!$E74,+IF(M$8='5.Variables'!$B$84,+'5.Variables'!$E88,+IF(M$8='5.Variables'!$B$98,+'5.Variables'!$E102,0))))))</f>
        <v>0</v>
      </c>
      <c r="N36" s="267">
        <f>IF(N$8='5.Variables'!$B$10,+'5.Variables'!$E23,+IF(N$8='5.Variables'!$B$33,+'5.Variables'!$E46,+IF(N$8='5.Variables'!$B$56,+'5.Variables'!$E60,+IF(N$8='5.Variables'!$B$70,+'5.Variables'!$E74,+IF(N$8='5.Variables'!$B$84,+'5.Variables'!$E88,+IF(N$8='5.Variables'!$B$98,+'5.Variables'!$E102,0))))))</f>
        <v>1</v>
      </c>
      <c r="O36" s="267">
        <f>IF(O$8='5.Variables'!$B$10,+'5.Variables'!$E23,+IF(O$8='5.Variables'!$B$33,+'5.Variables'!$E46,+IF(O$8='5.Variables'!$B$56,+'5.Variables'!$E60,+IF(O$8='5.Variables'!$B$70,+'5.Variables'!$E74,+IF(O$8='5.Variables'!$B$84,+'5.Variables'!$E88,+IF(O$8='5.Variables'!$B$98,+'5.Variables'!$E102,0))))))</f>
        <v>-3.4394</v>
      </c>
      <c r="P36" s="267">
        <f>IF(P$8='5.Variables'!$B$10,+'5.Variables'!$E23,+IF(P$8='5.Variables'!$B$33,+'5.Variables'!$E46,+IF(P$8='5.Variables'!$B$56,+'5.Variables'!$E60,+IF(P$8='5.Variables'!$B$70,+'5.Variables'!$E74,+IF(P$8='5.Variables'!$B$84,+'5.Variables'!$E88,+IF(P$8='5.Variables'!$B$98,+'5.Variables'!$E102,0))))))</f>
        <v>31</v>
      </c>
      <c r="Q36" s="240"/>
      <c r="R36" s="268">
        <f t="shared" si="1"/>
        <v>10707524.003602127</v>
      </c>
      <c r="S36" s="272"/>
      <c r="T36" s="240"/>
      <c r="U36" s="1239">
        <v>2005</v>
      </c>
      <c r="V36" s="1241">
        <f>SUM(J10:J21)</f>
        <v>116383501</v>
      </c>
      <c r="W36" s="13"/>
      <c r="X36" s="1242">
        <f>S21</f>
        <v>115988429.89198539</v>
      </c>
      <c r="Y36" s="13"/>
      <c r="Z36" s="1240">
        <f>(X36-V36)/V36</f>
        <v>-3.3945628428432772E-3</v>
      </c>
      <c r="AA36" s="240"/>
      <c r="AB36" s="240"/>
      <c r="AC36" s="240"/>
      <c r="AD36" s="264"/>
      <c r="AE36" s="240"/>
      <c r="AF36" s="240"/>
      <c r="AG36" s="240"/>
      <c r="AH36" s="240"/>
      <c r="AI36" s="240"/>
      <c r="AJ36" s="240"/>
      <c r="AK36" s="240"/>
      <c r="AL36" s="240"/>
      <c r="AM36" s="240"/>
    </row>
    <row r="37" spans="1:39" x14ac:dyDescent="0.2">
      <c r="A37" s="675">
        <f t="shared" si="2"/>
        <v>28</v>
      </c>
      <c r="B37" s="266" t="str">
        <f>CONCATENATE('3. Consumption by Rate Class'!B43,"-",'3. Consumption by Rate Class'!C43)</f>
        <v>2007-April</v>
      </c>
      <c r="C37" s="270">
        <v>9069276</v>
      </c>
      <c r="D37" s="252">
        <f>+'X.1.CDM Calculation'!H34</f>
        <v>94682.592334949935</v>
      </c>
      <c r="E37" s="731"/>
      <c r="F37" s="252"/>
      <c r="G37" s="252"/>
      <c r="H37" s="731"/>
      <c r="I37" s="731"/>
      <c r="J37" s="268">
        <f t="shared" si="0"/>
        <v>9163958.5923349503</v>
      </c>
      <c r="K37" s="267">
        <f>IF(K$8='5.Variables'!$B$10,+'5.Variables'!$F23,+IF(K$8='5.Variables'!$B$33,+'5.Variables'!$F46,+IF(K$8='5.Variables'!$B$56,+'5.Variables'!$F60,+IF(K$8='5.Variables'!$B$70,+'5.Variables'!$F74,+IF(K$8='5.Variables'!$B$84,+'5.Variables'!$F88,+IF(K$8='5.Variables'!$B$98,+'5.Variables'!$F102,0))))))</f>
        <v>11062</v>
      </c>
      <c r="L37" s="267">
        <f>IF(L$8='5.Variables'!$B$10,+'5.Variables'!$F23,+IF(L$8='5.Variables'!$B$33,+'5.Variables'!$F46,+IF(L$8='5.Variables'!$B$56,+'5.Variables'!$F60,+IF(L$8='5.Variables'!$B$70,+'5.Variables'!$F74,+IF(L$8='5.Variables'!$B$84,+'5.Variables'!$F88,+IF(L$8='5.Variables'!$B$98,+'5.Variables'!$F102,0))))))</f>
        <v>402.3</v>
      </c>
      <c r="M37" s="267">
        <f>IF(M$8='5.Variables'!$B$10,+'5.Variables'!$F23,+IF(M$8='5.Variables'!$B$33,+'5.Variables'!$F46,+IF(M$8='5.Variables'!$B$56,+'5.Variables'!$F60,+IF(M$8='5.Variables'!$B$70,+'5.Variables'!$F74,+IF(M$8='5.Variables'!$B$84,+'5.Variables'!$F88,+IF(M$8='5.Variables'!$B$98,+'5.Variables'!$F102,0))))))</f>
        <v>0</v>
      </c>
      <c r="N37" s="267">
        <f>IF(N$8='5.Variables'!$B$10,+'5.Variables'!$F23,+IF(N$8='5.Variables'!$B$33,+'5.Variables'!$F46,+IF(N$8='5.Variables'!$B$56,+'5.Variables'!$F60,+IF(N$8='5.Variables'!$B$70,+'5.Variables'!$F74,+IF(N$8='5.Variables'!$B$84,+'5.Variables'!$F88,+IF(N$8='5.Variables'!$B$98,+'5.Variables'!$F102,0))))))</f>
        <v>1</v>
      </c>
      <c r="O37" s="267">
        <f>IF(O$8='5.Variables'!$B$10,+'5.Variables'!$F23,+IF(O$8='5.Variables'!$B$33,+'5.Variables'!$F46,+IF(O$8='5.Variables'!$B$56,+'5.Variables'!$F60,+IF(O$8='5.Variables'!$B$70,+'5.Variables'!$F74,+IF(O$8='5.Variables'!$B$84,+'5.Variables'!$F88,+IF(O$8='5.Variables'!$B$98,+'5.Variables'!$F102,0))))))</f>
        <v>-3.6589</v>
      </c>
      <c r="P37" s="267">
        <f>IF(P$8='5.Variables'!$B$10,+'5.Variables'!$F23,+IF(P$8='5.Variables'!$B$33,+'5.Variables'!$F46,+IF(P$8='5.Variables'!$B$56,+'5.Variables'!$F60,+IF(P$8='5.Variables'!$B$70,+'5.Variables'!$F74,+IF(P$8='5.Variables'!$B$84,+'5.Variables'!$F88,+IF(P$8='5.Variables'!$B$98,+'5.Variables'!$F102,0))))))</f>
        <v>30</v>
      </c>
      <c r="Q37" s="240"/>
      <c r="R37" s="268">
        <f t="shared" si="1"/>
        <v>9422924.9908625074</v>
      </c>
      <c r="S37" s="272"/>
      <c r="T37" s="240"/>
      <c r="U37" s="1239">
        <v>2006</v>
      </c>
      <c r="V37" s="1241">
        <f>SUM(J22:J33)</f>
        <v>115191936.86133909</v>
      </c>
      <c r="W37" s="1240">
        <f>(V37-V36)/V36</f>
        <v>-1.0238256526248577E-2</v>
      </c>
      <c r="X37" s="1242">
        <f>S33</f>
        <v>116344153.64245866</v>
      </c>
      <c r="Y37" s="1240">
        <f>(X37-X36)/X36</f>
        <v>3.0668899544941224E-3</v>
      </c>
      <c r="Z37" s="1240">
        <f t="shared" ref="Z37:Z45" si="3">(X37-V37)/V37</f>
        <v>1.0002581886495556E-2</v>
      </c>
      <c r="AA37" s="240"/>
      <c r="AB37" s="240"/>
      <c r="AC37" s="240"/>
      <c r="AD37" s="240"/>
      <c r="AE37" s="240"/>
      <c r="AF37" s="240"/>
      <c r="AG37" s="240"/>
      <c r="AH37" s="240"/>
      <c r="AI37" s="240"/>
      <c r="AJ37" s="240"/>
      <c r="AK37" s="240"/>
      <c r="AL37" s="240"/>
      <c r="AM37" s="240"/>
    </row>
    <row r="38" spans="1:39" x14ac:dyDescent="0.2">
      <c r="A38" s="675">
        <f t="shared" si="2"/>
        <v>29</v>
      </c>
      <c r="B38" s="266" t="str">
        <f>CONCATENATE('3. Consumption by Rate Class'!B44,"-",'3. Consumption by Rate Class'!C44)</f>
        <v>2007-May</v>
      </c>
      <c r="C38" s="270">
        <v>8773721</v>
      </c>
      <c r="D38" s="252">
        <f>+'X.1.CDM Calculation'!H35</f>
        <v>95193.700049286039</v>
      </c>
      <c r="E38" s="731"/>
      <c r="F38" s="252"/>
      <c r="G38" s="252"/>
      <c r="H38" s="731"/>
      <c r="I38" s="731"/>
      <c r="J38" s="268">
        <f t="shared" si="0"/>
        <v>8868914.7000492867</v>
      </c>
      <c r="K38" s="267">
        <f>IF(K$8='5.Variables'!$B$10,+'5.Variables'!$G23,+IF(K$8='5.Variables'!$B$33,+'5.Variables'!$G46,+IF(K$8='5.Variables'!$B$56,+'5.Variables'!$G60,+IF(K$8='5.Variables'!$B$70,+'5.Variables'!$G74,+IF(K$8='5.Variables'!$B$84,+'5.Variables'!$G88,+IF(K$8='5.Variables'!$B$98,+'5.Variables'!$G102,0))))))</f>
        <v>11100</v>
      </c>
      <c r="L38" s="267">
        <f>IF(L$8='5.Variables'!$B$10,+'5.Variables'!$G23,+IF(L$8='5.Variables'!$B$33,+'5.Variables'!$G46,+IF(L$8='5.Variables'!$B$56,+'5.Variables'!$G60,+IF(L$8='5.Variables'!$B$70,+'5.Variables'!$G74,+IF(L$8='5.Variables'!$B$84,+'5.Variables'!$G88,+IF(L$8='5.Variables'!$B$98,+'5.Variables'!$G102,0))))))</f>
        <v>185.5</v>
      </c>
      <c r="M38" s="267">
        <f>IF(M$8='5.Variables'!$B$10,+'5.Variables'!$G23,+IF(M$8='5.Variables'!$B$33,+'5.Variables'!$G46,+IF(M$8='5.Variables'!$B$56,+'5.Variables'!$G60,+IF(M$8='5.Variables'!$B$70,+'5.Variables'!$G74,+IF(M$8='5.Variables'!$B$84,+'5.Variables'!$G88,+IF(M$8='5.Variables'!$B$98,+'5.Variables'!$G102,0))))))</f>
        <v>18</v>
      </c>
      <c r="N38" s="267">
        <f>IF(N$8='5.Variables'!$B$10,+'5.Variables'!$G23,+IF(N$8='5.Variables'!$B$33,+'5.Variables'!$G46,+IF(N$8='5.Variables'!$B$56,+'5.Variables'!$G60,+IF(N$8='5.Variables'!$B$70,+'5.Variables'!$G74,+IF(N$8='5.Variables'!$B$84,+'5.Variables'!$G88,+IF(N$8='5.Variables'!$B$98,+'5.Variables'!$G102,0))))))</f>
        <v>1</v>
      </c>
      <c r="O38" s="267">
        <f>IF(O$8='5.Variables'!$B$10,+'5.Variables'!$G23,+IF(O$8='5.Variables'!$B$33,+'5.Variables'!$G46,+IF(O$8='5.Variables'!$B$56,+'5.Variables'!$G60,+IF(O$8='5.Variables'!$B$70,+'5.Variables'!$G74,+IF(O$8='5.Variables'!$B$84,+'5.Variables'!$G88,+IF(O$8='5.Variables'!$B$98,+'5.Variables'!$G102,0))))))</f>
        <v>-3.8784000000000001</v>
      </c>
      <c r="P38" s="267">
        <f>IF(P$8='5.Variables'!$B$10,+'5.Variables'!$G23,+IF(P$8='5.Variables'!$B$33,+'5.Variables'!$G46,+IF(P$8='5.Variables'!$B$56,+'5.Variables'!$G60,+IF(P$8='5.Variables'!$B$70,+'5.Variables'!$G74,+IF(P$8='5.Variables'!$B$84,+'5.Variables'!$G88,+IF(P$8='5.Variables'!$B$98,+'5.Variables'!$G102,0))))))</f>
        <v>31</v>
      </c>
      <c r="Q38" s="240"/>
      <c r="R38" s="268">
        <f t="shared" si="1"/>
        <v>9217292.9775058813</v>
      </c>
      <c r="S38" s="272"/>
      <c r="T38" s="240"/>
      <c r="U38" s="1239">
        <v>2007</v>
      </c>
      <c r="V38" s="1241">
        <f>SUM(J34:J45)</f>
        <v>125264170.3394495</v>
      </c>
      <c r="W38" s="1240">
        <f t="shared" ref="W38:W45" si="4">(V38-V37)/V37</f>
        <v>8.7438702330656468E-2</v>
      </c>
      <c r="X38" s="1242">
        <f>S45</f>
        <v>125038875.58014549</v>
      </c>
      <c r="Y38" s="1240">
        <f t="shared" ref="Y38:Y45" si="5">(X38-X37)/X37</f>
        <v>7.4732779133938165E-2</v>
      </c>
      <c r="Z38" s="1240">
        <f t="shared" si="3"/>
        <v>-1.7985570709763425E-3</v>
      </c>
      <c r="AA38" s="240"/>
      <c r="AB38" s="240"/>
      <c r="AC38" s="240"/>
      <c r="AD38" s="240"/>
      <c r="AE38" s="240"/>
      <c r="AF38" s="240"/>
      <c r="AG38" s="240"/>
      <c r="AH38" s="240"/>
      <c r="AI38" s="240"/>
      <c r="AJ38" s="240"/>
      <c r="AK38" s="240"/>
      <c r="AL38" s="240"/>
      <c r="AM38" s="240"/>
    </row>
    <row r="39" spans="1:39" x14ac:dyDescent="0.2">
      <c r="A39" s="675">
        <f t="shared" si="2"/>
        <v>30</v>
      </c>
      <c r="B39" s="266" t="str">
        <f>CONCATENATE('3. Consumption by Rate Class'!B45,"-",'3. Consumption by Rate Class'!C45)</f>
        <v>2007-June</v>
      </c>
      <c r="C39" s="270">
        <v>9407320</v>
      </c>
      <c r="D39" s="252">
        <f>+'X.1.CDM Calculation'!H36</f>
        <v>95704.807763622157</v>
      </c>
      <c r="E39" s="731"/>
      <c r="F39" s="252"/>
      <c r="G39" s="252"/>
      <c r="H39" s="731"/>
      <c r="I39" s="731"/>
      <c r="J39" s="268">
        <f t="shared" si="0"/>
        <v>9503024.8077636231</v>
      </c>
      <c r="K39" s="267">
        <f>IF(K$8='5.Variables'!$B$10,+'5.Variables'!$H23,+IF(K$8='5.Variables'!$B$33,+'5.Variables'!$H46,+IF(K$8='5.Variables'!$B$56,+'5.Variables'!$H60,+IF(K$8='5.Variables'!$B$70,+'5.Variables'!$H74,+IF(K$8='5.Variables'!$B$84,+'5.Variables'!$H88,+IF(K$8='5.Variables'!$B$98,+'5.Variables'!$H102,0))))))</f>
        <v>11150</v>
      </c>
      <c r="L39" s="267">
        <f>IF(L$8='5.Variables'!$B$10,+'5.Variables'!$H23,+IF(L$8='5.Variables'!$B$33,+'5.Variables'!$H46,+IF(L$8='5.Variables'!$B$56,+'5.Variables'!$H60,+IF(L$8='5.Variables'!$B$70,+'5.Variables'!$H74,+IF(L$8='5.Variables'!$B$84,+'5.Variables'!$H88,+IF(L$8='5.Variables'!$B$98,+'5.Variables'!$H102,0))))))</f>
        <v>45.6</v>
      </c>
      <c r="M39" s="267">
        <f>IF(M$8='5.Variables'!$B$10,+'5.Variables'!$H23,+IF(M$8='5.Variables'!$B$33,+'5.Variables'!$H46,+IF(M$8='5.Variables'!$B$56,+'5.Variables'!$H60,+IF(M$8='5.Variables'!$B$70,+'5.Variables'!$H74,+IF(M$8='5.Variables'!$B$84,+'5.Variables'!$H88,+IF(M$8='5.Variables'!$B$98,+'5.Variables'!$H102,0))))))</f>
        <v>59.8</v>
      </c>
      <c r="N39" s="267">
        <f>IF(N$8='5.Variables'!$B$10,+'5.Variables'!$H23,+IF(N$8='5.Variables'!$B$33,+'5.Variables'!$H46,+IF(N$8='5.Variables'!$B$56,+'5.Variables'!$H60,+IF(N$8='5.Variables'!$B$70,+'5.Variables'!$H74,+IF(N$8='5.Variables'!$B$84,+'5.Variables'!$H88,+IF(N$8='5.Variables'!$B$98,+'5.Variables'!$H102,0))))))</f>
        <v>0</v>
      </c>
      <c r="O39" s="267">
        <f>IF(O$8='5.Variables'!$B$10,+'5.Variables'!$H23,+IF(O$8='5.Variables'!$B$33,+'5.Variables'!$H46,+IF(O$8='5.Variables'!$B$56,+'5.Variables'!$H60,+IF(O$8='5.Variables'!$B$70,+'5.Variables'!$H74,+IF(O$8='5.Variables'!$B$84,+'5.Variables'!$H88,+IF(O$8='5.Variables'!$B$98,+'5.Variables'!$H102,0))))))</f>
        <v>-4.0979000000000001</v>
      </c>
      <c r="P39" s="267">
        <f>IF(P$8='5.Variables'!$B$10,+'5.Variables'!$H23,+IF(P$8='5.Variables'!$B$33,+'5.Variables'!$H46,+IF(P$8='5.Variables'!$B$56,+'5.Variables'!$H60,+IF(P$8='5.Variables'!$B$70,+'5.Variables'!$H74,+IF(P$8='5.Variables'!$B$84,+'5.Variables'!$H88,+IF(P$8='5.Variables'!$B$98,+'5.Variables'!$H102,0))))))</f>
        <v>30</v>
      </c>
      <c r="Q39" s="240"/>
      <c r="R39" s="268">
        <f t="shared" si="1"/>
        <v>10146138.796676518</v>
      </c>
      <c r="S39" s="272"/>
      <c r="T39" s="240"/>
      <c r="U39" s="1239">
        <v>2008</v>
      </c>
      <c r="V39" s="1241">
        <f>SUM(J46:J57)</f>
        <v>129634398.06587967</v>
      </c>
      <c r="W39" s="1240">
        <f t="shared" si="4"/>
        <v>3.4888090621503602E-2</v>
      </c>
      <c r="X39" s="1242">
        <f>S57</f>
        <v>127485248.88734896</v>
      </c>
      <c r="Y39" s="1240">
        <f t="shared" si="5"/>
        <v>1.9564901682400632E-2</v>
      </c>
      <c r="Z39" s="1240">
        <f t="shared" si="3"/>
        <v>-1.6578540962858632E-2</v>
      </c>
      <c r="AA39" s="240"/>
      <c r="AB39" s="240"/>
      <c r="AC39" s="240"/>
      <c r="AD39" s="240"/>
      <c r="AE39" s="240"/>
      <c r="AF39" s="240"/>
      <c r="AG39" s="240"/>
      <c r="AH39" s="240"/>
      <c r="AI39" s="240"/>
      <c r="AJ39" s="240"/>
      <c r="AK39" s="240"/>
      <c r="AL39" s="240"/>
      <c r="AM39" s="240"/>
    </row>
    <row r="40" spans="1:39" x14ac:dyDescent="0.2">
      <c r="A40" s="675">
        <f t="shared" si="2"/>
        <v>31</v>
      </c>
      <c r="B40" s="266" t="str">
        <f>CONCATENATE('3. Consumption by Rate Class'!B46,"-",'3. Consumption by Rate Class'!C46)</f>
        <v>2007-July</v>
      </c>
      <c r="C40" s="270">
        <v>10922926</v>
      </c>
      <c r="D40" s="252">
        <f>+'X.1.CDM Calculation'!H37</f>
        <v>96215.91547795826</v>
      </c>
      <c r="E40" s="731"/>
      <c r="F40" s="252"/>
      <c r="G40" s="252"/>
      <c r="H40" s="731"/>
      <c r="I40" s="731"/>
      <c r="J40" s="268">
        <f t="shared" si="0"/>
        <v>11019141.915477958</v>
      </c>
      <c r="K40" s="267">
        <f>IF(K$8='5.Variables'!$B$10,+'5.Variables'!$I23,+IF(K$8='5.Variables'!$B$33,+'5.Variables'!$I46,+IF(K$8='5.Variables'!$B$56,+'5.Variables'!$I60,+IF(K$8='5.Variables'!$B$70,+'5.Variables'!$I74,+IF(K$8='5.Variables'!$B$84,+'5.Variables'!$I88,+IF(K$8='5.Variables'!$B$98,+'5.Variables'!$I102,0))))))</f>
        <v>11184</v>
      </c>
      <c r="L40" s="267">
        <f>IF(L$8='5.Variables'!$B$10,+'5.Variables'!$I23,+IF(L$8='5.Variables'!$B$33,+'5.Variables'!$I46,+IF(L$8='5.Variables'!$B$56,+'5.Variables'!$I60,+IF(L$8='5.Variables'!$B$70,+'5.Variables'!$I74,+IF(L$8='5.Variables'!$B$84,+'5.Variables'!$I88,+IF(L$8='5.Variables'!$B$98,+'5.Variables'!$I102,0))))))</f>
        <v>13.4</v>
      </c>
      <c r="M40" s="267">
        <f>IF(M$8='5.Variables'!$B$10,+'5.Variables'!$I23,+IF(M$8='5.Variables'!$B$33,+'5.Variables'!$I46,+IF(M$8='5.Variables'!$B$56,+'5.Variables'!$I60,+IF(M$8='5.Variables'!$B$70,+'5.Variables'!$I74,+IF(M$8='5.Variables'!$B$84,+'5.Variables'!$I88,+IF(M$8='5.Variables'!$B$98,+'5.Variables'!$I102,0))))))</f>
        <v>64.400000000000006</v>
      </c>
      <c r="N40" s="267">
        <f>IF(N$8='5.Variables'!$B$10,+'5.Variables'!$I23,+IF(N$8='5.Variables'!$B$33,+'5.Variables'!$I46,+IF(N$8='5.Variables'!$B$56,+'5.Variables'!$I60,+IF(N$8='5.Variables'!$B$70,+'5.Variables'!$I74,+IF(N$8='5.Variables'!$B$84,+'5.Variables'!$I88,+IF(N$8='5.Variables'!$B$98,+'5.Variables'!$I102,0))))))</f>
        <v>0</v>
      </c>
      <c r="O40" s="267">
        <f>IF(O$8='5.Variables'!$B$10,+'5.Variables'!$I23,+IF(O$8='5.Variables'!$B$33,+'5.Variables'!$I46,+IF(O$8='5.Variables'!$B$56,+'5.Variables'!$I60,+IF(O$8='5.Variables'!$B$70,+'5.Variables'!$I74,+IF(O$8='5.Variables'!$B$84,+'5.Variables'!$I88,+IF(O$8='5.Variables'!$B$98,+'5.Variables'!$I102,0))))))</f>
        <v>-4.3174000000000001</v>
      </c>
      <c r="P40" s="267">
        <f>IF(P$8='5.Variables'!$B$10,+'5.Variables'!$I23,+IF(P$8='5.Variables'!$B$33,+'5.Variables'!$I46,+IF(P$8='5.Variables'!$B$56,+'5.Variables'!$I60,+IF(P$8='5.Variables'!$B$70,+'5.Variables'!$I74,+IF(P$8='5.Variables'!$B$84,+'5.Variables'!$I88,+IF(P$8='5.Variables'!$B$98,+'5.Variables'!$I102,0))))))</f>
        <v>31</v>
      </c>
      <c r="Q40" s="240"/>
      <c r="R40" s="268">
        <f t="shared" si="1"/>
        <v>10566848.700021975</v>
      </c>
      <c r="S40" s="272"/>
      <c r="T40" s="240"/>
      <c r="U40" s="1239">
        <v>2009</v>
      </c>
      <c r="V40" s="1241">
        <f>SUM(J58:J69)</f>
        <v>129919267.53378721</v>
      </c>
      <c r="W40" s="1240">
        <f t="shared" si="4"/>
        <v>2.1974836321048334E-3</v>
      </c>
      <c r="X40" s="1242">
        <f>S69</f>
        <v>127811923.39517263</v>
      </c>
      <c r="Y40" s="1240">
        <f t="shared" si="5"/>
        <v>2.5624494651324214E-3</v>
      </c>
      <c r="Z40" s="1240">
        <f t="shared" si="3"/>
        <v>-1.6220412711813802E-2</v>
      </c>
      <c r="AA40" s="240"/>
      <c r="AB40" s="240"/>
      <c r="AC40" s="240"/>
      <c r="AD40" s="240"/>
      <c r="AE40" s="240"/>
      <c r="AF40" s="240"/>
      <c r="AG40" s="240"/>
      <c r="AH40" s="240"/>
      <c r="AI40" s="240"/>
      <c r="AJ40" s="240"/>
      <c r="AK40" s="240"/>
      <c r="AL40" s="240"/>
      <c r="AM40" s="240"/>
    </row>
    <row r="41" spans="1:39" x14ac:dyDescent="0.2">
      <c r="A41" s="675">
        <f t="shared" si="2"/>
        <v>32</v>
      </c>
      <c r="B41" s="266" t="str">
        <f>CONCATENATE('3. Consumption by Rate Class'!B47,"-",'3. Consumption by Rate Class'!C47)</f>
        <v>2007-August</v>
      </c>
      <c r="C41" s="270">
        <v>11518806</v>
      </c>
      <c r="D41" s="252">
        <f>+'X.1.CDM Calculation'!H38</f>
        <v>96727.023192294364</v>
      </c>
      <c r="E41" s="731"/>
      <c r="F41" s="252"/>
      <c r="G41" s="252"/>
      <c r="H41" s="731"/>
      <c r="I41" s="731"/>
      <c r="J41" s="268">
        <f t="shared" si="0"/>
        <v>11615533.023192294</v>
      </c>
      <c r="K41" s="267">
        <f>IF(K$8='5.Variables'!$B$10,+'5.Variables'!$J23,+IF(K$8='5.Variables'!$B$33,+'5.Variables'!$J46,+IF(K$8='5.Variables'!$B$56,+'5.Variables'!$J60,+IF(K$8='5.Variables'!$B$70,+'5.Variables'!$J74,+IF(K$8='5.Variables'!$B$84,+'5.Variables'!$J88,+IF(K$8='5.Variables'!$B$98,+'5.Variables'!$J102,0))))))</f>
        <v>11186</v>
      </c>
      <c r="L41" s="267">
        <f>IF(L$8='5.Variables'!$B$10,+'5.Variables'!$J23,+IF(L$8='5.Variables'!$B$33,+'5.Variables'!$J46,+IF(L$8='5.Variables'!$B$56,+'5.Variables'!$J60,+IF(L$8='5.Variables'!$B$70,+'5.Variables'!$J74,+IF(L$8='5.Variables'!$B$84,+'5.Variables'!$J88,+IF(L$8='5.Variables'!$B$98,+'5.Variables'!$J102,0))))))</f>
        <v>17.5</v>
      </c>
      <c r="M41" s="267">
        <f>IF(M$8='5.Variables'!$B$10,+'5.Variables'!$J23,+IF(M$8='5.Variables'!$B$33,+'5.Variables'!$J46,+IF(M$8='5.Variables'!$B$56,+'5.Variables'!$J60,+IF(M$8='5.Variables'!$B$70,+'5.Variables'!$J74,+IF(M$8='5.Variables'!$B$84,+'5.Variables'!$J88,+IF(M$8='5.Variables'!$B$98,+'5.Variables'!$J102,0))))))</f>
        <v>88.7</v>
      </c>
      <c r="N41" s="267">
        <f>IF(N$8='5.Variables'!$B$10,+'5.Variables'!$J23,+IF(N$8='5.Variables'!$B$33,+'5.Variables'!$J46,+IF(N$8='5.Variables'!$B$56,+'5.Variables'!$J60,+IF(N$8='5.Variables'!$B$70,+'5.Variables'!$J74,+IF(N$8='5.Variables'!$B$84,+'5.Variables'!$J88,+IF(N$8='5.Variables'!$B$98,+'5.Variables'!$J102,0))))))</f>
        <v>0</v>
      </c>
      <c r="O41" s="267">
        <f>IF(O$8='5.Variables'!$B$10,+'5.Variables'!$J23,+IF(O$8='5.Variables'!$B$33,+'5.Variables'!$J46,+IF(O$8='5.Variables'!$B$56,+'5.Variables'!$J60,+IF(O$8='5.Variables'!$B$70,+'5.Variables'!$J74,+IF(O$8='5.Variables'!$B$84,+'5.Variables'!$J88,+IF(O$8='5.Variables'!$B$98,+'5.Variables'!$J102,0))))))</f>
        <v>-4.5369000000000002</v>
      </c>
      <c r="P41" s="267">
        <f>IF(P$8='5.Variables'!$B$10,+'5.Variables'!$J23,+IF(P$8='5.Variables'!$B$33,+'5.Variables'!$J46,+IF(P$8='5.Variables'!$B$56,+'5.Variables'!$J60,+IF(P$8='5.Variables'!$B$70,+'5.Variables'!$J74,+IF(P$8='5.Variables'!$B$84,+'5.Variables'!$J88,+IF(P$8='5.Variables'!$B$98,+'5.Variables'!$J102,0))))))</f>
        <v>31</v>
      </c>
      <c r="Q41" s="240"/>
      <c r="R41" s="268">
        <f t="shared" si="1"/>
        <v>11243283.251284843</v>
      </c>
      <c r="S41" s="272"/>
      <c r="T41" s="240"/>
      <c r="U41" s="1239">
        <v>2010</v>
      </c>
      <c r="V41" s="1241">
        <f>SUM(J70:J81)</f>
        <v>131401699.22159928</v>
      </c>
      <c r="W41" s="1240">
        <f t="shared" si="4"/>
        <v>1.1410406754537384E-2</v>
      </c>
      <c r="X41" s="1242">
        <f>S81</f>
        <v>133734014.78599641</v>
      </c>
      <c r="Y41" s="1240">
        <f t="shared" si="5"/>
        <v>4.6334420400776594E-2</v>
      </c>
      <c r="Z41" s="1240">
        <f t="shared" si="3"/>
        <v>1.7749508402199944E-2</v>
      </c>
      <c r="AA41" s="240"/>
      <c r="AB41" s="240"/>
      <c r="AC41" s="240"/>
      <c r="AD41" s="240"/>
      <c r="AE41" s="240"/>
      <c r="AF41" s="240"/>
      <c r="AG41" s="240"/>
      <c r="AH41" s="240"/>
      <c r="AI41" s="240"/>
      <c r="AJ41" s="240"/>
      <c r="AK41" s="240"/>
      <c r="AL41" s="240"/>
      <c r="AM41" s="240"/>
    </row>
    <row r="42" spans="1:39" x14ac:dyDescent="0.2">
      <c r="A42" s="675">
        <f t="shared" si="2"/>
        <v>33</v>
      </c>
      <c r="B42" s="266" t="str">
        <f>CONCATENATE('3. Consumption by Rate Class'!B48,"-",'3. Consumption by Rate Class'!C48)</f>
        <v>2007-September</v>
      </c>
      <c r="C42" s="270">
        <v>8972619</v>
      </c>
      <c r="D42" s="252">
        <f>+'X.1.CDM Calculation'!H39</f>
        <v>97238.130906630468</v>
      </c>
      <c r="E42" s="731"/>
      <c r="F42" s="252"/>
      <c r="G42" s="252"/>
      <c r="H42" s="731"/>
      <c r="I42" s="731"/>
      <c r="J42" s="268">
        <f t="shared" ref="J42:J73" si="6">SUM(C42:I42)</f>
        <v>9069857.1309066303</v>
      </c>
      <c r="K42" s="267">
        <f>IF(K$8='5.Variables'!$B$10,+'5.Variables'!$K23,+IF(K$8='5.Variables'!$B$33,+'5.Variables'!$K46,+IF(K$8='5.Variables'!$B$56,+'5.Variables'!$K60,+IF(K$8='5.Variables'!$B$70,+'5.Variables'!$K74,+IF(K$8='5.Variables'!$B$84,+'5.Variables'!$K88,+IF(K$8='5.Variables'!$B$98,+'5.Variables'!$K102,0))))))</f>
        <v>11236</v>
      </c>
      <c r="L42" s="267">
        <f>IF(L$8='5.Variables'!$B$10,+'5.Variables'!$K23,+IF(L$8='5.Variables'!$B$33,+'5.Variables'!$K46,+IF(L$8='5.Variables'!$B$56,+'5.Variables'!$K60,+IF(L$8='5.Variables'!$B$70,+'5.Variables'!$K74,+IF(L$8='5.Variables'!$B$84,+'5.Variables'!$K88,+IF(L$8='5.Variables'!$B$98,+'5.Variables'!$K102,0))))))</f>
        <v>50.4</v>
      </c>
      <c r="M42" s="267">
        <f>IF(M$8='5.Variables'!$B$10,+'5.Variables'!$K23,+IF(M$8='5.Variables'!$B$33,+'5.Variables'!$K46,+IF(M$8='5.Variables'!$B$56,+'5.Variables'!$K60,+IF(M$8='5.Variables'!$B$70,+'5.Variables'!$K74,+IF(M$8='5.Variables'!$B$84,+'5.Variables'!$K88,+IF(M$8='5.Variables'!$B$98,+'5.Variables'!$K102,0))))))</f>
        <v>40.9</v>
      </c>
      <c r="N42" s="267">
        <f>IF(N$8='5.Variables'!$B$10,+'5.Variables'!$K23,+IF(N$8='5.Variables'!$B$33,+'5.Variables'!$K46,+IF(N$8='5.Variables'!$B$56,+'5.Variables'!$K60,+IF(N$8='5.Variables'!$B$70,+'5.Variables'!$K74,+IF(N$8='5.Variables'!$B$84,+'5.Variables'!$K88,+IF(N$8='5.Variables'!$B$98,+'5.Variables'!$K102,0))))))</f>
        <v>1</v>
      </c>
      <c r="O42" s="267">
        <f>IF(O$8='5.Variables'!$B$10,+'5.Variables'!$K23,+IF(O$8='5.Variables'!$B$33,+'5.Variables'!$K46,+IF(O$8='5.Variables'!$B$56,+'5.Variables'!$K60,+IF(O$8='5.Variables'!$B$70,+'5.Variables'!$K74,+IF(O$8='5.Variables'!$B$84,+'5.Variables'!$K88,+IF(O$8='5.Variables'!$B$98,+'5.Variables'!$K102,0))))))</f>
        <v>-4.7564000000000002</v>
      </c>
      <c r="P42" s="267">
        <f>IF(P$8='5.Variables'!$B$10,+'5.Variables'!$K23,+IF(P$8='5.Variables'!$B$33,+'5.Variables'!$K46,+IF(P$8='5.Variables'!$B$56,+'5.Variables'!$K60,+IF(P$8='5.Variables'!$B$70,+'5.Variables'!$K74,+IF(P$8='5.Variables'!$B$84,+'5.Variables'!$K88,+IF(P$8='5.Variables'!$B$98,+'5.Variables'!$K102,0))))))</f>
        <v>30</v>
      </c>
      <c r="Q42" s="240"/>
      <c r="R42" s="268">
        <f t="shared" ref="R42:R73" si="7">$V$24+(K42*$V$25)+(L42*$V$26)+(M42*$V$27)+(N42*$V$28)+(O42*$V$29)+(P42*$V$30)</f>
        <v>8854197.3409376666</v>
      </c>
      <c r="S42" s="272"/>
      <c r="T42" s="240"/>
      <c r="U42" s="1239">
        <v>2011</v>
      </c>
      <c r="V42" s="1241">
        <f>SUM(J82:J93)</f>
        <v>133937001.79387802</v>
      </c>
      <c r="W42" s="1240">
        <f t="shared" si="4"/>
        <v>1.9294290616464076E-2</v>
      </c>
      <c r="X42" s="1242">
        <f>S93</f>
        <v>135182816.26438898</v>
      </c>
      <c r="Y42" s="1240">
        <f t="shared" si="5"/>
        <v>1.0833455353232083E-2</v>
      </c>
      <c r="Z42" s="1240">
        <f t="shared" si="3"/>
        <v>9.3014958810874564E-3</v>
      </c>
      <c r="AA42" s="240"/>
      <c r="AB42" s="240"/>
      <c r="AC42" s="240"/>
      <c r="AD42" s="240"/>
      <c r="AE42" s="240"/>
      <c r="AF42" s="240"/>
      <c r="AG42" s="240"/>
      <c r="AH42" s="240"/>
      <c r="AI42" s="240"/>
      <c r="AJ42" s="240"/>
      <c r="AK42" s="240"/>
      <c r="AL42" s="240"/>
      <c r="AM42" s="240"/>
    </row>
    <row r="43" spans="1:39" x14ac:dyDescent="0.2">
      <c r="A43" s="675">
        <f t="shared" ref="A43:A75" si="8">+A42+1</f>
        <v>34</v>
      </c>
      <c r="B43" s="266" t="str">
        <f>CONCATENATE('3. Consumption by Rate Class'!B49,"-",'3. Consumption by Rate Class'!C49)</f>
        <v>2007-October</v>
      </c>
      <c r="C43" s="270">
        <v>8837911</v>
      </c>
      <c r="D43" s="252">
        <f>+'X.1.CDM Calculation'!H40</f>
        <v>97749.238620966571</v>
      </c>
      <c r="E43" s="731"/>
      <c r="F43" s="252"/>
      <c r="G43" s="252"/>
      <c r="H43" s="731"/>
      <c r="I43" s="731"/>
      <c r="J43" s="268">
        <f t="shared" si="6"/>
        <v>8935660.2386209667</v>
      </c>
      <c r="K43" s="267">
        <f>IF(K$8='5.Variables'!$B$10,+'5.Variables'!$L23,+IF(K$8='5.Variables'!$B$33,+'5.Variables'!$L46,+IF(K$8='5.Variables'!$B$56,+'5.Variables'!$L60,+IF(K$8='5.Variables'!$B$70,+'5.Variables'!$L74,+IF(K$8='5.Variables'!$B$84,+'5.Variables'!$L88,+IF(K$8='5.Variables'!$B$98,+'5.Variables'!$L102,0))))))</f>
        <v>11253</v>
      </c>
      <c r="L43" s="267">
        <f>IF(L$8='5.Variables'!$B$10,+'5.Variables'!$L23,+IF(L$8='5.Variables'!$B$33,+'5.Variables'!$L46,+IF(L$8='5.Variables'!$B$56,+'5.Variables'!$L60,+IF(L$8='5.Variables'!$B$70,+'5.Variables'!$L74,+IF(L$8='5.Variables'!$B$84,+'5.Variables'!$L88,+IF(L$8='5.Variables'!$B$98,+'5.Variables'!$L102,0))))))</f>
        <v>141.9</v>
      </c>
      <c r="M43" s="267">
        <f>IF(M$8='5.Variables'!$B$10,+'5.Variables'!$L23,+IF(M$8='5.Variables'!$B$33,+'5.Variables'!$L46,+IF(M$8='5.Variables'!$B$56,+'5.Variables'!$L60,+IF(M$8='5.Variables'!$B$70,+'5.Variables'!$L74,+IF(M$8='5.Variables'!$B$84,+'5.Variables'!$L88,+IF(M$8='5.Variables'!$B$98,+'5.Variables'!$L102,0))))))</f>
        <v>22.2</v>
      </c>
      <c r="N43" s="267">
        <f>IF(N$8='5.Variables'!$B$10,+'5.Variables'!$L23,+IF(N$8='5.Variables'!$B$33,+'5.Variables'!$L46,+IF(N$8='5.Variables'!$B$56,+'5.Variables'!$L60,+IF(N$8='5.Variables'!$B$70,+'5.Variables'!$L74,+IF(N$8='5.Variables'!$B$84,+'5.Variables'!$L88,+IF(N$8='5.Variables'!$B$98,+'5.Variables'!$L102,0))))))</f>
        <v>1</v>
      </c>
      <c r="O43" s="267">
        <f>IF(O$8='5.Variables'!$B$10,+'5.Variables'!$L23,+IF(O$8='5.Variables'!$B$33,+'5.Variables'!$L46,+IF(O$8='5.Variables'!$B$56,+'5.Variables'!$L60,+IF(O$8='5.Variables'!$B$70,+'5.Variables'!$L74,+IF(O$8='5.Variables'!$B$84,+'5.Variables'!$L88,+IF(O$8='5.Variables'!$B$98,+'5.Variables'!$L102,0))))))</f>
        <v>-4.9759000000000002</v>
      </c>
      <c r="P43" s="267">
        <f>IF(P$8='5.Variables'!$B$10,+'5.Variables'!$L23,+IF(P$8='5.Variables'!$B$33,+'5.Variables'!$L46,+IF(P$8='5.Variables'!$B$56,+'5.Variables'!$L60,+IF(P$8='5.Variables'!$B$70,+'5.Variables'!$L74,+IF(P$8='5.Variables'!$B$84,+'5.Variables'!$L88,+IF(P$8='5.Variables'!$B$98,+'5.Variables'!$L102,0))))))</f>
        <v>31</v>
      </c>
      <c r="Q43" s="240"/>
      <c r="R43" s="268">
        <f t="shared" si="7"/>
        <v>9270145.7876049764</v>
      </c>
      <c r="S43" s="272"/>
      <c r="T43" s="240"/>
      <c r="U43" s="1239">
        <v>2012</v>
      </c>
      <c r="V43" s="1241">
        <f>SUM(J94:J105)</f>
        <v>135122554.14110184</v>
      </c>
      <c r="W43" s="1240">
        <f t="shared" si="4"/>
        <v>8.851567015426557E-3</v>
      </c>
      <c r="X43" s="1242">
        <f>S105</f>
        <v>137553791.54448798</v>
      </c>
      <c r="Y43" s="1240">
        <f t="shared" si="5"/>
        <v>1.7539028595630664E-2</v>
      </c>
      <c r="Z43" s="1240">
        <f t="shared" si="3"/>
        <v>1.7992831906117793E-2</v>
      </c>
      <c r="AA43" s="240"/>
      <c r="AB43" s="240"/>
      <c r="AC43" s="240"/>
      <c r="AD43" s="240"/>
      <c r="AE43" s="240"/>
      <c r="AF43" s="240"/>
      <c r="AG43" s="240"/>
      <c r="AH43" s="240"/>
      <c r="AI43" s="240"/>
      <c r="AJ43" s="240"/>
      <c r="AK43" s="240"/>
      <c r="AL43" s="240"/>
      <c r="AM43" s="240"/>
    </row>
    <row r="44" spans="1:39" x14ac:dyDescent="0.2">
      <c r="A44" s="675">
        <f t="shared" si="8"/>
        <v>35</v>
      </c>
      <c r="B44" s="266" t="str">
        <f>CONCATENATE('3. Consumption by Rate Class'!B50,"-",'3. Consumption by Rate Class'!C50)</f>
        <v>2007-November</v>
      </c>
      <c r="C44" s="270">
        <v>10240247</v>
      </c>
      <c r="D44" s="252">
        <f>+'X.1.CDM Calculation'!H41</f>
        <v>98260.346335302689</v>
      </c>
      <c r="E44" s="731"/>
      <c r="F44" s="252"/>
      <c r="G44" s="252"/>
      <c r="H44" s="731"/>
      <c r="I44" s="731"/>
      <c r="J44" s="268">
        <f t="shared" si="6"/>
        <v>10338507.346335303</v>
      </c>
      <c r="K44" s="267">
        <f>IF(K$8='5.Variables'!$B$10,+'5.Variables'!$M23,+IF(K$8='5.Variables'!$B$33,+'5.Variables'!$M46,+IF(K$8='5.Variables'!$B$56,+'5.Variables'!$M60,+IF(K$8='5.Variables'!$B$70,+'5.Variables'!$M74,+IF(K$8='5.Variables'!$B$84,+'5.Variables'!$M88,+IF(K$8='5.Variables'!$B$98,+'5.Variables'!$M102,0))))))</f>
        <v>11265</v>
      </c>
      <c r="L44" s="267">
        <f>IF(L$8='5.Variables'!$B$10,+'5.Variables'!$M23,+IF(L$8='5.Variables'!$B$33,+'5.Variables'!$M46,+IF(L$8='5.Variables'!$B$56,+'5.Variables'!$M60,+IF(L$8='5.Variables'!$B$70,+'5.Variables'!$M74,+IF(L$8='5.Variables'!$B$84,+'5.Variables'!$M88,+IF(L$8='5.Variables'!$B$98,+'5.Variables'!$M102,0))))))</f>
        <v>466.3</v>
      </c>
      <c r="M44" s="267">
        <f>IF(M$8='5.Variables'!$B$10,+'5.Variables'!$M23,+IF(M$8='5.Variables'!$B$33,+'5.Variables'!$M46,+IF(M$8='5.Variables'!$B$56,+'5.Variables'!$M60,+IF(M$8='5.Variables'!$B$70,+'5.Variables'!$M74,+IF(M$8='5.Variables'!$B$84,+'5.Variables'!$M88,+IF(M$8='5.Variables'!$B$98,+'5.Variables'!$M102,0))))))</f>
        <v>0</v>
      </c>
      <c r="N44" s="267">
        <f>IF(N$8='5.Variables'!$B$10,+'5.Variables'!$M23,+IF(N$8='5.Variables'!$B$33,+'5.Variables'!$M46,+IF(N$8='5.Variables'!$B$56,+'5.Variables'!$M60,+IF(N$8='5.Variables'!$B$70,+'5.Variables'!$M74,+IF(N$8='5.Variables'!$B$84,+'5.Variables'!$M88,+IF(N$8='5.Variables'!$B$98,+'5.Variables'!$M102,0))))))</f>
        <v>1</v>
      </c>
      <c r="O44" s="267">
        <f>IF(O$8='5.Variables'!$B$10,+'5.Variables'!$M23,+IF(O$8='5.Variables'!$B$33,+'5.Variables'!$M46,+IF(O$8='5.Variables'!$B$56,+'5.Variables'!$M60,+IF(O$8='5.Variables'!$B$70,+'5.Variables'!$M74,+IF(O$8='5.Variables'!$B$84,+'5.Variables'!$M88,+IF(O$8='5.Variables'!$B$98,+'5.Variables'!$M102,0))))))</f>
        <v>-5.1954000000000002</v>
      </c>
      <c r="P44" s="267">
        <f>IF(P$8='5.Variables'!$B$10,+'5.Variables'!$M23,+IF(P$8='5.Variables'!$B$33,+'5.Variables'!$M46,+IF(P$8='5.Variables'!$B$56,+'5.Variables'!$M60,+IF(P$8='5.Variables'!$B$70,+'5.Variables'!$M74,+IF(P$8='5.Variables'!$B$84,+'5.Variables'!$M88,+IF(P$8='5.Variables'!$B$98,+'5.Variables'!$M102,0))))))</f>
        <v>30</v>
      </c>
      <c r="Q44" s="240"/>
      <c r="R44" s="268">
        <f t="shared" si="7"/>
        <v>9993622.9029905591</v>
      </c>
      <c r="S44" s="272"/>
      <c r="T44" s="240"/>
      <c r="U44" s="1239">
        <v>2013</v>
      </c>
      <c r="V44" s="1241">
        <f>SUM(J106:J117)</f>
        <v>140022738.8160786</v>
      </c>
      <c r="W44" s="1240">
        <f t="shared" si="4"/>
        <v>3.6264742819024455E-2</v>
      </c>
      <c r="X44" s="1242">
        <f>S117</f>
        <v>139097908.02772683</v>
      </c>
      <c r="Y44" s="1240">
        <f t="shared" si="5"/>
        <v>1.1225546500035545E-2</v>
      </c>
      <c r="Z44" s="1240">
        <f t="shared" si="3"/>
        <v>-6.6048614401590126E-3</v>
      </c>
      <c r="AA44" s="240"/>
      <c r="AB44" s="240"/>
      <c r="AC44" s="240"/>
      <c r="AD44" s="240"/>
      <c r="AE44" s="240"/>
      <c r="AF44" s="240"/>
      <c r="AG44" s="240"/>
      <c r="AH44" s="240"/>
      <c r="AI44" s="240"/>
      <c r="AJ44" s="240"/>
      <c r="AK44" s="240"/>
      <c r="AL44" s="240"/>
      <c r="AM44" s="240"/>
    </row>
    <row r="45" spans="1:39" x14ac:dyDescent="0.2">
      <c r="A45" s="675">
        <f t="shared" si="8"/>
        <v>36</v>
      </c>
      <c r="B45" s="266" t="str">
        <f>CONCATENATE('3. Consumption by Rate Class'!B51,"-",'3. Consumption by Rate Class'!C51)</f>
        <v>2007-December</v>
      </c>
      <c r="C45" s="270">
        <v>12689471</v>
      </c>
      <c r="D45" s="252">
        <f>+'X.1.CDM Calculation'!H42</f>
        <v>98771.454049638793</v>
      </c>
      <c r="E45" s="731"/>
      <c r="F45" s="252"/>
      <c r="G45" s="252"/>
      <c r="H45" s="731"/>
      <c r="I45" s="731"/>
      <c r="J45" s="268">
        <f t="shared" si="6"/>
        <v>12788242.454049639</v>
      </c>
      <c r="K45" s="267">
        <f>IF(K$8='5.Variables'!$B$10,+'5.Variables'!$N23,+IF(K$8='5.Variables'!$B$33,+'5.Variables'!$N46,+IF(K$8='5.Variables'!$B$56,+'5.Variables'!$N60,+IF(K$8='5.Variables'!$B$70,+'5.Variables'!$N74,+IF(K$8='5.Variables'!$B$84,+'5.Variables'!$N88,+IF(K$8='5.Variables'!$B$98,+'5.Variables'!$N102,0))))))</f>
        <v>11312</v>
      </c>
      <c r="L45" s="267">
        <f>IF(L$8='5.Variables'!$B$10,+'5.Variables'!$N23,+IF(L$8='5.Variables'!$B$33,+'5.Variables'!$N46,+IF(L$8='5.Variables'!$B$56,+'5.Variables'!$N60,+IF(L$8='5.Variables'!$B$70,+'5.Variables'!$N74,+IF(L$8='5.Variables'!$B$84,+'5.Variables'!$N88,+IF(L$8='5.Variables'!$B$98,+'5.Variables'!$N102,0))))))</f>
        <v>654.1</v>
      </c>
      <c r="M45" s="267">
        <f>IF(M$8='5.Variables'!$B$10,+'5.Variables'!$N23,+IF(M$8='5.Variables'!$B$33,+'5.Variables'!$N46,+IF(M$8='5.Variables'!$B$56,+'5.Variables'!$N60,+IF(M$8='5.Variables'!$B$70,+'5.Variables'!$N74,+IF(M$8='5.Variables'!$B$84,+'5.Variables'!$N88,+IF(M$8='5.Variables'!$B$98,+'5.Variables'!$N102,0))))))</f>
        <v>0</v>
      </c>
      <c r="N45" s="267">
        <f>IF(N$8='5.Variables'!$B$10,+'5.Variables'!$N23,+IF(N$8='5.Variables'!$B$33,+'5.Variables'!$N46,+IF(N$8='5.Variables'!$B$56,+'5.Variables'!$N60,+IF(N$8='5.Variables'!$B$70,+'5.Variables'!$N74,+IF(N$8='5.Variables'!$B$84,+'5.Variables'!$N88,+IF(N$8='5.Variables'!$B$98,+'5.Variables'!$N102,0))))))</f>
        <v>0</v>
      </c>
      <c r="O45" s="267">
        <f>IF(O$8='5.Variables'!$B$10,+'5.Variables'!$N23,+IF(O$8='5.Variables'!$B$33,+'5.Variables'!$N46,+IF(O$8='5.Variables'!$B$56,+'5.Variables'!$N60,+IF(O$8='5.Variables'!$B$70,+'5.Variables'!$N74,+IF(O$8='5.Variables'!$B$84,+'5.Variables'!$N88,+IF(O$8='5.Variables'!$B$98,+'5.Variables'!$N102,0))))))</f>
        <v>-5.4149000000000003</v>
      </c>
      <c r="P45" s="267">
        <f>IF(P$8='5.Variables'!$B$10,+'5.Variables'!$N23,+IF(P$8='5.Variables'!$B$33,+'5.Variables'!$N46,+IF(P$8='5.Variables'!$B$56,+'5.Variables'!$N60,+IF(P$8='5.Variables'!$B$70,+'5.Variables'!$N74,+IF(P$8='5.Variables'!$B$84,+'5.Variables'!$N88,+IF(P$8='5.Variables'!$B$98,+'5.Variables'!$N102,0))))))</f>
        <v>31</v>
      </c>
      <c r="Q45" s="240"/>
      <c r="R45" s="268">
        <f t="shared" si="7"/>
        <v>12397205.515056832</v>
      </c>
      <c r="S45" s="272">
        <f>SUM(R34:R45)</f>
        <v>125038875.58014549</v>
      </c>
      <c r="T45" s="240"/>
      <c r="U45" s="1239">
        <v>2014</v>
      </c>
      <c r="V45" s="1241">
        <f>SUM(J118:J129)</f>
        <v>141256275.46223882</v>
      </c>
      <c r="W45" s="1240">
        <f t="shared" si="4"/>
        <v>8.8095451966589446E-3</v>
      </c>
      <c r="X45" s="1242">
        <f>S129</f>
        <v>139896381.2156412</v>
      </c>
      <c r="Y45" s="1240">
        <f t="shared" si="5"/>
        <v>5.7403680561120248E-3</v>
      </c>
      <c r="Z45" s="1240">
        <f t="shared" si="3"/>
        <v>-9.62714217225096E-3</v>
      </c>
      <c r="AA45" s="240"/>
      <c r="AB45" s="240"/>
      <c r="AC45" s="240"/>
      <c r="AD45" s="240"/>
      <c r="AE45" s="240"/>
      <c r="AF45" s="240"/>
      <c r="AG45" s="240"/>
      <c r="AH45" s="240"/>
      <c r="AI45" s="240"/>
      <c r="AJ45" s="240"/>
      <c r="AK45" s="240"/>
      <c r="AL45" s="240"/>
      <c r="AM45" s="240"/>
    </row>
    <row r="46" spans="1:39" x14ac:dyDescent="0.2">
      <c r="A46" s="675">
        <f t="shared" si="8"/>
        <v>37</v>
      </c>
      <c r="B46" s="266" t="str">
        <f>CONCATENATE('3. Consumption by Rate Class'!B52,"-",'3. Consumption by Rate Class'!C52)</f>
        <v>2008-January</v>
      </c>
      <c r="C46" s="270">
        <v>12264015</v>
      </c>
      <c r="D46" s="252">
        <f>+'X.1.CDM Calculation'!H43</f>
        <v>132437.44826771642</v>
      </c>
      <c r="E46" s="731"/>
      <c r="F46" s="252"/>
      <c r="G46" s="252"/>
      <c r="H46" s="731"/>
      <c r="I46" s="731"/>
      <c r="J46" s="268">
        <f t="shared" si="6"/>
        <v>12396452.448267717</v>
      </c>
      <c r="K46" s="267">
        <f>IF(K$8='5.Variables'!$B$10,+'5.Variables'!$C24,+IF(K$8='5.Variables'!$B$33,+'5.Variables'!$C47,+IF(K$8='5.Variables'!$B$56,+'5.Variables'!$C61,+IF(K$8='5.Variables'!$B$70,+'5.Variables'!$C75,+IF(K$8='5.Variables'!$B$84,+'5.Variables'!$C89,+IF(K$8='5.Variables'!$B$98,+'5.Variables'!$C103,0))))))</f>
        <v>11324</v>
      </c>
      <c r="L46" s="267">
        <f>IF(L$8='5.Variables'!$B$10,+'5.Variables'!$C24,+IF(L$8='5.Variables'!$B$33,+'5.Variables'!$C47,+IF(L$8='5.Variables'!$B$56,+'5.Variables'!$C61,+IF(L$8='5.Variables'!$B$70,+'5.Variables'!$C75,+IF(L$8='5.Variables'!$B$84,+'5.Variables'!$C89,+IF(L$8='5.Variables'!$B$98,+'5.Variables'!$C103,0))))))</f>
        <v>622.1</v>
      </c>
      <c r="M46" s="267">
        <f>IF(M$8='5.Variables'!$B$10,+'5.Variables'!$C24,+IF(M$8='5.Variables'!$B$33,+'5.Variables'!$C47,+IF(M$8='5.Variables'!$B$56,+'5.Variables'!$C61,+IF(M$8='5.Variables'!$B$70,+'5.Variables'!$C75,+IF(M$8='5.Variables'!$B$84,+'5.Variables'!$C89,+IF(M$8='5.Variables'!$B$98,+'5.Variables'!$C103,0))))))</f>
        <v>0</v>
      </c>
      <c r="N46" s="267">
        <f>IF(N$8='5.Variables'!$B$10,+'5.Variables'!$C24,+IF(N$8='5.Variables'!$B$33,+'5.Variables'!$C47,+IF(N$8='5.Variables'!$B$56,+'5.Variables'!$C61,+IF(N$8='5.Variables'!$B$70,+'5.Variables'!$C75,+IF(N$8='5.Variables'!$B$84,+'5.Variables'!$C89,+IF(N$8='5.Variables'!$B$98,+'5.Variables'!$C103,0))))))</f>
        <v>0</v>
      </c>
      <c r="O46" s="267">
        <f>IF(O$8='5.Variables'!$B$10,+'5.Variables'!$C24,+IF(O$8='5.Variables'!$B$33,+'5.Variables'!$C47,+IF(O$8='5.Variables'!$B$56,+'5.Variables'!$C61,+IF(O$8='5.Variables'!$B$70,+'5.Variables'!$C75,+IF(O$8='5.Variables'!$B$84,+'5.Variables'!$C89,+IF(O$8='5.Variables'!$B$98,+'5.Variables'!$C103,0))))))</f>
        <v>-5.6343999999999994</v>
      </c>
      <c r="P46" s="267">
        <f>IF(P$8='5.Variables'!$B$10,+'5.Variables'!$C24,+IF(P$8='5.Variables'!$B$33,+'5.Variables'!$C47,+IF(P$8='5.Variables'!$B$56,+'5.Variables'!$C61,+IF(P$8='5.Variables'!$B$70,+'5.Variables'!$C75,+IF(P$8='5.Variables'!$B$84,+'5.Variables'!$C89,+IF(P$8='5.Variables'!$B$98,+'5.Variables'!$C103,0))))))</f>
        <v>31</v>
      </c>
      <c r="Q46" s="240"/>
      <c r="R46" s="268">
        <f t="shared" si="7"/>
        <v>12222173.460209355</v>
      </c>
      <c r="S46" s="272"/>
      <c r="T46" s="240"/>
      <c r="U46" s="240"/>
      <c r="V46" s="276"/>
      <c r="W46" s="276"/>
      <c r="X46" s="277"/>
      <c r="Y46" s="240"/>
      <c r="Z46" s="240"/>
      <c r="AA46" s="240"/>
      <c r="AB46" s="240"/>
      <c r="AC46" s="240"/>
      <c r="AD46" s="240"/>
      <c r="AE46" s="240"/>
      <c r="AF46" s="240"/>
      <c r="AG46" s="240"/>
      <c r="AH46" s="240"/>
      <c r="AI46" s="240"/>
      <c r="AJ46" s="240"/>
      <c r="AK46" s="240"/>
      <c r="AL46" s="240"/>
      <c r="AM46" s="240"/>
    </row>
    <row r="47" spans="1:39" x14ac:dyDescent="0.2">
      <c r="A47" s="675">
        <f t="shared" si="8"/>
        <v>38</v>
      </c>
      <c r="B47" s="266" t="str">
        <f>CONCATENATE('3. Consumption by Rate Class'!B53,"-",'3. Consumption by Rate Class'!C53)</f>
        <v>2008-February</v>
      </c>
      <c r="C47" s="270">
        <v>11804844</v>
      </c>
      <c r="D47" s="252">
        <f>+'X.1.CDM Calculation'!H44</f>
        <v>130155.71624752045</v>
      </c>
      <c r="E47" s="731"/>
      <c r="F47" s="252"/>
      <c r="G47" s="252"/>
      <c r="H47" s="731"/>
      <c r="I47" s="731"/>
      <c r="J47" s="268">
        <f t="shared" si="6"/>
        <v>11934999.716247521</v>
      </c>
      <c r="K47" s="267">
        <f>IF(K$8='5.Variables'!$B$10,+'5.Variables'!$D24,+IF(K$8='5.Variables'!$B$33,+'5.Variables'!$D47,+IF(K$8='5.Variables'!$B$56,+'5.Variables'!$D61,+IF(K$8='5.Variables'!$B$70,+'5.Variables'!$D75,+IF(K$8='5.Variables'!$B$84,+'5.Variables'!$D89,+IF(K$8='5.Variables'!$B$98,+'5.Variables'!$D103,0))))))</f>
        <v>11335</v>
      </c>
      <c r="L47" s="267">
        <f>IF(L$8='5.Variables'!$B$10,+'5.Variables'!$D24,+IF(L$8='5.Variables'!$B$33,+'5.Variables'!$D47,+IF(L$8='5.Variables'!$B$56,+'5.Variables'!$D61,+IF(L$8='5.Variables'!$B$70,+'5.Variables'!$D75,+IF(L$8='5.Variables'!$B$84,+'5.Variables'!$D89,+IF(L$8='5.Variables'!$B$98,+'5.Variables'!$D103,0))))))</f>
        <v>688.6</v>
      </c>
      <c r="M47" s="267">
        <f>IF(M$8='5.Variables'!$B$10,+'5.Variables'!$D24,+IF(M$8='5.Variables'!$B$33,+'5.Variables'!$D47,+IF(M$8='5.Variables'!$B$56,+'5.Variables'!$D61,+IF(M$8='5.Variables'!$B$70,+'5.Variables'!$D75,+IF(M$8='5.Variables'!$B$84,+'5.Variables'!$D89,+IF(M$8='5.Variables'!$B$98,+'5.Variables'!$D103,0))))))</f>
        <v>0</v>
      </c>
      <c r="N47" s="267">
        <f>IF(N$8='5.Variables'!$B$10,+'5.Variables'!$D24,+IF(N$8='5.Variables'!$B$33,+'5.Variables'!$D47,+IF(N$8='5.Variables'!$B$56,+'5.Variables'!$D61,+IF(N$8='5.Variables'!$B$70,+'5.Variables'!$D75,+IF(N$8='5.Variables'!$B$84,+'5.Variables'!$D89,+IF(N$8='5.Variables'!$B$98,+'5.Variables'!$D103,0))))))</f>
        <v>0</v>
      </c>
      <c r="O47" s="267">
        <f>IF(O$8='5.Variables'!$B$10,+'5.Variables'!$D24,+IF(O$8='5.Variables'!$B$33,+'5.Variables'!$D47,+IF(O$8='5.Variables'!$B$56,+'5.Variables'!$D61,+IF(O$8='5.Variables'!$B$70,+'5.Variables'!$D75,+IF(O$8='5.Variables'!$B$84,+'5.Variables'!$D89,+IF(O$8='5.Variables'!$B$98,+'5.Variables'!$D103,0))))))</f>
        <v>-5.8538999999999994</v>
      </c>
      <c r="P47" s="267">
        <f>IF(P$8='5.Variables'!$B$10,+'5.Variables'!$D24,+IF(P$8='5.Variables'!$B$33,+'5.Variables'!$D47,+IF(P$8='5.Variables'!$B$56,+'5.Variables'!$D61,+IF(P$8='5.Variables'!$B$70,+'5.Variables'!$D75,+IF(P$8='5.Variables'!$B$84,+'5.Variables'!$D89,+IF(P$8='5.Variables'!$B$98,+'5.Variables'!$D103,0))))))</f>
        <v>29</v>
      </c>
      <c r="Q47" s="240"/>
      <c r="R47" s="268">
        <f t="shared" si="7"/>
        <v>11727236.49952773</v>
      </c>
      <c r="S47" s="272"/>
      <c r="T47" s="240"/>
      <c r="U47" s="245" t="s">
        <v>33</v>
      </c>
      <c r="V47" s="245" t="s">
        <v>656</v>
      </c>
      <c r="W47" s="245" t="s">
        <v>655</v>
      </c>
      <c r="X47" s="1067" t="s">
        <v>31</v>
      </c>
      <c r="Y47" s="240"/>
      <c r="Z47" s="240"/>
      <c r="AA47" s="240"/>
      <c r="AB47" s="240"/>
      <c r="AC47" s="240"/>
      <c r="AD47" s="240"/>
      <c r="AE47" s="240"/>
      <c r="AF47" s="240"/>
      <c r="AG47" s="240"/>
      <c r="AH47" s="240"/>
      <c r="AI47" s="240"/>
      <c r="AJ47" s="240"/>
      <c r="AK47" s="240"/>
      <c r="AL47" s="240"/>
      <c r="AM47" s="240"/>
    </row>
    <row r="48" spans="1:39" x14ac:dyDescent="0.2">
      <c r="A48" s="675">
        <f t="shared" si="8"/>
        <v>39</v>
      </c>
      <c r="B48" s="266" t="str">
        <f>CONCATENATE('3. Consumption by Rate Class'!B54,"-",'3. Consumption by Rate Class'!C54)</f>
        <v>2008-March</v>
      </c>
      <c r="C48" s="270">
        <v>11812299</v>
      </c>
      <c r="D48" s="252">
        <f>+'X.1.CDM Calculation'!H45</f>
        <v>127873.98422732447</v>
      </c>
      <c r="E48" s="731"/>
      <c r="F48" s="252"/>
      <c r="G48" s="252"/>
      <c r="H48" s="731"/>
      <c r="I48" s="731"/>
      <c r="J48" s="268">
        <f t="shared" si="6"/>
        <v>11940172.984227324</v>
      </c>
      <c r="K48" s="267">
        <f>IF(K$8='5.Variables'!$B$10,+'5.Variables'!$E24,+IF(K$8='5.Variables'!$B$33,+'5.Variables'!$E47,+IF(K$8='5.Variables'!$B$56,+'5.Variables'!$E61,+IF(K$8='5.Variables'!$B$70,+'5.Variables'!$E75,+IF(K$8='5.Variables'!$B$84,+'5.Variables'!$E89,+IF(K$8='5.Variables'!$B$98,+'5.Variables'!$E103,0))))))</f>
        <v>11344</v>
      </c>
      <c r="L48" s="267">
        <f>IF(L$8='5.Variables'!$B$10,+'5.Variables'!$E24,+IF(L$8='5.Variables'!$B$33,+'5.Variables'!$E47,+IF(L$8='5.Variables'!$B$56,+'5.Variables'!$E61,+IF(L$8='5.Variables'!$B$70,+'5.Variables'!$E75,+IF(L$8='5.Variables'!$B$84,+'5.Variables'!$E89,+IF(L$8='5.Variables'!$B$98,+'5.Variables'!$E103,0))))))</f>
        <v>630.20000000000005</v>
      </c>
      <c r="M48" s="267">
        <f>IF(M$8='5.Variables'!$B$10,+'5.Variables'!$E24,+IF(M$8='5.Variables'!$B$33,+'5.Variables'!$E47,+IF(M$8='5.Variables'!$B$56,+'5.Variables'!$E61,+IF(M$8='5.Variables'!$B$70,+'5.Variables'!$E75,+IF(M$8='5.Variables'!$B$84,+'5.Variables'!$E89,+IF(M$8='5.Variables'!$B$98,+'5.Variables'!$E103,0))))))</f>
        <v>0</v>
      </c>
      <c r="N48" s="267">
        <f>IF(N$8='5.Variables'!$B$10,+'5.Variables'!$E24,+IF(N$8='5.Variables'!$B$33,+'5.Variables'!$E47,+IF(N$8='5.Variables'!$B$56,+'5.Variables'!$E61,+IF(N$8='5.Variables'!$B$70,+'5.Variables'!$E75,+IF(N$8='5.Variables'!$B$84,+'5.Variables'!$E89,+IF(N$8='5.Variables'!$B$98,+'5.Variables'!$E103,0))))))</f>
        <v>1</v>
      </c>
      <c r="O48" s="267">
        <f>IF(O$8='5.Variables'!$B$10,+'5.Variables'!$E24,+IF(O$8='5.Variables'!$B$33,+'5.Variables'!$E47,+IF(O$8='5.Variables'!$B$56,+'5.Variables'!$E61,+IF(O$8='5.Variables'!$B$70,+'5.Variables'!$E75,+IF(O$8='5.Variables'!$B$84,+'5.Variables'!$E89,+IF(O$8='5.Variables'!$B$98,+'5.Variables'!$E103,0))))))</f>
        <v>-6.0733999999999995</v>
      </c>
      <c r="P48" s="267">
        <f>IF(P$8='5.Variables'!$B$10,+'5.Variables'!$E24,+IF(P$8='5.Variables'!$B$33,+'5.Variables'!$E47,+IF(P$8='5.Variables'!$B$56,+'5.Variables'!$E61,+IF(P$8='5.Variables'!$B$70,+'5.Variables'!$E75,+IF(P$8='5.Variables'!$B$84,+'5.Variables'!$E89,+IF(P$8='5.Variables'!$B$98,+'5.Variables'!$E103,0))))))</f>
        <v>31</v>
      </c>
      <c r="Q48" s="240"/>
      <c r="R48" s="268">
        <f t="shared" si="7"/>
        <v>11370024.82688036</v>
      </c>
      <c r="S48" s="272"/>
      <c r="T48" s="240"/>
      <c r="U48" s="246">
        <f>'4. Customer Growth'!B9</f>
        <v>2005</v>
      </c>
      <c r="V48" s="1082">
        <f>V36</f>
        <v>116383501</v>
      </c>
      <c r="W48" s="1082">
        <f>X36</f>
        <v>115988429.89198539</v>
      </c>
      <c r="X48" s="275">
        <f>IF(ABS(V48-W48)=0,0,ABS(V48-W48)/V48)</f>
        <v>3.3945628428432772E-3</v>
      </c>
      <c r="Y48" s="240"/>
      <c r="Z48" s="240"/>
      <c r="AA48" s="240"/>
      <c r="AB48" s="240"/>
      <c r="AC48" s="240"/>
      <c r="AD48" s="240"/>
      <c r="AE48" s="240"/>
      <c r="AF48" s="240"/>
      <c r="AG48" s="240"/>
      <c r="AH48" s="240"/>
      <c r="AI48" s="240"/>
      <c r="AJ48" s="240"/>
      <c r="AK48" s="240"/>
      <c r="AL48" s="240"/>
      <c r="AM48" s="240"/>
    </row>
    <row r="49" spans="1:39" x14ac:dyDescent="0.2">
      <c r="A49" s="675">
        <f t="shared" si="8"/>
        <v>40</v>
      </c>
      <c r="B49" s="266" t="str">
        <f>CONCATENATE('3. Consumption by Rate Class'!B55,"-",'3. Consumption by Rate Class'!C55)</f>
        <v>2008-April</v>
      </c>
      <c r="C49" s="270">
        <v>8938098</v>
      </c>
      <c r="D49" s="252">
        <f>+'X.1.CDM Calculation'!H46</f>
        <v>125592.25220712849</v>
      </c>
      <c r="E49" s="731"/>
      <c r="F49" s="252"/>
      <c r="G49" s="252"/>
      <c r="H49" s="731"/>
      <c r="I49" s="731"/>
      <c r="J49" s="268">
        <f t="shared" si="6"/>
        <v>9063690.2522071283</v>
      </c>
      <c r="K49" s="267">
        <f>IF(K$8='5.Variables'!$B$10,+'5.Variables'!$F24,+IF(K$8='5.Variables'!$B$33,+'5.Variables'!$F47,+IF(K$8='5.Variables'!$B$56,+'5.Variables'!$F61,+IF(K$8='5.Variables'!$B$70,+'5.Variables'!$F75,+IF(K$8='5.Variables'!$B$84,+'5.Variables'!$F89,+IF(K$8='5.Variables'!$B$98,+'5.Variables'!$F103,0))))))</f>
        <v>11358</v>
      </c>
      <c r="L49" s="267">
        <f>IF(L$8='5.Variables'!$B$10,+'5.Variables'!$F24,+IF(L$8='5.Variables'!$B$33,+'5.Variables'!$F47,+IF(L$8='5.Variables'!$B$56,+'5.Variables'!$F61,+IF(L$8='5.Variables'!$B$70,+'5.Variables'!$F75,+IF(L$8='5.Variables'!$B$84,+'5.Variables'!$F89,+IF(L$8='5.Variables'!$B$98,+'5.Variables'!$F103,0))))))</f>
        <v>280.39999999999998</v>
      </c>
      <c r="M49" s="267">
        <f>IF(M$8='5.Variables'!$B$10,+'5.Variables'!$F24,+IF(M$8='5.Variables'!$B$33,+'5.Variables'!$F47,+IF(M$8='5.Variables'!$B$56,+'5.Variables'!$F61,+IF(M$8='5.Variables'!$B$70,+'5.Variables'!$F75,+IF(M$8='5.Variables'!$B$84,+'5.Variables'!$F89,+IF(M$8='5.Variables'!$B$98,+'5.Variables'!$F103,0))))))</f>
        <v>0.9</v>
      </c>
      <c r="N49" s="267">
        <f>IF(N$8='5.Variables'!$B$10,+'5.Variables'!$F24,+IF(N$8='5.Variables'!$B$33,+'5.Variables'!$F47,+IF(N$8='5.Variables'!$B$56,+'5.Variables'!$F61,+IF(N$8='5.Variables'!$B$70,+'5.Variables'!$F75,+IF(N$8='5.Variables'!$B$84,+'5.Variables'!$F89,+IF(N$8='5.Variables'!$B$98,+'5.Variables'!$F103,0))))))</f>
        <v>1</v>
      </c>
      <c r="O49" s="267">
        <f>IF(O$8='5.Variables'!$B$10,+'5.Variables'!$F24,+IF(O$8='5.Variables'!$B$33,+'5.Variables'!$F47,+IF(O$8='5.Variables'!$B$56,+'5.Variables'!$F61,+IF(O$8='5.Variables'!$B$70,+'5.Variables'!$F75,+IF(O$8='5.Variables'!$B$84,+'5.Variables'!$F89,+IF(O$8='5.Variables'!$B$98,+'5.Variables'!$F103,0))))))</f>
        <v>-6.2928999999999995</v>
      </c>
      <c r="P49" s="267">
        <f>IF(P$8='5.Variables'!$B$10,+'5.Variables'!$F24,+IF(P$8='5.Variables'!$B$33,+'5.Variables'!$F47,+IF(P$8='5.Variables'!$B$56,+'5.Variables'!$F61,+IF(P$8='5.Variables'!$B$70,+'5.Variables'!$F75,+IF(P$8='5.Variables'!$B$84,+'5.Variables'!$F89,+IF(P$8='5.Variables'!$B$98,+'5.Variables'!$F103,0))))))</f>
        <v>30</v>
      </c>
      <c r="Q49" s="240"/>
      <c r="R49" s="268">
        <f t="shared" si="7"/>
        <v>9065304.1075009704</v>
      </c>
      <c r="S49" s="272"/>
      <c r="T49" s="240"/>
      <c r="U49" s="246">
        <f>'4. Customer Growth'!B10</f>
        <v>2006</v>
      </c>
      <c r="V49" s="1082">
        <f t="shared" ref="V49:V57" si="9">V37</f>
        <v>115191936.86133909</v>
      </c>
      <c r="W49" s="1082">
        <f t="shared" ref="W49:W57" si="10">X37</f>
        <v>116344153.64245866</v>
      </c>
      <c r="X49" s="275">
        <f t="shared" ref="X49:X57" si="11">IF(ABS(V49-W49)=0,0,ABS(V49-W49)/V49)</f>
        <v>1.0002581886495556E-2</v>
      </c>
      <c r="Y49" s="278"/>
      <c r="Z49" s="240"/>
      <c r="AA49" s="240"/>
      <c r="AB49" s="240"/>
      <c r="AC49" s="240"/>
      <c r="AD49" s="240"/>
      <c r="AE49" s="240"/>
      <c r="AF49" s="240"/>
      <c r="AG49" s="240"/>
      <c r="AH49" s="240"/>
      <c r="AI49" s="240"/>
      <c r="AJ49" s="240"/>
      <c r="AK49" s="240"/>
      <c r="AL49" s="240"/>
      <c r="AM49" s="240"/>
    </row>
    <row r="50" spans="1:39" x14ac:dyDescent="0.2">
      <c r="A50" s="675">
        <f t="shared" si="8"/>
        <v>41</v>
      </c>
      <c r="B50" s="266" t="str">
        <f>CONCATENATE('3. Consumption by Rate Class'!B56,"-",'3. Consumption by Rate Class'!C56)</f>
        <v>2008-May</v>
      </c>
      <c r="C50" s="270">
        <v>9217345</v>
      </c>
      <c r="D50" s="252">
        <f>+'X.1.CDM Calculation'!H47</f>
        <v>123310.52018693252</v>
      </c>
      <c r="E50" s="731"/>
      <c r="F50" s="252"/>
      <c r="G50" s="252"/>
      <c r="H50" s="731"/>
      <c r="I50" s="731"/>
      <c r="J50" s="268">
        <f t="shared" si="6"/>
        <v>9340655.5201869328</v>
      </c>
      <c r="K50" s="267">
        <f>IF(K$8='5.Variables'!$B$10,+'5.Variables'!$G24,+IF(K$8='5.Variables'!$B$33,+'5.Variables'!$G47,+IF(K$8='5.Variables'!$B$56,+'5.Variables'!$G61,+IF(K$8='5.Variables'!$B$70,+'5.Variables'!$G75,+IF(K$8='5.Variables'!$B$84,+'5.Variables'!$G89,+IF(K$8='5.Variables'!$B$98,+'5.Variables'!$G103,0))))))</f>
        <v>11377</v>
      </c>
      <c r="L50" s="267">
        <f>IF(L$8='5.Variables'!$B$10,+'5.Variables'!$G24,+IF(L$8='5.Variables'!$B$33,+'5.Variables'!$G47,+IF(L$8='5.Variables'!$B$56,+'5.Variables'!$G61,+IF(L$8='5.Variables'!$B$70,+'5.Variables'!$G75,+IF(L$8='5.Variables'!$B$84,+'5.Variables'!$G89,+IF(L$8='5.Variables'!$B$98,+'5.Variables'!$G103,0))))))</f>
        <v>238.1</v>
      </c>
      <c r="M50" s="267">
        <f>IF(M$8='5.Variables'!$B$10,+'5.Variables'!$G24,+IF(M$8='5.Variables'!$B$33,+'5.Variables'!$G47,+IF(M$8='5.Variables'!$B$56,+'5.Variables'!$G61,+IF(M$8='5.Variables'!$B$70,+'5.Variables'!$G75,+IF(M$8='5.Variables'!$B$84,+'5.Variables'!$G89,+IF(M$8='5.Variables'!$B$98,+'5.Variables'!$G103,0))))))</f>
        <v>0</v>
      </c>
      <c r="N50" s="267">
        <f>IF(N$8='5.Variables'!$B$10,+'5.Variables'!$G24,+IF(N$8='5.Variables'!$B$33,+'5.Variables'!$G47,+IF(N$8='5.Variables'!$B$56,+'5.Variables'!$G61,+IF(N$8='5.Variables'!$B$70,+'5.Variables'!$G75,+IF(N$8='5.Variables'!$B$84,+'5.Variables'!$G89,+IF(N$8='5.Variables'!$B$98,+'5.Variables'!$G103,0))))))</f>
        <v>1</v>
      </c>
      <c r="O50" s="267">
        <f>IF(O$8='5.Variables'!$B$10,+'5.Variables'!$G24,+IF(O$8='5.Variables'!$B$33,+'5.Variables'!$G47,+IF(O$8='5.Variables'!$B$56,+'5.Variables'!$G61,+IF(O$8='5.Variables'!$B$70,+'5.Variables'!$G75,+IF(O$8='5.Variables'!$B$84,+'5.Variables'!$G89,+IF(O$8='5.Variables'!$B$98,+'5.Variables'!$G103,0))))))</f>
        <v>-6.5123999999999995</v>
      </c>
      <c r="P50" s="267">
        <f>IF(P$8='5.Variables'!$B$10,+'5.Variables'!$G24,+IF(P$8='5.Variables'!$B$33,+'5.Variables'!$G47,+IF(P$8='5.Variables'!$B$56,+'5.Variables'!$G61,+IF(P$8='5.Variables'!$B$70,+'5.Variables'!$G75,+IF(P$8='5.Variables'!$B$84,+'5.Variables'!$G89,+IF(P$8='5.Variables'!$B$98,+'5.Variables'!$G103,0))))))</f>
        <v>31</v>
      </c>
      <c r="Q50" s="240"/>
      <c r="R50" s="268">
        <f t="shared" si="7"/>
        <v>9249844.4646752104</v>
      </c>
      <c r="S50" s="272"/>
      <c r="T50" s="240"/>
      <c r="U50" s="246">
        <f>'4. Customer Growth'!B11</f>
        <v>2007</v>
      </c>
      <c r="V50" s="1082">
        <f t="shared" si="9"/>
        <v>125264170.3394495</v>
      </c>
      <c r="W50" s="1082">
        <f t="shared" si="10"/>
        <v>125038875.58014549</v>
      </c>
      <c r="X50" s="275">
        <f t="shared" si="11"/>
        <v>1.7985570709763425E-3</v>
      </c>
      <c r="Y50" s="278"/>
      <c r="Z50" s="240"/>
      <c r="AA50" s="240"/>
      <c r="AB50" s="240"/>
      <c r="AC50" s="240"/>
      <c r="AD50" s="240"/>
      <c r="AE50" s="240"/>
      <c r="AF50" s="240"/>
      <c r="AG50" s="240"/>
      <c r="AH50" s="240"/>
      <c r="AI50" s="240"/>
      <c r="AJ50" s="240"/>
      <c r="AK50" s="240"/>
      <c r="AL50" s="240"/>
      <c r="AM50" s="240"/>
    </row>
    <row r="51" spans="1:39" x14ac:dyDescent="0.2">
      <c r="A51" s="675">
        <f t="shared" si="8"/>
        <v>42</v>
      </c>
      <c r="B51" s="266" t="str">
        <f>CONCATENATE('3. Consumption by Rate Class'!B57,"-",'3. Consumption by Rate Class'!C57)</f>
        <v>2008-June</v>
      </c>
      <c r="C51" s="270">
        <v>9719413</v>
      </c>
      <c r="D51" s="252">
        <f>+'X.1.CDM Calculation'!H48</f>
        <v>121028.78816673657</v>
      </c>
      <c r="E51" s="731"/>
      <c r="F51" s="252"/>
      <c r="G51" s="252"/>
      <c r="H51" s="731"/>
      <c r="I51" s="731"/>
      <c r="J51" s="268">
        <f t="shared" si="6"/>
        <v>9840441.7881667372</v>
      </c>
      <c r="K51" s="267">
        <f>IF(K$8='5.Variables'!$B$10,+'5.Variables'!$H24,+IF(K$8='5.Variables'!$B$33,+'5.Variables'!$H47,+IF(K$8='5.Variables'!$B$56,+'5.Variables'!$H61,+IF(K$8='5.Variables'!$B$70,+'5.Variables'!$H75,+IF(K$8='5.Variables'!$B$84,+'5.Variables'!$H89,+IF(K$8='5.Variables'!$B$98,+'5.Variables'!$H103,0))))))</f>
        <v>11435</v>
      </c>
      <c r="L51" s="267">
        <f>IF(L$8='5.Variables'!$B$10,+'5.Variables'!$H24,+IF(L$8='5.Variables'!$B$33,+'5.Variables'!$H47,+IF(L$8='5.Variables'!$B$56,+'5.Variables'!$H61,+IF(L$8='5.Variables'!$B$70,+'5.Variables'!$H75,+IF(L$8='5.Variables'!$B$84,+'5.Variables'!$H89,+IF(L$8='5.Variables'!$B$98,+'5.Variables'!$H103,0))))))</f>
        <v>35.200000000000003</v>
      </c>
      <c r="M51" s="267">
        <f>IF(M$8='5.Variables'!$B$10,+'5.Variables'!$H24,+IF(M$8='5.Variables'!$B$33,+'5.Variables'!$H47,+IF(M$8='5.Variables'!$B$56,+'5.Variables'!$H61,+IF(M$8='5.Variables'!$B$70,+'5.Variables'!$H75,+IF(M$8='5.Variables'!$B$84,+'5.Variables'!$H89,+IF(M$8='5.Variables'!$B$98,+'5.Variables'!$H103,0))))))</f>
        <v>49.6</v>
      </c>
      <c r="N51" s="267">
        <f>IF(N$8='5.Variables'!$B$10,+'5.Variables'!$H24,+IF(N$8='5.Variables'!$B$33,+'5.Variables'!$H47,+IF(N$8='5.Variables'!$B$56,+'5.Variables'!$H61,+IF(N$8='5.Variables'!$B$70,+'5.Variables'!$H75,+IF(N$8='5.Variables'!$B$84,+'5.Variables'!$H89,+IF(N$8='5.Variables'!$B$98,+'5.Variables'!$H103,0))))))</f>
        <v>0</v>
      </c>
      <c r="O51" s="267">
        <f>IF(O$8='5.Variables'!$B$10,+'5.Variables'!$H24,+IF(O$8='5.Variables'!$B$33,+'5.Variables'!$H47,+IF(O$8='5.Variables'!$B$56,+'5.Variables'!$H61,+IF(O$8='5.Variables'!$B$70,+'5.Variables'!$H75,+IF(O$8='5.Variables'!$B$84,+'5.Variables'!$H89,+IF(O$8='5.Variables'!$B$98,+'5.Variables'!$H103,0))))))</f>
        <v>-6.7318999999999996</v>
      </c>
      <c r="P51" s="267">
        <f>IF(P$8='5.Variables'!$B$10,+'5.Variables'!$H24,+IF(P$8='5.Variables'!$B$33,+'5.Variables'!$H47,+IF(P$8='5.Variables'!$B$56,+'5.Variables'!$H61,+IF(P$8='5.Variables'!$B$70,+'5.Variables'!$H75,+IF(P$8='5.Variables'!$B$84,+'5.Variables'!$H89,+IF(P$8='5.Variables'!$B$98,+'5.Variables'!$H103,0))))))</f>
        <v>30</v>
      </c>
      <c r="Q51" s="240"/>
      <c r="R51" s="268">
        <f t="shared" si="7"/>
        <v>10067082.659788217</v>
      </c>
      <c r="S51" s="272"/>
      <c r="T51" s="240"/>
      <c r="U51" s="246">
        <f>'4. Customer Growth'!B12</f>
        <v>2008</v>
      </c>
      <c r="V51" s="1082">
        <f t="shared" si="9"/>
        <v>129634398.06587967</v>
      </c>
      <c r="W51" s="1082">
        <f t="shared" si="10"/>
        <v>127485248.88734896</v>
      </c>
      <c r="X51" s="275">
        <f t="shared" si="11"/>
        <v>1.6578540962858632E-2</v>
      </c>
      <c r="Y51" s="278"/>
      <c r="Z51" s="240"/>
      <c r="AA51" s="240"/>
      <c r="AB51" s="240"/>
      <c r="AC51" s="240"/>
      <c r="AD51" s="240"/>
      <c r="AE51" s="240"/>
      <c r="AF51" s="240"/>
      <c r="AG51" s="240"/>
      <c r="AH51" s="240"/>
      <c r="AI51" s="240"/>
      <c r="AJ51" s="240"/>
      <c r="AK51" s="240"/>
      <c r="AL51" s="240"/>
      <c r="AM51" s="240"/>
    </row>
    <row r="52" spans="1:39" x14ac:dyDescent="0.2">
      <c r="A52" s="675">
        <f t="shared" si="8"/>
        <v>43</v>
      </c>
      <c r="B52" s="266" t="str">
        <f>CONCATENATE('3. Consumption by Rate Class'!B58,"-",'3. Consumption by Rate Class'!C58)</f>
        <v>2008-July</v>
      </c>
      <c r="C52" s="270">
        <v>11318218</v>
      </c>
      <c r="D52" s="252">
        <f>+'X.1.CDM Calculation'!H49</f>
        <v>118747.05614654059</v>
      </c>
      <c r="E52" s="731"/>
      <c r="F52" s="252"/>
      <c r="G52" s="252"/>
      <c r="H52" s="731"/>
      <c r="I52" s="731"/>
      <c r="J52" s="268">
        <f t="shared" si="6"/>
        <v>11436965.05614654</v>
      </c>
      <c r="K52" s="267">
        <f>IF(K$8='5.Variables'!$B$10,+'5.Variables'!$I24,+IF(K$8='5.Variables'!$B$33,+'5.Variables'!$I47,+IF(K$8='5.Variables'!$B$56,+'5.Variables'!$I61,+IF(K$8='5.Variables'!$B$70,+'5.Variables'!$I75,+IF(K$8='5.Variables'!$B$84,+'5.Variables'!$I89,+IF(K$8='5.Variables'!$B$98,+'5.Variables'!$I103,0))))))</f>
        <v>11477</v>
      </c>
      <c r="L52" s="267">
        <f>IF(L$8='5.Variables'!$B$10,+'5.Variables'!$I24,+IF(L$8='5.Variables'!$B$33,+'5.Variables'!$I47,+IF(L$8='5.Variables'!$B$56,+'5.Variables'!$I61,+IF(L$8='5.Variables'!$B$70,+'5.Variables'!$I75,+IF(L$8='5.Variables'!$B$84,+'5.Variables'!$I89,+IF(L$8='5.Variables'!$B$98,+'5.Variables'!$I103,0))))))</f>
        <v>9.5</v>
      </c>
      <c r="M52" s="267">
        <f>IF(M$8='5.Variables'!$B$10,+'5.Variables'!$I24,+IF(M$8='5.Variables'!$B$33,+'5.Variables'!$I47,+IF(M$8='5.Variables'!$B$56,+'5.Variables'!$I61,+IF(M$8='5.Variables'!$B$70,+'5.Variables'!$I75,+IF(M$8='5.Variables'!$B$84,+'5.Variables'!$I89,+IF(M$8='5.Variables'!$B$98,+'5.Variables'!$I103,0))))))</f>
        <v>87.9</v>
      </c>
      <c r="N52" s="267">
        <f>IF(N$8='5.Variables'!$B$10,+'5.Variables'!$I24,+IF(N$8='5.Variables'!$B$33,+'5.Variables'!$I47,+IF(N$8='5.Variables'!$B$56,+'5.Variables'!$I61,+IF(N$8='5.Variables'!$B$70,+'5.Variables'!$I75,+IF(N$8='5.Variables'!$B$84,+'5.Variables'!$I89,+IF(N$8='5.Variables'!$B$98,+'5.Variables'!$I103,0))))))</f>
        <v>0</v>
      </c>
      <c r="O52" s="267">
        <f>IF(O$8='5.Variables'!$B$10,+'5.Variables'!$I24,+IF(O$8='5.Variables'!$B$33,+'5.Variables'!$I47,+IF(O$8='5.Variables'!$B$56,+'5.Variables'!$I61,+IF(O$8='5.Variables'!$B$70,+'5.Variables'!$I75,+IF(O$8='5.Variables'!$B$84,+'5.Variables'!$I89,+IF(O$8='5.Variables'!$B$98,+'5.Variables'!$I103,0))))))</f>
        <v>-6.9513999999999996</v>
      </c>
      <c r="P52" s="267">
        <f>IF(P$8='5.Variables'!$B$10,+'5.Variables'!$I24,+IF(P$8='5.Variables'!$B$33,+'5.Variables'!$I47,+IF(P$8='5.Variables'!$B$56,+'5.Variables'!$I61,+IF(P$8='5.Variables'!$B$70,+'5.Variables'!$I75,+IF(P$8='5.Variables'!$B$84,+'5.Variables'!$I89,+IF(P$8='5.Variables'!$B$98,+'5.Variables'!$I103,0))))))</f>
        <v>31</v>
      </c>
      <c r="Q52" s="240"/>
      <c r="R52" s="268">
        <f t="shared" si="7"/>
        <v>11473048.09997246</v>
      </c>
      <c r="S52" s="272"/>
      <c r="T52" s="240"/>
      <c r="U52" s="246">
        <f>'4. Customer Growth'!B13</f>
        <v>2009</v>
      </c>
      <c r="V52" s="1082">
        <f t="shared" si="9"/>
        <v>129919267.53378721</v>
      </c>
      <c r="W52" s="1082">
        <f t="shared" si="10"/>
        <v>127811923.39517263</v>
      </c>
      <c r="X52" s="275">
        <f t="shared" si="11"/>
        <v>1.6220412711813802E-2</v>
      </c>
      <c r="Y52" s="278"/>
      <c r="Z52" s="240"/>
      <c r="AA52" s="240"/>
      <c r="AB52" s="240"/>
      <c r="AC52" s="240"/>
      <c r="AD52" s="240"/>
      <c r="AE52" s="240"/>
      <c r="AF52" s="240"/>
      <c r="AG52" s="240"/>
      <c r="AH52" s="240"/>
      <c r="AI52" s="240"/>
      <c r="AJ52" s="240"/>
      <c r="AK52" s="240"/>
      <c r="AL52" s="240"/>
      <c r="AM52" s="240"/>
    </row>
    <row r="53" spans="1:39" x14ac:dyDescent="0.2">
      <c r="A53" s="675">
        <f t="shared" si="8"/>
        <v>44</v>
      </c>
      <c r="B53" s="266" t="str">
        <f>CONCATENATE('3. Consumption by Rate Class'!B59,"-",'3. Consumption by Rate Class'!C59)</f>
        <v>2008-August</v>
      </c>
      <c r="C53" s="270">
        <v>11136208</v>
      </c>
      <c r="D53" s="252">
        <f>+'X.1.CDM Calculation'!H50</f>
        <v>116465.32412634461</v>
      </c>
      <c r="E53" s="731"/>
      <c r="F53" s="252"/>
      <c r="G53" s="252"/>
      <c r="H53" s="731"/>
      <c r="I53" s="731"/>
      <c r="J53" s="268">
        <f t="shared" si="6"/>
        <v>11252673.324126344</v>
      </c>
      <c r="K53" s="267">
        <f>IF(K$8='5.Variables'!$B$10,+'5.Variables'!$J24,+IF(K$8='5.Variables'!$B$33,+'5.Variables'!$J47,+IF(K$8='5.Variables'!$B$56,+'5.Variables'!$J61,+IF(K$8='5.Variables'!$B$70,+'5.Variables'!$J75,+IF(K$8='5.Variables'!$B$84,+'5.Variables'!$J89,+IF(K$8='5.Variables'!$B$98,+'5.Variables'!$J103,0))))))</f>
        <v>11527</v>
      </c>
      <c r="L53" s="267">
        <f>IF(L$8='5.Variables'!$B$10,+'5.Variables'!$J24,+IF(L$8='5.Variables'!$B$33,+'5.Variables'!$J47,+IF(L$8='5.Variables'!$B$56,+'5.Variables'!$J61,+IF(L$8='5.Variables'!$B$70,+'5.Variables'!$J75,+IF(L$8='5.Variables'!$B$84,+'5.Variables'!$J89,+IF(L$8='5.Variables'!$B$98,+'5.Variables'!$J103,0))))))</f>
        <v>19.399999999999999</v>
      </c>
      <c r="M53" s="267">
        <f>IF(M$8='5.Variables'!$B$10,+'5.Variables'!$J24,+IF(M$8='5.Variables'!$B$33,+'5.Variables'!$J47,+IF(M$8='5.Variables'!$B$56,+'5.Variables'!$J61,+IF(M$8='5.Variables'!$B$70,+'5.Variables'!$J75,+IF(M$8='5.Variables'!$B$84,+'5.Variables'!$J89,+IF(M$8='5.Variables'!$B$98,+'5.Variables'!$J103,0))))))</f>
        <v>50.5</v>
      </c>
      <c r="N53" s="267">
        <f>IF(N$8='5.Variables'!$B$10,+'5.Variables'!$J24,+IF(N$8='5.Variables'!$B$33,+'5.Variables'!$J47,+IF(N$8='5.Variables'!$B$56,+'5.Variables'!$J61,+IF(N$8='5.Variables'!$B$70,+'5.Variables'!$J75,+IF(N$8='5.Variables'!$B$84,+'5.Variables'!$J89,+IF(N$8='5.Variables'!$B$98,+'5.Variables'!$J103,0))))))</f>
        <v>0</v>
      </c>
      <c r="O53" s="267">
        <f>IF(O$8='5.Variables'!$B$10,+'5.Variables'!$J24,+IF(O$8='5.Variables'!$B$33,+'5.Variables'!$J47,+IF(O$8='5.Variables'!$B$56,+'5.Variables'!$J61,+IF(O$8='5.Variables'!$B$70,+'5.Variables'!$J75,+IF(O$8='5.Variables'!$B$84,+'5.Variables'!$J89,+IF(O$8='5.Variables'!$B$98,+'5.Variables'!$J103,0))))))</f>
        <v>-7.1708999999999996</v>
      </c>
      <c r="P53" s="267">
        <f>IF(P$8='5.Variables'!$B$10,+'5.Variables'!$J24,+IF(P$8='5.Variables'!$B$33,+'5.Variables'!$J47,+IF(P$8='5.Variables'!$B$56,+'5.Variables'!$J61,+IF(P$8='5.Variables'!$B$70,+'5.Variables'!$J75,+IF(P$8='5.Variables'!$B$84,+'5.Variables'!$J89,+IF(P$8='5.Variables'!$B$98,+'5.Variables'!$J103,0))))))</f>
        <v>31</v>
      </c>
      <c r="Q53" s="240"/>
      <c r="R53" s="268">
        <f t="shared" si="7"/>
        <v>10561580.552487463</v>
      </c>
      <c r="S53" s="272"/>
      <c r="T53" s="240"/>
      <c r="U53" s="246">
        <f>'4. Customer Growth'!B14</f>
        <v>2010</v>
      </c>
      <c r="V53" s="1082">
        <f t="shared" si="9"/>
        <v>131401699.22159928</v>
      </c>
      <c r="W53" s="1082">
        <f t="shared" si="10"/>
        <v>133734014.78599641</v>
      </c>
      <c r="X53" s="275">
        <f t="shared" si="11"/>
        <v>1.7749508402199944E-2</v>
      </c>
      <c r="Y53" s="278"/>
      <c r="Z53" s="240"/>
      <c r="AA53" s="240"/>
      <c r="AB53" s="240"/>
      <c r="AC53" s="240"/>
      <c r="AD53" s="240"/>
      <c r="AE53" s="240"/>
      <c r="AF53" s="240"/>
      <c r="AG53" s="240"/>
      <c r="AH53" s="240"/>
      <c r="AI53" s="240"/>
      <c r="AJ53" s="240"/>
      <c r="AK53" s="240"/>
      <c r="AL53" s="240"/>
      <c r="AM53" s="240"/>
    </row>
    <row r="54" spans="1:39" x14ac:dyDescent="0.2">
      <c r="A54" s="675">
        <f t="shared" si="8"/>
        <v>45</v>
      </c>
      <c r="B54" s="266" t="str">
        <f>CONCATENATE('3. Consumption by Rate Class'!B60,"-",'3. Consumption by Rate Class'!C60)</f>
        <v>2008-September</v>
      </c>
      <c r="C54" s="270">
        <v>8954031</v>
      </c>
      <c r="D54" s="252">
        <f>+'X.1.CDM Calculation'!H51</f>
        <v>114183.59210614864</v>
      </c>
      <c r="E54" s="731"/>
      <c r="F54" s="252"/>
      <c r="G54" s="252"/>
      <c r="H54" s="731"/>
      <c r="I54" s="731"/>
      <c r="J54" s="268">
        <f t="shared" si="6"/>
        <v>9068214.5921061486</v>
      </c>
      <c r="K54" s="267">
        <f>IF(K$8='5.Variables'!$B$10,+'5.Variables'!$K24,+IF(K$8='5.Variables'!$B$33,+'5.Variables'!$K47,+IF(K$8='5.Variables'!$B$56,+'5.Variables'!$K61,+IF(K$8='5.Variables'!$B$70,+'5.Variables'!$K75,+IF(K$8='5.Variables'!$B$84,+'5.Variables'!$K89,+IF(K$8='5.Variables'!$B$98,+'5.Variables'!$K103,0))))))</f>
        <v>11549</v>
      </c>
      <c r="L54" s="267">
        <f>IF(L$8='5.Variables'!$B$10,+'5.Variables'!$K24,+IF(L$8='5.Variables'!$B$33,+'5.Variables'!$K47,+IF(L$8='5.Variables'!$B$56,+'5.Variables'!$K61,+IF(L$8='5.Variables'!$B$70,+'5.Variables'!$K75,+IF(L$8='5.Variables'!$B$84,+'5.Variables'!$K89,+IF(L$8='5.Variables'!$B$98,+'5.Variables'!$K103,0))))))</f>
        <v>72.7</v>
      </c>
      <c r="M54" s="267">
        <f>IF(M$8='5.Variables'!$B$10,+'5.Variables'!$K24,+IF(M$8='5.Variables'!$B$33,+'5.Variables'!$K47,+IF(M$8='5.Variables'!$B$56,+'5.Variables'!$K61,+IF(M$8='5.Variables'!$B$70,+'5.Variables'!$K75,+IF(M$8='5.Variables'!$B$84,+'5.Variables'!$K89,+IF(M$8='5.Variables'!$B$98,+'5.Variables'!$K103,0))))))</f>
        <v>21.6</v>
      </c>
      <c r="N54" s="267">
        <f>IF(N$8='5.Variables'!$B$10,+'5.Variables'!$K24,+IF(N$8='5.Variables'!$B$33,+'5.Variables'!$K47,+IF(N$8='5.Variables'!$B$56,+'5.Variables'!$K61,+IF(N$8='5.Variables'!$B$70,+'5.Variables'!$K75,+IF(N$8='5.Variables'!$B$84,+'5.Variables'!$K89,+IF(N$8='5.Variables'!$B$98,+'5.Variables'!$K103,0))))))</f>
        <v>1</v>
      </c>
      <c r="O54" s="267">
        <f>IF(O$8='5.Variables'!$B$10,+'5.Variables'!$K24,+IF(O$8='5.Variables'!$B$33,+'5.Variables'!$K47,+IF(O$8='5.Variables'!$B$56,+'5.Variables'!$K61,+IF(O$8='5.Variables'!$B$70,+'5.Variables'!$K75,+IF(O$8='5.Variables'!$B$84,+'5.Variables'!$K89,+IF(O$8='5.Variables'!$B$98,+'5.Variables'!$K103,0))))))</f>
        <v>-7.3903999999999996</v>
      </c>
      <c r="P54" s="267">
        <f>IF(P$8='5.Variables'!$B$10,+'5.Variables'!$K24,+IF(P$8='5.Variables'!$B$33,+'5.Variables'!$K47,+IF(P$8='5.Variables'!$B$56,+'5.Variables'!$K61,+IF(P$8='5.Variables'!$B$70,+'5.Variables'!$K75,+IF(P$8='5.Variables'!$B$84,+'5.Variables'!$K89,+IF(P$8='5.Variables'!$B$98,+'5.Variables'!$K103,0))))))</f>
        <v>30</v>
      </c>
      <c r="Q54" s="240"/>
      <c r="R54" s="268">
        <f t="shared" si="7"/>
        <v>8754335.010585485</v>
      </c>
      <c r="S54" s="272"/>
      <c r="T54" s="240"/>
      <c r="U54" s="246">
        <f>'4. Customer Growth'!B15</f>
        <v>2011</v>
      </c>
      <c r="V54" s="1082">
        <f t="shared" si="9"/>
        <v>133937001.79387802</v>
      </c>
      <c r="W54" s="1082">
        <f t="shared" si="10"/>
        <v>135182816.26438898</v>
      </c>
      <c r="X54" s="275">
        <f t="shared" si="11"/>
        <v>9.3014958810874564E-3</v>
      </c>
      <c r="Y54" s="278"/>
      <c r="Z54" s="240"/>
      <c r="AA54" s="240"/>
      <c r="AB54" s="240"/>
      <c r="AC54" s="240"/>
      <c r="AD54" s="240"/>
      <c r="AE54" s="240"/>
      <c r="AF54" s="240"/>
      <c r="AG54" s="240"/>
      <c r="AH54" s="240"/>
      <c r="AI54" s="240"/>
      <c r="AJ54" s="240"/>
      <c r="AK54" s="240"/>
      <c r="AL54" s="240"/>
      <c r="AM54" s="240"/>
    </row>
    <row r="55" spans="1:39" x14ac:dyDescent="0.2">
      <c r="A55" s="675">
        <f t="shared" si="8"/>
        <v>46</v>
      </c>
      <c r="B55" s="266" t="str">
        <f>CONCATENATE('3. Consumption by Rate Class'!B61,"-",'3. Consumption by Rate Class'!C61)</f>
        <v>2008-October</v>
      </c>
      <c r="C55" s="270">
        <v>9569483</v>
      </c>
      <c r="D55" s="252">
        <f>+'X.1.CDM Calculation'!H52</f>
        <v>111901.86008595268</v>
      </c>
      <c r="E55" s="731"/>
      <c r="F55" s="252"/>
      <c r="G55" s="252"/>
      <c r="H55" s="731"/>
      <c r="I55" s="731"/>
      <c r="J55" s="268">
        <f t="shared" si="6"/>
        <v>9681384.860085953</v>
      </c>
      <c r="K55" s="267">
        <f>IF(K$8='5.Variables'!$B$10,+'5.Variables'!$L24,+IF(K$8='5.Variables'!$B$33,+'5.Variables'!$L47,+IF(K$8='5.Variables'!$B$56,+'5.Variables'!$L61,+IF(K$8='5.Variables'!$B$70,+'5.Variables'!$L75,+IF(K$8='5.Variables'!$B$84,+'5.Variables'!$L89,+IF(K$8='5.Variables'!$B$98,+'5.Variables'!$L103,0))))))</f>
        <v>11596</v>
      </c>
      <c r="L55" s="267">
        <f>IF(L$8='5.Variables'!$B$10,+'5.Variables'!$L24,+IF(L$8='5.Variables'!$B$33,+'5.Variables'!$L47,+IF(L$8='5.Variables'!$B$56,+'5.Variables'!$L61,+IF(L$8='5.Variables'!$B$70,+'5.Variables'!$L75,+IF(L$8='5.Variables'!$B$84,+'5.Variables'!$L89,+IF(L$8='5.Variables'!$B$98,+'5.Variables'!$L103,0))))))</f>
        <v>273</v>
      </c>
      <c r="M55" s="267">
        <f>IF(M$8='5.Variables'!$B$10,+'5.Variables'!$L24,+IF(M$8='5.Variables'!$B$33,+'5.Variables'!$L47,+IF(M$8='5.Variables'!$B$56,+'5.Variables'!$L61,+IF(M$8='5.Variables'!$B$70,+'5.Variables'!$L75,+IF(M$8='5.Variables'!$B$84,+'5.Variables'!$L89,+IF(M$8='5.Variables'!$B$98,+'5.Variables'!$L103,0))))))</f>
        <v>3.7</v>
      </c>
      <c r="N55" s="267">
        <f>IF(N$8='5.Variables'!$B$10,+'5.Variables'!$L24,+IF(N$8='5.Variables'!$B$33,+'5.Variables'!$L47,+IF(N$8='5.Variables'!$B$56,+'5.Variables'!$L61,+IF(N$8='5.Variables'!$B$70,+'5.Variables'!$L75,+IF(N$8='5.Variables'!$B$84,+'5.Variables'!$L89,+IF(N$8='5.Variables'!$B$98,+'5.Variables'!$L103,0))))))</f>
        <v>1</v>
      </c>
      <c r="O55" s="267">
        <f>IF(O$8='5.Variables'!$B$10,+'5.Variables'!$L24,+IF(O$8='5.Variables'!$B$33,+'5.Variables'!$L47,+IF(O$8='5.Variables'!$B$56,+'5.Variables'!$L61,+IF(O$8='5.Variables'!$B$70,+'5.Variables'!$L75,+IF(O$8='5.Variables'!$B$84,+'5.Variables'!$L89,+IF(O$8='5.Variables'!$B$98,+'5.Variables'!$L103,0))))))</f>
        <v>-7.6098999999999997</v>
      </c>
      <c r="P55" s="267">
        <f>IF(P$8='5.Variables'!$B$10,+'5.Variables'!$L24,+IF(P$8='5.Variables'!$B$33,+'5.Variables'!$L47,+IF(P$8='5.Variables'!$B$56,+'5.Variables'!$L61,+IF(P$8='5.Variables'!$B$70,+'5.Variables'!$L75,+IF(P$8='5.Variables'!$B$84,+'5.Variables'!$L89,+IF(P$8='5.Variables'!$B$98,+'5.Variables'!$L103,0))))))</f>
        <v>31</v>
      </c>
      <c r="Q55" s="240"/>
      <c r="R55" s="268">
        <f t="shared" si="7"/>
        <v>9842391.0838481486</v>
      </c>
      <c r="S55" s="272"/>
      <c r="T55" s="240"/>
      <c r="U55" s="246">
        <f>'4. Customer Growth'!B16</f>
        <v>2012</v>
      </c>
      <c r="V55" s="1082">
        <f t="shared" si="9"/>
        <v>135122554.14110184</v>
      </c>
      <c r="W55" s="1082">
        <f t="shared" si="10"/>
        <v>137553791.54448798</v>
      </c>
      <c r="X55" s="275">
        <f t="shared" si="11"/>
        <v>1.7992831906117793E-2</v>
      </c>
      <c r="Y55" s="278"/>
      <c r="Z55" s="240"/>
      <c r="AA55" s="240"/>
      <c r="AB55" s="240"/>
      <c r="AC55" s="240"/>
      <c r="AD55" s="240"/>
      <c r="AE55" s="240"/>
      <c r="AF55" s="240"/>
      <c r="AG55" s="240"/>
      <c r="AH55" s="240"/>
      <c r="AI55" s="240"/>
      <c r="AJ55" s="240"/>
      <c r="AK55" s="240"/>
      <c r="AL55" s="240"/>
      <c r="AM55" s="240"/>
    </row>
    <row r="56" spans="1:39" x14ac:dyDescent="0.2">
      <c r="A56" s="675">
        <f t="shared" si="8"/>
        <v>47</v>
      </c>
      <c r="B56" s="266" t="str">
        <f>CONCATENATE('3. Consumption by Rate Class'!B62,"-",'3. Consumption by Rate Class'!C62)</f>
        <v>2008-November</v>
      </c>
      <c r="C56" s="270">
        <v>10428769</v>
      </c>
      <c r="D56" s="252">
        <f>+'X.1.CDM Calculation'!H53</f>
        <v>109620.1280657567</v>
      </c>
      <c r="E56" s="731"/>
      <c r="F56" s="252"/>
      <c r="G56" s="252"/>
      <c r="H56" s="731"/>
      <c r="I56" s="731"/>
      <c r="J56" s="268">
        <f t="shared" si="6"/>
        <v>10538389.128065757</v>
      </c>
      <c r="K56" s="267">
        <f>IF(K$8='5.Variables'!$B$10,+'5.Variables'!$M24,+IF(K$8='5.Variables'!$B$33,+'5.Variables'!$M47,+IF(K$8='5.Variables'!$B$56,+'5.Variables'!$M61,+IF(K$8='5.Variables'!$B$70,+'5.Variables'!$M75,+IF(K$8='5.Variables'!$B$84,+'5.Variables'!$M89,+IF(K$8='5.Variables'!$B$98,+'5.Variables'!$M103,0))))))</f>
        <v>11631</v>
      </c>
      <c r="L56" s="267">
        <f>IF(L$8='5.Variables'!$B$10,+'5.Variables'!$M24,+IF(L$8='5.Variables'!$B$33,+'5.Variables'!$M47,+IF(L$8='5.Variables'!$B$56,+'5.Variables'!$M61,+IF(L$8='5.Variables'!$B$70,+'5.Variables'!$M75,+IF(L$8='5.Variables'!$B$84,+'5.Variables'!$M89,+IF(L$8='5.Variables'!$B$98,+'5.Variables'!$M103,0))))))</f>
        <v>444.3</v>
      </c>
      <c r="M56" s="267">
        <f>IF(M$8='5.Variables'!$B$10,+'5.Variables'!$M24,+IF(M$8='5.Variables'!$B$33,+'5.Variables'!$M47,+IF(M$8='5.Variables'!$B$56,+'5.Variables'!$M61,+IF(M$8='5.Variables'!$B$70,+'5.Variables'!$M75,+IF(M$8='5.Variables'!$B$84,+'5.Variables'!$M89,+IF(M$8='5.Variables'!$B$98,+'5.Variables'!$M103,0))))))</f>
        <v>0</v>
      </c>
      <c r="N56" s="267">
        <f>IF(N$8='5.Variables'!$B$10,+'5.Variables'!$M24,+IF(N$8='5.Variables'!$B$33,+'5.Variables'!$M47,+IF(N$8='5.Variables'!$B$56,+'5.Variables'!$M61,+IF(N$8='5.Variables'!$B$70,+'5.Variables'!$M75,+IF(N$8='5.Variables'!$B$84,+'5.Variables'!$M89,+IF(N$8='5.Variables'!$B$98,+'5.Variables'!$M103,0))))))</f>
        <v>1</v>
      </c>
      <c r="O56" s="267">
        <f>IF(O$8='5.Variables'!$B$10,+'5.Variables'!$M24,+IF(O$8='5.Variables'!$B$33,+'5.Variables'!$M47,+IF(O$8='5.Variables'!$B$56,+'5.Variables'!$M61,+IF(O$8='5.Variables'!$B$70,+'5.Variables'!$M75,+IF(O$8='5.Variables'!$B$84,+'5.Variables'!$M89,+IF(O$8='5.Variables'!$B$98,+'5.Variables'!$M103,0))))))</f>
        <v>-7.8293999999999997</v>
      </c>
      <c r="P56" s="267">
        <f>IF(P$8='5.Variables'!$B$10,+'5.Variables'!$M24,+IF(P$8='5.Variables'!$B$33,+'5.Variables'!$M47,+IF(P$8='5.Variables'!$B$56,+'5.Variables'!$M61,+IF(P$8='5.Variables'!$B$70,+'5.Variables'!$M75,+IF(P$8='5.Variables'!$B$84,+'5.Variables'!$M89,+IF(P$8='5.Variables'!$B$98,+'5.Variables'!$M103,0))))))</f>
        <v>30</v>
      </c>
      <c r="Q56" s="240"/>
      <c r="R56" s="268">
        <f t="shared" si="7"/>
        <v>10288809.793186853</v>
      </c>
      <c r="S56" s="272"/>
      <c r="T56" s="240"/>
      <c r="U56" s="246">
        <f>'4. Customer Growth'!B17</f>
        <v>2013</v>
      </c>
      <c r="V56" s="1082">
        <f t="shared" si="9"/>
        <v>140022738.8160786</v>
      </c>
      <c r="W56" s="1082">
        <f t="shared" si="10"/>
        <v>139097908.02772683</v>
      </c>
      <c r="X56" s="275">
        <f t="shared" si="11"/>
        <v>6.6048614401590126E-3</v>
      </c>
      <c r="Y56" s="278"/>
      <c r="Z56" s="240"/>
      <c r="AA56" s="240"/>
      <c r="AB56" s="240"/>
      <c r="AC56" s="240"/>
      <c r="AD56" s="240"/>
      <c r="AE56" s="240"/>
      <c r="AF56" s="240"/>
      <c r="AG56" s="240"/>
      <c r="AH56" s="240"/>
      <c r="AI56" s="240"/>
      <c r="AJ56" s="240"/>
      <c r="AK56" s="240"/>
      <c r="AL56" s="240"/>
      <c r="AM56" s="240"/>
    </row>
    <row r="57" spans="1:39" x14ac:dyDescent="0.2">
      <c r="A57" s="675">
        <f t="shared" si="8"/>
        <v>48</v>
      </c>
      <c r="B57" s="266" t="str">
        <f>CONCATENATE('3. Consumption by Rate Class'!B63,"-",'3. Consumption by Rate Class'!C63)</f>
        <v>2008-December</v>
      </c>
      <c r="C57" s="270">
        <v>13033020</v>
      </c>
      <c r="D57" s="252">
        <f>+'X.1.CDM Calculation'!H54</f>
        <v>107338.39604556072</v>
      </c>
      <c r="E57" s="731"/>
      <c r="F57" s="252"/>
      <c r="G57" s="252"/>
      <c r="H57" s="731"/>
      <c r="I57" s="731"/>
      <c r="J57" s="268">
        <f t="shared" si="6"/>
        <v>13140358.39604556</v>
      </c>
      <c r="K57" s="267">
        <f>IF(K$8='5.Variables'!$B$10,+'5.Variables'!$N24,+IF(K$8='5.Variables'!$B$33,+'5.Variables'!$N47,+IF(K$8='5.Variables'!$B$56,+'5.Variables'!$N61,+IF(K$8='5.Variables'!$B$70,+'5.Variables'!$N75,+IF(K$8='5.Variables'!$B$84,+'5.Variables'!$N89,+IF(K$8='5.Variables'!$B$98,+'5.Variables'!$N103,0))))))</f>
        <v>11664</v>
      </c>
      <c r="L57" s="267">
        <f>IF(L$8='5.Variables'!$B$10,+'5.Variables'!$N24,+IF(L$8='5.Variables'!$B$33,+'5.Variables'!$N47,+IF(L$8='5.Variables'!$B$56,+'5.Variables'!$N61,+IF(L$8='5.Variables'!$B$70,+'5.Variables'!$N75,+IF(L$8='5.Variables'!$B$84,+'5.Variables'!$N89,+IF(L$8='5.Variables'!$B$98,+'5.Variables'!$N103,0))))))</f>
        <v>668.4</v>
      </c>
      <c r="M57" s="267">
        <f>IF(M$8='5.Variables'!$B$10,+'5.Variables'!$N24,+IF(M$8='5.Variables'!$B$33,+'5.Variables'!$N47,+IF(M$8='5.Variables'!$B$56,+'5.Variables'!$N61,+IF(M$8='5.Variables'!$B$70,+'5.Variables'!$N75,+IF(M$8='5.Variables'!$B$84,+'5.Variables'!$N89,+IF(M$8='5.Variables'!$B$98,+'5.Variables'!$N103,0))))))</f>
        <v>0</v>
      </c>
      <c r="N57" s="267">
        <f>IF(N$8='5.Variables'!$B$10,+'5.Variables'!$N24,+IF(N$8='5.Variables'!$B$33,+'5.Variables'!$N47,+IF(N$8='5.Variables'!$B$56,+'5.Variables'!$N61,+IF(N$8='5.Variables'!$B$70,+'5.Variables'!$N75,+IF(N$8='5.Variables'!$B$84,+'5.Variables'!$N89,+IF(N$8='5.Variables'!$B$98,+'5.Variables'!$N103,0))))))</f>
        <v>0</v>
      </c>
      <c r="O57" s="267">
        <f>IF(O$8='5.Variables'!$B$10,+'5.Variables'!$N24,+IF(O$8='5.Variables'!$B$33,+'5.Variables'!$N47,+IF(O$8='5.Variables'!$B$56,+'5.Variables'!$N61,+IF(O$8='5.Variables'!$B$70,+'5.Variables'!$N75,+IF(O$8='5.Variables'!$B$84,+'5.Variables'!$N89,+IF(O$8='5.Variables'!$B$98,+'5.Variables'!$N103,0))))))</f>
        <v>-8.0488999999999997</v>
      </c>
      <c r="P57" s="267">
        <f>IF(P$8='5.Variables'!$B$10,+'5.Variables'!$N24,+IF(P$8='5.Variables'!$B$33,+'5.Variables'!$N47,+IF(P$8='5.Variables'!$B$56,+'5.Variables'!$N61,+IF(P$8='5.Variables'!$B$70,+'5.Variables'!$N75,+IF(P$8='5.Variables'!$B$84,+'5.Variables'!$N89,+IF(P$8='5.Variables'!$B$98,+'5.Variables'!$N103,0))))))</f>
        <v>31</v>
      </c>
      <c r="Q57" s="240"/>
      <c r="R57" s="268">
        <f t="shared" si="7"/>
        <v>12863418.328686718</v>
      </c>
      <c r="S57" s="272">
        <f>SUM(R46:R57)</f>
        <v>127485248.88734896</v>
      </c>
      <c r="T57" s="240"/>
      <c r="U57" s="246">
        <f>'4. Customer Growth'!B18</f>
        <v>2014</v>
      </c>
      <c r="V57" s="1082">
        <f t="shared" si="9"/>
        <v>141256275.46223882</v>
      </c>
      <c r="W57" s="1082">
        <f t="shared" si="10"/>
        <v>139896381.2156412</v>
      </c>
      <c r="X57" s="275">
        <f t="shared" si="11"/>
        <v>9.62714217225096E-3</v>
      </c>
      <c r="Y57" s="278"/>
      <c r="Z57" s="240"/>
      <c r="AA57" s="240"/>
      <c r="AB57" s="240"/>
      <c r="AC57" s="240"/>
      <c r="AD57" s="240"/>
      <c r="AE57" s="240"/>
      <c r="AF57" s="240"/>
      <c r="AG57" s="240"/>
      <c r="AH57" s="240"/>
      <c r="AI57" s="240"/>
      <c r="AJ57" s="240"/>
      <c r="AK57" s="240"/>
      <c r="AL57" s="240"/>
      <c r="AM57" s="240"/>
    </row>
    <row r="58" spans="1:39" x14ac:dyDescent="0.2">
      <c r="A58" s="675">
        <f t="shared" si="8"/>
        <v>49</v>
      </c>
      <c r="B58" s="266" t="str">
        <f>CONCATENATE('3. Consumption by Rate Class'!B64,"-",'3. Consumption by Rate Class'!C64)</f>
        <v>2009-January</v>
      </c>
      <c r="C58" s="270">
        <v>13812327</v>
      </c>
      <c r="D58" s="252">
        <f>+'X.1.CDM Calculation'!H55</f>
        <v>151831.19190571326</v>
      </c>
      <c r="E58" s="731"/>
      <c r="F58" s="252"/>
      <c r="G58" s="252"/>
      <c r="H58" s="731"/>
      <c r="I58" s="731"/>
      <c r="J58" s="268">
        <f t="shared" si="6"/>
        <v>13964158.191905713</v>
      </c>
      <c r="K58" s="267">
        <f>IF(K$8='5.Variables'!$B$10,+'5.Variables'!$C25,+IF(K$8='5.Variables'!$B$33,+'5.Variables'!$C48,+IF(K$8='5.Variables'!$B$56,+'5.Variables'!$C62,+IF(K$8='5.Variables'!$B$70,+'5.Variables'!$C76,+IF(K$8='5.Variables'!$B$84,+'5.Variables'!$C90,+IF(K$8='5.Variables'!$B$98,+'5.Variables'!$C104,0))))))</f>
        <v>11647</v>
      </c>
      <c r="L58" s="267">
        <f>IF(L$8='5.Variables'!$B$10,+'5.Variables'!$C25,+IF(L$8='5.Variables'!$B$33,+'5.Variables'!$C48,+IF(L$8='5.Variables'!$B$56,+'5.Variables'!$C62,+IF(L$8='5.Variables'!$B$70,+'5.Variables'!$C76,+IF(L$8='5.Variables'!$B$84,+'5.Variables'!$C90,+IF(L$8='5.Variables'!$B$98,+'5.Variables'!$C104,0))))))</f>
        <v>816.5</v>
      </c>
      <c r="M58" s="267">
        <f>IF(M$8='5.Variables'!$B$10,+'5.Variables'!$C25,+IF(M$8='5.Variables'!$B$33,+'5.Variables'!$C48,+IF(M$8='5.Variables'!$B$56,+'5.Variables'!$C62,+IF(M$8='5.Variables'!$B$70,+'5.Variables'!$C76,+IF(M$8='5.Variables'!$B$84,+'5.Variables'!$C90,+IF(M$8='5.Variables'!$B$98,+'5.Variables'!$C104,0))))))</f>
        <v>0</v>
      </c>
      <c r="N58" s="267">
        <f>IF(N$8='5.Variables'!$B$10,+'5.Variables'!$C25,+IF(N$8='5.Variables'!$B$33,+'5.Variables'!$C48,+IF(N$8='5.Variables'!$B$56,+'5.Variables'!$C62,+IF(N$8='5.Variables'!$B$70,+'5.Variables'!$C76,+IF(N$8='5.Variables'!$B$84,+'5.Variables'!$C90,+IF(N$8='5.Variables'!$B$98,+'5.Variables'!$C104,0))))))</f>
        <v>0</v>
      </c>
      <c r="O58" s="267">
        <f>IF(O$8='5.Variables'!$B$10,+'5.Variables'!$C25,+IF(O$8='5.Variables'!$B$33,+'5.Variables'!$C48,+IF(O$8='5.Variables'!$B$56,+'5.Variables'!$C62,+IF(O$8='5.Variables'!$B$70,+'5.Variables'!$C76,+IF(O$8='5.Variables'!$B$84,+'5.Variables'!$C90,+IF(O$8='5.Variables'!$B$98,+'5.Variables'!$C104,0))))))</f>
        <v>-8.2683999999999997</v>
      </c>
      <c r="P58" s="267">
        <f>IF(P$8='5.Variables'!$B$10,+'5.Variables'!$C25,+IF(P$8='5.Variables'!$B$33,+'5.Variables'!$C48,+IF(P$8='5.Variables'!$B$56,+'5.Variables'!$C62,+IF(P$8='5.Variables'!$B$70,+'5.Variables'!$C76,+IF(P$8='5.Variables'!$B$84,+'5.Variables'!$C90,+IF(P$8='5.Variables'!$B$98,+'5.Variables'!$C104,0))))))</f>
        <v>31</v>
      </c>
      <c r="Q58" s="240"/>
      <c r="R58" s="268">
        <f t="shared" si="7"/>
        <v>13614124.755487006</v>
      </c>
      <c r="S58" s="272"/>
      <c r="T58" s="240"/>
      <c r="U58" s="279" t="s">
        <v>45</v>
      </c>
      <c r="V58" s="279"/>
      <c r="W58" s="279"/>
      <c r="X58" s="1318">
        <f>AVERAGE(X48:X57)</f>
        <v>1.0927049527680279E-2</v>
      </c>
      <c r="Y58" s="240"/>
      <c r="Z58" s="240"/>
      <c r="AA58" s="240"/>
      <c r="AB58" s="240"/>
      <c r="AC58" s="240"/>
      <c r="AD58" s="240"/>
      <c r="AE58" s="240"/>
      <c r="AF58" s="240"/>
      <c r="AG58" s="240"/>
      <c r="AH58" s="240"/>
      <c r="AI58" s="240"/>
      <c r="AJ58" s="240"/>
      <c r="AK58" s="240"/>
      <c r="AL58" s="240"/>
      <c r="AM58" s="240"/>
    </row>
    <row r="59" spans="1:39" x14ac:dyDescent="0.2">
      <c r="A59" s="675">
        <f t="shared" si="8"/>
        <v>50</v>
      </c>
      <c r="B59" s="266" t="str">
        <f>CONCATENATE('3. Consumption by Rate Class'!B65,"-",'3. Consumption by Rate Class'!C65)</f>
        <v>2009-February</v>
      </c>
      <c r="C59" s="270">
        <v>11477623</v>
      </c>
      <c r="D59" s="252">
        <f>+'X.1.CDM Calculation'!H56</f>
        <v>153634.14994993497</v>
      </c>
      <c r="E59" s="731"/>
      <c r="F59" s="252"/>
      <c r="G59" s="252"/>
      <c r="H59" s="731"/>
      <c r="I59" s="731"/>
      <c r="J59" s="268">
        <f t="shared" si="6"/>
        <v>11631257.149949934</v>
      </c>
      <c r="K59" s="267">
        <f>IF(K$8='5.Variables'!$B$10,+'5.Variables'!$D25,+IF(K$8='5.Variables'!$B$33,+'5.Variables'!$D48,+IF(K$8='5.Variables'!$B$56,+'5.Variables'!$D62,+IF(K$8='5.Variables'!$B$70,+'5.Variables'!$D76,+IF(K$8='5.Variables'!$B$84,+'5.Variables'!$D90,+IF(K$8='5.Variables'!$B$98,+'5.Variables'!$D104,0))))))</f>
        <v>11662</v>
      </c>
      <c r="L59" s="267">
        <f>IF(L$8='5.Variables'!$B$10,+'5.Variables'!$D25,+IF(L$8='5.Variables'!$B$33,+'5.Variables'!$D48,+IF(L$8='5.Variables'!$B$56,+'5.Variables'!$D62,+IF(L$8='5.Variables'!$B$70,+'5.Variables'!$D76,+IF(L$8='5.Variables'!$B$84,+'5.Variables'!$D90,+IF(L$8='5.Variables'!$B$98,+'5.Variables'!$D104,0))))))</f>
        <v>620.1</v>
      </c>
      <c r="M59" s="267">
        <f>IF(M$8='5.Variables'!$B$10,+'5.Variables'!$D25,+IF(M$8='5.Variables'!$B$33,+'5.Variables'!$D48,+IF(M$8='5.Variables'!$B$56,+'5.Variables'!$D62,+IF(M$8='5.Variables'!$B$70,+'5.Variables'!$D76,+IF(M$8='5.Variables'!$B$84,+'5.Variables'!$D90,+IF(M$8='5.Variables'!$B$98,+'5.Variables'!$D104,0))))))</f>
        <v>0</v>
      </c>
      <c r="N59" s="267">
        <f>IF(N$8='5.Variables'!$B$10,+'5.Variables'!$D25,+IF(N$8='5.Variables'!$B$33,+'5.Variables'!$D48,+IF(N$8='5.Variables'!$B$56,+'5.Variables'!$D62,+IF(N$8='5.Variables'!$B$70,+'5.Variables'!$D76,+IF(N$8='5.Variables'!$B$84,+'5.Variables'!$D90,+IF(N$8='5.Variables'!$B$98,+'5.Variables'!$D104,0))))))</f>
        <v>0</v>
      </c>
      <c r="O59" s="267">
        <f>IF(O$8='5.Variables'!$B$10,+'5.Variables'!$D25,+IF(O$8='5.Variables'!$B$33,+'5.Variables'!$D48,+IF(O$8='5.Variables'!$B$56,+'5.Variables'!$D62,+IF(O$8='5.Variables'!$B$70,+'5.Variables'!$D76,+IF(O$8='5.Variables'!$B$84,+'5.Variables'!$D90,+IF(O$8='5.Variables'!$B$98,+'5.Variables'!$D104,0))))))</f>
        <v>-8.4878999999999998</v>
      </c>
      <c r="P59" s="267">
        <f>IF(P$8='5.Variables'!$B$10,+'5.Variables'!$D25,+IF(P$8='5.Variables'!$B$33,+'5.Variables'!$D48,+IF(P$8='5.Variables'!$B$56,+'5.Variables'!$D62,+IF(P$8='5.Variables'!$B$70,+'5.Variables'!$D76,+IF(P$8='5.Variables'!$B$84,+'5.Variables'!$D90,+IF(P$8='5.Variables'!$B$98,+'5.Variables'!$D104,0))))))</f>
        <v>28</v>
      </c>
      <c r="Q59" s="240"/>
      <c r="R59" s="268">
        <f t="shared" si="7"/>
        <v>11267418.225169839</v>
      </c>
      <c r="S59" s="272"/>
      <c r="T59" s="240"/>
      <c r="U59" s="279" t="s">
        <v>60</v>
      </c>
      <c r="V59" s="240"/>
      <c r="W59" s="240"/>
      <c r="X59" s="1318">
        <f>MEDIAN(X48:X57)</f>
        <v>9.8148620293732579E-3</v>
      </c>
      <c r="Y59" s="240"/>
      <c r="Z59" s="240"/>
      <c r="AA59" s="240"/>
      <c r="AB59" s="240"/>
      <c r="AC59" s="240"/>
      <c r="AD59" s="240"/>
      <c r="AE59" s="240"/>
      <c r="AF59" s="240"/>
      <c r="AG59" s="240"/>
      <c r="AH59" s="240"/>
      <c r="AI59" s="240"/>
      <c r="AJ59" s="240"/>
      <c r="AK59" s="240"/>
      <c r="AL59" s="240"/>
      <c r="AM59" s="240"/>
    </row>
    <row r="60" spans="1:39" x14ac:dyDescent="0.2">
      <c r="A60" s="675">
        <f t="shared" si="8"/>
        <v>51</v>
      </c>
      <c r="B60" s="266" t="str">
        <f>CONCATENATE('3. Consumption by Rate Class'!B66,"-",'3. Consumption by Rate Class'!C66)</f>
        <v>2009-March</v>
      </c>
      <c r="C60" s="270">
        <v>11420342</v>
      </c>
      <c r="D60" s="252">
        <f>+'X.1.CDM Calculation'!H57</f>
        <v>155437.10799415669</v>
      </c>
      <c r="E60" s="731"/>
      <c r="F60" s="252"/>
      <c r="G60" s="252"/>
      <c r="H60" s="731"/>
      <c r="I60" s="731"/>
      <c r="J60" s="268">
        <f t="shared" si="6"/>
        <v>11575779.107994156</v>
      </c>
      <c r="K60" s="267">
        <f>IF(K$8='5.Variables'!$B$10,+'5.Variables'!$E25,+IF(K$8='5.Variables'!$B$33,+'5.Variables'!$E48,+IF(K$8='5.Variables'!$B$56,+'5.Variables'!$E62,+IF(K$8='5.Variables'!$B$70,+'5.Variables'!$E76,+IF(K$8='5.Variables'!$B$84,+'5.Variables'!$E90,+IF(K$8='5.Variables'!$B$98,+'5.Variables'!$E104,0))))))</f>
        <v>11677</v>
      </c>
      <c r="L60" s="267">
        <f>IF(L$8='5.Variables'!$B$10,+'5.Variables'!$E25,+IF(L$8='5.Variables'!$B$33,+'5.Variables'!$E48,+IF(L$8='5.Variables'!$B$56,+'5.Variables'!$E62,+IF(L$8='5.Variables'!$B$70,+'5.Variables'!$E76,+IF(L$8='5.Variables'!$B$84,+'5.Variables'!$E90,+IF(L$8='5.Variables'!$B$98,+'5.Variables'!$E104,0))))))</f>
        <v>556.5</v>
      </c>
      <c r="M60" s="267">
        <f>IF(M$8='5.Variables'!$B$10,+'5.Variables'!$E25,+IF(M$8='5.Variables'!$B$33,+'5.Variables'!$E48,+IF(M$8='5.Variables'!$B$56,+'5.Variables'!$E62,+IF(M$8='5.Variables'!$B$70,+'5.Variables'!$E76,+IF(M$8='5.Variables'!$B$84,+'5.Variables'!$E90,+IF(M$8='5.Variables'!$B$98,+'5.Variables'!$E104,0))))))</f>
        <v>0</v>
      </c>
      <c r="N60" s="267">
        <f>IF(N$8='5.Variables'!$B$10,+'5.Variables'!$E25,+IF(N$8='5.Variables'!$B$33,+'5.Variables'!$E48,+IF(N$8='5.Variables'!$B$56,+'5.Variables'!$E62,+IF(N$8='5.Variables'!$B$70,+'5.Variables'!$E76,+IF(N$8='5.Variables'!$B$84,+'5.Variables'!$E90,+IF(N$8='5.Variables'!$B$98,+'5.Variables'!$E104,0))))))</f>
        <v>1</v>
      </c>
      <c r="O60" s="267">
        <f>IF(O$8='5.Variables'!$B$10,+'5.Variables'!$E25,+IF(O$8='5.Variables'!$B$33,+'5.Variables'!$E48,+IF(O$8='5.Variables'!$B$56,+'5.Variables'!$E62,+IF(O$8='5.Variables'!$B$70,+'5.Variables'!$E76,+IF(O$8='5.Variables'!$B$84,+'5.Variables'!$E90,+IF(O$8='5.Variables'!$B$98,+'5.Variables'!$E104,0))))))</f>
        <v>-8.7073999999999998</v>
      </c>
      <c r="P60" s="267">
        <f>IF(P$8='5.Variables'!$B$10,+'5.Variables'!$E25,+IF(P$8='5.Variables'!$B$33,+'5.Variables'!$E48,+IF(P$8='5.Variables'!$B$56,+'5.Variables'!$E62,+IF(P$8='5.Variables'!$B$70,+'5.Variables'!$E76,+IF(P$8='5.Variables'!$B$84,+'5.Variables'!$E90,+IF(P$8='5.Variables'!$B$98,+'5.Variables'!$E104,0))))))</f>
        <v>31</v>
      </c>
      <c r="Q60" s="240"/>
      <c r="R60" s="268">
        <f t="shared" si="7"/>
        <v>11320611.66094834</v>
      </c>
      <c r="S60" s="272"/>
      <c r="T60" s="240"/>
      <c r="U60" s="240"/>
      <c r="V60" s="240"/>
      <c r="W60" s="240"/>
      <c r="X60" s="240"/>
      <c r="Y60" s="240"/>
      <c r="Z60" s="240"/>
      <c r="AA60" s="240"/>
      <c r="AB60" s="240"/>
      <c r="AC60" s="240"/>
      <c r="AD60" s="240"/>
      <c r="AE60" s="240"/>
      <c r="AF60" s="240"/>
      <c r="AG60" s="240"/>
      <c r="AH60" s="240"/>
      <c r="AI60" s="240"/>
      <c r="AJ60" s="240"/>
      <c r="AK60" s="240"/>
      <c r="AL60" s="240"/>
      <c r="AM60" s="240"/>
    </row>
    <row r="61" spans="1:39" x14ac:dyDescent="0.2">
      <c r="A61" s="675">
        <f t="shared" si="8"/>
        <v>52</v>
      </c>
      <c r="B61" s="266" t="str">
        <f>CONCATENATE('3. Consumption by Rate Class'!B67,"-",'3. Consumption by Rate Class'!C67)</f>
        <v>2009-April</v>
      </c>
      <c r="C61" s="270">
        <v>9511235</v>
      </c>
      <c r="D61" s="252">
        <f>+'X.1.CDM Calculation'!H58</f>
        <v>157240.06603837846</v>
      </c>
      <c r="E61" s="731"/>
      <c r="F61" s="252"/>
      <c r="G61" s="252"/>
      <c r="H61" s="731"/>
      <c r="I61" s="731"/>
      <c r="J61" s="268">
        <f t="shared" si="6"/>
        <v>9668475.0660383776</v>
      </c>
      <c r="K61" s="267">
        <f>IF(K$8='5.Variables'!$B$10,+'5.Variables'!$F25,+IF(K$8='5.Variables'!$B$33,+'5.Variables'!$F48,+IF(K$8='5.Variables'!$B$56,+'5.Variables'!$F62,+IF(K$8='5.Variables'!$B$70,+'5.Variables'!$F76,+IF(K$8='5.Variables'!$B$84,+'5.Variables'!$F90,+IF(K$8='5.Variables'!$B$98,+'5.Variables'!$F104,0))))))</f>
        <v>11686</v>
      </c>
      <c r="L61" s="267">
        <f>IF(L$8='5.Variables'!$B$10,+'5.Variables'!$F25,+IF(L$8='5.Variables'!$B$33,+'5.Variables'!$F48,+IF(L$8='5.Variables'!$B$56,+'5.Variables'!$F62,+IF(L$8='5.Variables'!$B$70,+'5.Variables'!$F76,+IF(L$8='5.Variables'!$B$84,+'5.Variables'!$F90,+IF(L$8='5.Variables'!$B$98,+'5.Variables'!$F104,0))))))</f>
        <v>352</v>
      </c>
      <c r="M61" s="267">
        <f>IF(M$8='5.Variables'!$B$10,+'5.Variables'!$F25,+IF(M$8='5.Variables'!$B$33,+'5.Variables'!$F48,+IF(M$8='5.Variables'!$B$56,+'5.Variables'!$F62,+IF(M$8='5.Variables'!$B$70,+'5.Variables'!$F76,+IF(M$8='5.Variables'!$B$84,+'5.Variables'!$F90,+IF(M$8='5.Variables'!$B$98,+'5.Variables'!$F104,0))))))</f>
        <v>0.5</v>
      </c>
      <c r="N61" s="267">
        <f>IF(N$8='5.Variables'!$B$10,+'5.Variables'!$F25,+IF(N$8='5.Variables'!$B$33,+'5.Variables'!$F48,+IF(N$8='5.Variables'!$B$56,+'5.Variables'!$F62,+IF(N$8='5.Variables'!$B$70,+'5.Variables'!$F76,+IF(N$8='5.Variables'!$B$84,+'5.Variables'!$F90,+IF(N$8='5.Variables'!$B$98,+'5.Variables'!$F104,0))))))</f>
        <v>1</v>
      </c>
      <c r="O61" s="267">
        <f>IF(O$8='5.Variables'!$B$10,+'5.Variables'!$F25,+IF(O$8='5.Variables'!$B$33,+'5.Variables'!$F48,+IF(O$8='5.Variables'!$B$56,+'5.Variables'!$F62,+IF(O$8='5.Variables'!$B$70,+'5.Variables'!$F76,+IF(O$8='5.Variables'!$B$84,+'5.Variables'!$F90,+IF(O$8='5.Variables'!$B$98,+'5.Variables'!$F104,0))))))</f>
        <v>-8.9268999999999998</v>
      </c>
      <c r="P61" s="267">
        <f>IF(P$8='5.Variables'!$B$10,+'5.Variables'!$F25,+IF(P$8='5.Variables'!$B$33,+'5.Variables'!$F48,+IF(P$8='5.Variables'!$B$56,+'5.Variables'!$F62,+IF(P$8='5.Variables'!$B$70,+'5.Variables'!$F76,+IF(P$8='5.Variables'!$B$84,+'5.Variables'!$F90,+IF(P$8='5.Variables'!$B$98,+'5.Variables'!$F104,0))))))</f>
        <v>30</v>
      </c>
      <c r="Q61" s="240"/>
      <c r="R61" s="268">
        <f t="shared" si="7"/>
        <v>9786763.3877824694</v>
      </c>
      <c r="S61" s="272"/>
      <c r="T61" s="240"/>
      <c r="U61" s="240" t="s">
        <v>119</v>
      </c>
      <c r="V61" s="240"/>
      <c r="W61" s="240"/>
      <c r="X61" s="240"/>
      <c r="Y61" s="240"/>
      <c r="Z61" s="240"/>
      <c r="AA61" s="240"/>
      <c r="AB61" s="240"/>
      <c r="AC61" s="240"/>
      <c r="AD61" s="240"/>
      <c r="AE61" s="240"/>
      <c r="AF61" s="240"/>
      <c r="AG61" s="240"/>
      <c r="AH61" s="240"/>
      <c r="AI61" s="240"/>
      <c r="AJ61" s="240"/>
      <c r="AK61" s="240"/>
      <c r="AL61" s="240"/>
      <c r="AM61" s="240"/>
    </row>
    <row r="62" spans="1:39" x14ac:dyDescent="0.2">
      <c r="A62" s="675">
        <f t="shared" si="8"/>
        <v>53</v>
      </c>
      <c r="B62" s="266" t="str">
        <f>CONCATENATE('3. Consumption by Rate Class'!B68,"-",'3. Consumption by Rate Class'!C68)</f>
        <v>2009-May</v>
      </c>
      <c r="C62" s="270">
        <v>9272872</v>
      </c>
      <c r="D62" s="252">
        <f>+'X.1.CDM Calculation'!H59</f>
        <v>159043.02408260017</v>
      </c>
      <c r="E62" s="731"/>
      <c r="F62" s="252"/>
      <c r="G62" s="252"/>
      <c r="H62" s="731"/>
      <c r="I62" s="731"/>
      <c r="J62" s="268">
        <f t="shared" si="6"/>
        <v>9431915.0240826011</v>
      </c>
      <c r="K62" s="267">
        <f>IF(K$8='5.Variables'!$B$10,+'5.Variables'!$G25,+IF(K$8='5.Variables'!$B$33,+'5.Variables'!$G48,+IF(K$8='5.Variables'!$B$56,+'5.Variables'!$G62,+IF(K$8='5.Variables'!$B$70,+'5.Variables'!$G76,+IF(K$8='5.Variables'!$B$84,+'5.Variables'!$G90,+IF(K$8='5.Variables'!$B$98,+'5.Variables'!$G104,0))))))</f>
        <v>11699</v>
      </c>
      <c r="L62" s="267">
        <f>IF(L$8='5.Variables'!$B$10,+'5.Variables'!$G25,+IF(L$8='5.Variables'!$B$33,+'5.Variables'!$G48,+IF(L$8='5.Variables'!$B$56,+'5.Variables'!$G62,+IF(L$8='5.Variables'!$B$70,+'5.Variables'!$G76,+IF(L$8='5.Variables'!$B$84,+'5.Variables'!$G90,+IF(L$8='5.Variables'!$B$98,+'5.Variables'!$G104,0))))))</f>
        <v>232.5</v>
      </c>
      <c r="M62" s="267">
        <f>IF(M$8='5.Variables'!$B$10,+'5.Variables'!$G25,+IF(M$8='5.Variables'!$B$33,+'5.Variables'!$G48,+IF(M$8='5.Variables'!$B$56,+'5.Variables'!$G62,+IF(M$8='5.Variables'!$B$70,+'5.Variables'!$G76,+IF(M$8='5.Variables'!$B$84,+'5.Variables'!$G90,+IF(M$8='5.Variables'!$B$98,+'5.Variables'!$G104,0))))))</f>
        <v>2.8</v>
      </c>
      <c r="N62" s="267">
        <f>IF(N$8='5.Variables'!$B$10,+'5.Variables'!$G25,+IF(N$8='5.Variables'!$B$33,+'5.Variables'!$G48,+IF(N$8='5.Variables'!$B$56,+'5.Variables'!$G62,+IF(N$8='5.Variables'!$B$70,+'5.Variables'!$G76,+IF(N$8='5.Variables'!$B$84,+'5.Variables'!$G90,+IF(N$8='5.Variables'!$B$98,+'5.Variables'!$G104,0))))))</f>
        <v>1</v>
      </c>
      <c r="O62" s="267">
        <f>IF(O$8='5.Variables'!$B$10,+'5.Variables'!$G25,+IF(O$8='5.Variables'!$B$33,+'5.Variables'!$G48,+IF(O$8='5.Variables'!$B$56,+'5.Variables'!$G62,+IF(O$8='5.Variables'!$B$70,+'5.Variables'!$G76,+IF(O$8='5.Variables'!$B$84,+'5.Variables'!$G90,+IF(O$8='5.Variables'!$B$98,+'5.Variables'!$G104,0))))))</f>
        <v>-9.1463999999999999</v>
      </c>
      <c r="P62" s="267">
        <f>IF(P$8='5.Variables'!$B$10,+'5.Variables'!$G25,+IF(P$8='5.Variables'!$B$33,+'5.Variables'!$G48,+IF(P$8='5.Variables'!$B$56,+'5.Variables'!$G62,+IF(P$8='5.Variables'!$B$70,+'5.Variables'!$G76,+IF(P$8='5.Variables'!$B$84,+'5.Variables'!$G90,+IF(P$8='5.Variables'!$B$98,+'5.Variables'!$G104,0))))))</f>
        <v>31</v>
      </c>
      <c r="Q62" s="240"/>
      <c r="R62" s="268">
        <f t="shared" si="7"/>
        <v>9628059.6020932104</v>
      </c>
      <c r="S62" s="272"/>
      <c r="T62" s="240"/>
      <c r="U62" s="240" t="s">
        <v>166</v>
      </c>
      <c r="V62" s="240"/>
      <c r="W62" s="240"/>
      <c r="X62" s="240"/>
      <c r="Y62" s="240"/>
      <c r="Z62" s="240"/>
      <c r="AA62" s="240"/>
      <c r="AB62" s="240"/>
      <c r="AC62" s="240"/>
      <c r="AD62" s="240"/>
      <c r="AE62" s="240"/>
      <c r="AF62" s="240"/>
      <c r="AG62" s="240"/>
      <c r="AH62" s="240"/>
      <c r="AI62" s="240"/>
      <c r="AJ62" s="240"/>
      <c r="AK62" s="240"/>
      <c r="AL62" s="240"/>
      <c r="AM62" s="240"/>
    </row>
    <row r="63" spans="1:39" x14ac:dyDescent="0.2">
      <c r="A63" s="675">
        <f t="shared" si="8"/>
        <v>54</v>
      </c>
      <c r="B63" s="266" t="str">
        <f>CONCATENATE('3. Consumption by Rate Class'!B69,"-",'3. Consumption by Rate Class'!C69)</f>
        <v>2009-June</v>
      </c>
      <c r="C63" s="270">
        <v>9226969</v>
      </c>
      <c r="D63" s="252">
        <f>+'X.1.CDM Calculation'!H60</f>
        <v>160845.98212682188</v>
      </c>
      <c r="E63" s="731"/>
      <c r="F63" s="252"/>
      <c r="G63" s="252"/>
      <c r="H63" s="731"/>
      <c r="I63" s="731"/>
      <c r="J63" s="268">
        <f t="shared" si="6"/>
        <v>9387814.9821268227</v>
      </c>
      <c r="K63" s="267">
        <f>IF(K$8='5.Variables'!$B$10,+'5.Variables'!$H25,+IF(K$8='5.Variables'!$B$33,+'5.Variables'!$H48,+IF(K$8='5.Variables'!$B$56,+'5.Variables'!$H62,+IF(K$8='5.Variables'!$B$70,+'5.Variables'!$H76,+IF(K$8='5.Variables'!$B$84,+'5.Variables'!$H90,+IF(K$8='5.Variables'!$B$98,+'5.Variables'!$H104,0))))))</f>
        <v>11722</v>
      </c>
      <c r="L63" s="267">
        <f>IF(L$8='5.Variables'!$B$10,+'5.Variables'!$H25,+IF(L$8='5.Variables'!$B$33,+'5.Variables'!$H48,+IF(L$8='5.Variables'!$B$56,+'5.Variables'!$H62,+IF(L$8='5.Variables'!$B$70,+'5.Variables'!$H76,+IF(L$8='5.Variables'!$B$84,+'5.Variables'!$H90,+IF(L$8='5.Variables'!$B$98,+'5.Variables'!$H104,0))))))</f>
        <v>98.2</v>
      </c>
      <c r="M63" s="267">
        <f>IF(M$8='5.Variables'!$B$10,+'5.Variables'!$H25,+IF(M$8='5.Variables'!$B$33,+'5.Variables'!$H48,+IF(M$8='5.Variables'!$B$56,+'5.Variables'!$H62,+IF(M$8='5.Variables'!$B$70,+'5.Variables'!$H76,+IF(M$8='5.Variables'!$B$84,+'5.Variables'!$H90,+IF(M$8='5.Variables'!$B$98,+'5.Variables'!$H104,0))))))</f>
        <v>16.899999999999999</v>
      </c>
      <c r="N63" s="267">
        <f>IF(N$8='5.Variables'!$B$10,+'5.Variables'!$H25,+IF(N$8='5.Variables'!$B$33,+'5.Variables'!$H48,+IF(N$8='5.Variables'!$B$56,+'5.Variables'!$H62,+IF(N$8='5.Variables'!$B$70,+'5.Variables'!$H76,+IF(N$8='5.Variables'!$B$84,+'5.Variables'!$H90,+IF(N$8='5.Variables'!$B$98,+'5.Variables'!$H104,0))))))</f>
        <v>0</v>
      </c>
      <c r="O63" s="267">
        <f>IF(O$8='5.Variables'!$B$10,+'5.Variables'!$H25,+IF(O$8='5.Variables'!$B$33,+'5.Variables'!$H48,+IF(O$8='5.Variables'!$B$56,+'5.Variables'!$H62,+IF(O$8='5.Variables'!$B$70,+'5.Variables'!$H76,+IF(O$8='5.Variables'!$B$84,+'5.Variables'!$H90,+IF(O$8='5.Variables'!$B$98,+'5.Variables'!$H104,0))))))</f>
        <v>-9.3658999999999999</v>
      </c>
      <c r="P63" s="267">
        <f>IF(P$8='5.Variables'!$B$10,+'5.Variables'!$H25,+IF(P$8='5.Variables'!$B$33,+'5.Variables'!$H48,+IF(P$8='5.Variables'!$B$56,+'5.Variables'!$H62,+IF(P$8='5.Variables'!$B$70,+'5.Variables'!$H76,+IF(P$8='5.Variables'!$B$84,+'5.Variables'!$H90,+IF(P$8='5.Variables'!$B$98,+'5.Variables'!$H104,0))))))</f>
        <v>30</v>
      </c>
      <c r="Q63" s="240"/>
      <c r="R63" s="268">
        <f t="shared" si="7"/>
        <v>9767702.437012922</v>
      </c>
      <c r="S63" s="272"/>
      <c r="T63" s="240"/>
      <c r="U63" s="240"/>
      <c r="V63" s="240"/>
      <c r="W63" s="240"/>
      <c r="X63" s="240"/>
      <c r="Y63" s="240"/>
      <c r="Z63" s="240"/>
      <c r="AA63" s="240"/>
      <c r="AB63" s="240"/>
      <c r="AC63" s="240"/>
      <c r="AD63" s="240"/>
      <c r="AE63" s="240"/>
      <c r="AF63" s="240"/>
      <c r="AG63" s="240"/>
      <c r="AH63" s="240"/>
      <c r="AI63" s="240"/>
      <c r="AJ63" s="240"/>
      <c r="AK63" s="240"/>
      <c r="AL63" s="240"/>
      <c r="AM63" s="240"/>
    </row>
    <row r="64" spans="1:39" x14ac:dyDescent="0.2">
      <c r="A64" s="675">
        <f t="shared" si="8"/>
        <v>55</v>
      </c>
      <c r="B64" s="266" t="str">
        <f>CONCATENATE('3. Consumption by Rate Class'!B70,"-",'3. Consumption by Rate Class'!C70)</f>
        <v>2009-July</v>
      </c>
      <c r="C64" s="270">
        <v>10435322</v>
      </c>
      <c r="D64" s="252">
        <f>+'X.1.CDM Calculation'!H61</f>
        <v>162648.94017104359</v>
      </c>
      <c r="E64" s="731"/>
      <c r="F64" s="252"/>
      <c r="G64" s="252"/>
      <c r="H64" s="731"/>
      <c r="I64" s="731"/>
      <c r="J64" s="268">
        <f t="shared" si="6"/>
        <v>10597970.940171044</v>
      </c>
      <c r="K64" s="267">
        <f>IF(K$8='5.Variables'!$B$10,+'5.Variables'!$I25,+IF(K$8='5.Variables'!$B$33,+'5.Variables'!$I48,+IF(K$8='5.Variables'!$B$56,+'5.Variables'!$I62,+IF(K$8='5.Variables'!$B$70,+'5.Variables'!$I76,+IF(K$8='5.Variables'!$B$84,+'5.Variables'!$I90,+IF(K$8='5.Variables'!$B$98,+'5.Variables'!$I104,0))))))</f>
        <v>11752</v>
      </c>
      <c r="L64" s="267">
        <f>IF(L$8='5.Variables'!$B$10,+'5.Variables'!$I25,+IF(L$8='5.Variables'!$B$33,+'5.Variables'!$I48,+IF(L$8='5.Variables'!$B$56,+'5.Variables'!$I62,+IF(L$8='5.Variables'!$B$70,+'5.Variables'!$I76,+IF(L$8='5.Variables'!$B$84,+'5.Variables'!$I90,+IF(L$8='5.Variables'!$B$98,+'5.Variables'!$I104,0))))))</f>
        <v>21.5</v>
      </c>
      <c r="M64" s="267">
        <f>IF(M$8='5.Variables'!$B$10,+'5.Variables'!$I25,+IF(M$8='5.Variables'!$B$33,+'5.Variables'!$I48,+IF(M$8='5.Variables'!$B$56,+'5.Variables'!$I62,+IF(M$8='5.Variables'!$B$70,+'5.Variables'!$I76,+IF(M$8='5.Variables'!$B$84,+'5.Variables'!$I90,+IF(M$8='5.Variables'!$B$98,+'5.Variables'!$I104,0))))))</f>
        <v>26.6</v>
      </c>
      <c r="N64" s="267">
        <f>IF(N$8='5.Variables'!$B$10,+'5.Variables'!$I25,+IF(N$8='5.Variables'!$B$33,+'5.Variables'!$I48,+IF(N$8='5.Variables'!$B$56,+'5.Variables'!$I62,+IF(N$8='5.Variables'!$B$70,+'5.Variables'!$I76,+IF(N$8='5.Variables'!$B$84,+'5.Variables'!$I90,+IF(N$8='5.Variables'!$B$98,+'5.Variables'!$I104,0))))))</f>
        <v>0</v>
      </c>
      <c r="O64" s="267">
        <f>IF(O$8='5.Variables'!$B$10,+'5.Variables'!$I25,+IF(O$8='5.Variables'!$B$33,+'5.Variables'!$I48,+IF(O$8='5.Variables'!$B$56,+'5.Variables'!$I62,+IF(O$8='5.Variables'!$B$70,+'5.Variables'!$I76,+IF(O$8='5.Variables'!$B$84,+'5.Variables'!$I90,+IF(O$8='5.Variables'!$B$98,+'5.Variables'!$I104,0))))))</f>
        <v>-9.5853999999999999</v>
      </c>
      <c r="P64" s="267">
        <f>IF(P$8='5.Variables'!$B$10,+'5.Variables'!$I25,+IF(P$8='5.Variables'!$B$33,+'5.Variables'!$I48,+IF(P$8='5.Variables'!$B$56,+'5.Variables'!$I62,+IF(P$8='5.Variables'!$B$70,+'5.Variables'!$I76,+IF(P$8='5.Variables'!$B$84,+'5.Variables'!$I90,+IF(P$8='5.Variables'!$B$98,+'5.Variables'!$I104,0))))))</f>
        <v>31</v>
      </c>
      <c r="Q64" s="240"/>
      <c r="R64" s="268">
        <f t="shared" si="7"/>
        <v>10079805.89056262</v>
      </c>
      <c r="S64" s="272"/>
      <c r="T64" s="240"/>
      <c r="U64" s="240"/>
      <c r="V64" s="240"/>
      <c r="W64" s="240"/>
      <c r="X64" s="240"/>
      <c r="Y64" s="240"/>
      <c r="Z64" s="240"/>
      <c r="AA64" s="240"/>
      <c r="AB64" s="240"/>
      <c r="AC64" s="240"/>
      <c r="AD64" s="240"/>
      <c r="AE64" s="240"/>
      <c r="AF64" s="240"/>
      <c r="AG64" s="240"/>
      <c r="AH64" s="240"/>
      <c r="AI64" s="240"/>
      <c r="AJ64" s="240"/>
      <c r="AK64" s="240"/>
      <c r="AL64" s="240"/>
      <c r="AM64" s="240"/>
    </row>
    <row r="65" spans="1:39" x14ac:dyDescent="0.2">
      <c r="A65" s="675">
        <f t="shared" si="8"/>
        <v>56</v>
      </c>
      <c r="B65" s="266" t="str">
        <f>CONCATENATE('3. Consumption by Rate Class'!B71,"-",'3. Consumption by Rate Class'!C71)</f>
        <v>2009-August</v>
      </c>
      <c r="C65" s="270">
        <v>11413704</v>
      </c>
      <c r="D65" s="252">
        <f>+'X.1.CDM Calculation'!H62</f>
        <v>164451.8982152653</v>
      </c>
      <c r="E65" s="731"/>
      <c r="F65" s="252"/>
      <c r="G65" s="252"/>
      <c r="H65" s="731"/>
      <c r="I65" s="731"/>
      <c r="J65" s="268">
        <f t="shared" si="6"/>
        <v>11578155.898215266</v>
      </c>
      <c r="K65" s="267">
        <f>IF(K$8='5.Variables'!$B$10,+'5.Variables'!$J25,+IF(K$8='5.Variables'!$B$33,+'5.Variables'!$J48,+IF(K$8='5.Variables'!$B$56,+'5.Variables'!$J62,+IF(K$8='5.Variables'!$B$70,+'5.Variables'!$J76,+IF(K$8='5.Variables'!$B$84,+'5.Variables'!$J90,+IF(K$8='5.Variables'!$B$98,+'5.Variables'!$J104,0))))))</f>
        <v>11762</v>
      </c>
      <c r="L65" s="267">
        <f>IF(L$8='5.Variables'!$B$10,+'5.Variables'!$J25,+IF(L$8='5.Variables'!$B$33,+'5.Variables'!$J48,+IF(L$8='5.Variables'!$B$56,+'5.Variables'!$J62,+IF(L$8='5.Variables'!$B$70,+'5.Variables'!$J76,+IF(L$8='5.Variables'!$B$84,+'5.Variables'!$J90,+IF(L$8='5.Variables'!$B$98,+'5.Variables'!$J104,0))))))</f>
        <v>20</v>
      </c>
      <c r="M65" s="267">
        <f>IF(M$8='5.Variables'!$B$10,+'5.Variables'!$J25,+IF(M$8='5.Variables'!$B$33,+'5.Variables'!$J48,+IF(M$8='5.Variables'!$B$56,+'5.Variables'!$J62,+IF(M$8='5.Variables'!$B$70,+'5.Variables'!$J76,+IF(M$8='5.Variables'!$B$84,+'5.Variables'!$J90,+IF(M$8='5.Variables'!$B$98,+'5.Variables'!$J104,0))))))</f>
        <v>69.099999999999994</v>
      </c>
      <c r="N65" s="267">
        <f>IF(N$8='5.Variables'!$B$10,+'5.Variables'!$J25,+IF(N$8='5.Variables'!$B$33,+'5.Variables'!$J48,+IF(N$8='5.Variables'!$B$56,+'5.Variables'!$J62,+IF(N$8='5.Variables'!$B$70,+'5.Variables'!$J76,+IF(N$8='5.Variables'!$B$84,+'5.Variables'!$J90,+IF(N$8='5.Variables'!$B$98,+'5.Variables'!$J104,0))))))</f>
        <v>0</v>
      </c>
      <c r="O65" s="267">
        <f>IF(O$8='5.Variables'!$B$10,+'5.Variables'!$J25,+IF(O$8='5.Variables'!$B$33,+'5.Variables'!$J48,+IF(O$8='5.Variables'!$B$56,+'5.Variables'!$J62,+IF(O$8='5.Variables'!$B$70,+'5.Variables'!$J76,+IF(O$8='5.Variables'!$B$84,+'5.Variables'!$J90,+IF(O$8='5.Variables'!$B$98,+'5.Variables'!$J104,0))))))</f>
        <v>-9.8048999999999999</v>
      </c>
      <c r="P65" s="267">
        <f>IF(P$8='5.Variables'!$B$10,+'5.Variables'!$J25,+IF(P$8='5.Variables'!$B$33,+'5.Variables'!$J48,+IF(P$8='5.Variables'!$B$56,+'5.Variables'!$J62,+IF(P$8='5.Variables'!$B$70,+'5.Variables'!$J76,+IF(P$8='5.Variables'!$B$84,+'5.Variables'!$J90,+IF(P$8='5.Variables'!$B$98,+'5.Variables'!$J104,0))))))</f>
        <v>31</v>
      </c>
      <c r="Q65" s="240"/>
      <c r="R65" s="268">
        <f t="shared" si="7"/>
        <v>11245730.22857357</v>
      </c>
      <c r="S65" s="272"/>
      <c r="T65" s="240"/>
      <c r="U65" s="240"/>
      <c r="V65" s="240"/>
      <c r="W65" s="240"/>
      <c r="X65" s="240"/>
      <c r="Y65" s="240"/>
      <c r="Z65" s="240"/>
      <c r="AA65" s="240"/>
      <c r="AB65" s="240"/>
      <c r="AC65" s="240"/>
      <c r="AD65" s="240"/>
      <c r="AE65" s="240"/>
      <c r="AF65" s="240"/>
      <c r="AG65" s="240"/>
      <c r="AH65" s="240"/>
      <c r="AI65" s="240"/>
      <c r="AJ65" s="240"/>
      <c r="AK65" s="240"/>
      <c r="AL65" s="240"/>
      <c r="AM65" s="240"/>
    </row>
    <row r="66" spans="1:39" x14ac:dyDescent="0.2">
      <c r="A66" s="675">
        <f t="shared" si="8"/>
        <v>57</v>
      </c>
      <c r="B66" s="266" t="str">
        <f>CONCATENATE('3. Consumption by Rate Class'!B72,"-",'3. Consumption by Rate Class'!C72)</f>
        <v>2009-September</v>
      </c>
      <c r="C66" s="270">
        <v>9257157</v>
      </c>
      <c r="D66" s="252">
        <f>+'X.1.CDM Calculation'!H63</f>
        <v>166254.85625948705</v>
      </c>
      <c r="E66" s="731"/>
      <c r="F66" s="252"/>
      <c r="G66" s="252"/>
      <c r="H66" s="731"/>
      <c r="I66" s="731"/>
      <c r="J66" s="268">
        <f t="shared" si="6"/>
        <v>9423411.8562594876</v>
      </c>
      <c r="K66" s="267">
        <f>IF(K$8='5.Variables'!$B$10,+'5.Variables'!$K25,+IF(K$8='5.Variables'!$B$33,+'5.Variables'!$K48,+IF(K$8='5.Variables'!$B$56,+'5.Variables'!$K62,+IF(K$8='5.Variables'!$B$70,+'5.Variables'!$K76,+IF(K$8='5.Variables'!$B$84,+'5.Variables'!$K90,+IF(K$8='5.Variables'!$B$98,+'5.Variables'!$K104,0))))))</f>
        <v>11789</v>
      </c>
      <c r="L66" s="267">
        <f>IF(L$8='5.Variables'!$B$10,+'5.Variables'!$K25,+IF(L$8='5.Variables'!$B$33,+'5.Variables'!$K48,+IF(L$8='5.Variables'!$B$56,+'5.Variables'!$K62,+IF(L$8='5.Variables'!$B$70,+'5.Variables'!$K76,+IF(L$8='5.Variables'!$B$84,+'5.Variables'!$K90,+IF(L$8='5.Variables'!$B$98,+'5.Variables'!$K104,0))))))</f>
        <v>75.8</v>
      </c>
      <c r="M66" s="267">
        <f>IF(M$8='5.Variables'!$B$10,+'5.Variables'!$K25,+IF(M$8='5.Variables'!$B$33,+'5.Variables'!$K48,+IF(M$8='5.Variables'!$B$56,+'5.Variables'!$K62,+IF(M$8='5.Variables'!$B$70,+'5.Variables'!$K76,+IF(M$8='5.Variables'!$B$84,+'5.Variables'!$K90,+IF(M$8='5.Variables'!$B$98,+'5.Variables'!$K104,0))))))</f>
        <v>10.7</v>
      </c>
      <c r="N66" s="267">
        <f>IF(N$8='5.Variables'!$B$10,+'5.Variables'!$K25,+IF(N$8='5.Variables'!$B$33,+'5.Variables'!$K48,+IF(N$8='5.Variables'!$B$56,+'5.Variables'!$K62,+IF(N$8='5.Variables'!$B$70,+'5.Variables'!$K76,+IF(N$8='5.Variables'!$B$84,+'5.Variables'!$K90,+IF(N$8='5.Variables'!$B$98,+'5.Variables'!$K104,0))))))</f>
        <v>1</v>
      </c>
      <c r="O66" s="267">
        <f>IF(O$8='5.Variables'!$B$10,+'5.Variables'!$K25,+IF(O$8='5.Variables'!$B$33,+'5.Variables'!$K48,+IF(O$8='5.Variables'!$B$56,+'5.Variables'!$K62,+IF(O$8='5.Variables'!$B$70,+'5.Variables'!$K76,+IF(O$8='5.Variables'!$B$84,+'5.Variables'!$K90,+IF(O$8='5.Variables'!$B$98,+'5.Variables'!$K104,0))))))</f>
        <v>-10.0244</v>
      </c>
      <c r="P66" s="267">
        <f>IF(P$8='5.Variables'!$B$10,+'5.Variables'!$K25,+IF(P$8='5.Variables'!$B$33,+'5.Variables'!$K48,+IF(P$8='5.Variables'!$B$56,+'5.Variables'!$K62,+IF(P$8='5.Variables'!$B$70,+'5.Variables'!$K76,+IF(P$8='5.Variables'!$B$84,+'5.Variables'!$K90,+IF(P$8='5.Variables'!$B$98,+'5.Variables'!$K104,0))))))</f>
        <v>30</v>
      </c>
      <c r="Q66" s="240"/>
      <c r="R66" s="268">
        <f t="shared" si="7"/>
        <v>8643538.0837279223</v>
      </c>
      <c r="S66" s="272"/>
      <c r="T66" s="240"/>
      <c r="U66" s="240"/>
      <c r="V66" s="240"/>
      <c r="W66" s="240"/>
      <c r="X66" s="240"/>
      <c r="Y66" s="240"/>
      <c r="Z66" s="240"/>
      <c r="AA66" s="240"/>
      <c r="AB66" s="240"/>
      <c r="AC66" s="240"/>
      <c r="AD66" s="240"/>
      <c r="AE66" s="240"/>
      <c r="AF66" s="240"/>
      <c r="AG66" s="240"/>
      <c r="AH66" s="240"/>
      <c r="AI66" s="240"/>
      <c r="AJ66" s="240"/>
      <c r="AK66" s="240"/>
      <c r="AL66" s="240"/>
      <c r="AM66" s="240"/>
    </row>
    <row r="67" spans="1:39" x14ac:dyDescent="0.2">
      <c r="A67" s="675">
        <f t="shared" si="8"/>
        <v>58</v>
      </c>
      <c r="B67" s="266" t="str">
        <f>CONCATENATE('3. Consumption by Rate Class'!B73,"-",'3. Consumption by Rate Class'!C73)</f>
        <v>2009-October</v>
      </c>
      <c r="C67" s="270">
        <v>9872214</v>
      </c>
      <c r="D67" s="252">
        <f>+'X.1.CDM Calculation'!H64</f>
        <v>168057.81430370876</v>
      </c>
      <c r="E67" s="731"/>
      <c r="F67" s="252"/>
      <c r="G67" s="252"/>
      <c r="H67" s="731"/>
      <c r="I67" s="731"/>
      <c r="J67" s="268">
        <f t="shared" si="6"/>
        <v>10040271.814303709</v>
      </c>
      <c r="K67" s="267">
        <f>IF(K$8='5.Variables'!$B$10,+'5.Variables'!$L25,+IF(K$8='5.Variables'!$B$33,+'5.Variables'!$L48,+IF(K$8='5.Variables'!$B$56,+'5.Variables'!$L62,+IF(K$8='5.Variables'!$B$70,+'5.Variables'!$L76,+IF(K$8='5.Variables'!$B$84,+'5.Variables'!$L90,+IF(K$8='5.Variables'!$B$98,+'5.Variables'!$L104,0))))))</f>
        <v>11794</v>
      </c>
      <c r="L67" s="267">
        <f>IF(L$8='5.Variables'!$B$10,+'5.Variables'!$L25,+IF(L$8='5.Variables'!$B$33,+'5.Variables'!$L48,+IF(L$8='5.Variables'!$B$56,+'5.Variables'!$L62,+IF(L$8='5.Variables'!$B$70,+'5.Variables'!$L76,+IF(L$8='5.Variables'!$B$84,+'5.Variables'!$L90,+IF(L$8='5.Variables'!$B$98,+'5.Variables'!$L104,0))))))</f>
        <v>296.5</v>
      </c>
      <c r="M67" s="267">
        <f>IF(M$8='5.Variables'!$B$10,+'5.Variables'!$L25,+IF(M$8='5.Variables'!$B$33,+'5.Variables'!$L48,+IF(M$8='5.Variables'!$B$56,+'5.Variables'!$L62,+IF(M$8='5.Variables'!$B$70,+'5.Variables'!$L76,+IF(M$8='5.Variables'!$B$84,+'5.Variables'!$L90,+IF(M$8='5.Variables'!$B$98,+'5.Variables'!$L104,0))))))</f>
        <v>0</v>
      </c>
      <c r="N67" s="267">
        <f>IF(N$8='5.Variables'!$B$10,+'5.Variables'!$L25,+IF(N$8='5.Variables'!$B$33,+'5.Variables'!$L48,+IF(N$8='5.Variables'!$B$56,+'5.Variables'!$L62,+IF(N$8='5.Variables'!$B$70,+'5.Variables'!$L76,+IF(N$8='5.Variables'!$B$84,+'5.Variables'!$L90,+IF(N$8='5.Variables'!$B$98,+'5.Variables'!$L104,0))))))</f>
        <v>1</v>
      </c>
      <c r="O67" s="267">
        <f>IF(O$8='5.Variables'!$B$10,+'5.Variables'!$L25,+IF(O$8='5.Variables'!$B$33,+'5.Variables'!$L48,+IF(O$8='5.Variables'!$B$56,+'5.Variables'!$L62,+IF(O$8='5.Variables'!$B$70,+'5.Variables'!$L76,+IF(O$8='5.Variables'!$B$84,+'5.Variables'!$L90,+IF(O$8='5.Variables'!$B$98,+'5.Variables'!$L104,0))))))</f>
        <v>-10.2439</v>
      </c>
      <c r="P67" s="267">
        <f>IF(P$8='5.Variables'!$B$10,+'5.Variables'!$L25,+IF(P$8='5.Variables'!$B$33,+'5.Variables'!$L48,+IF(P$8='5.Variables'!$B$56,+'5.Variables'!$L62,+IF(P$8='5.Variables'!$B$70,+'5.Variables'!$L76,+IF(P$8='5.Variables'!$B$84,+'5.Variables'!$L90,+IF(P$8='5.Variables'!$B$98,+'5.Variables'!$L104,0))))))</f>
        <v>31</v>
      </c>
      <c r="Q67" s="240"/>
      <c r="R67" s="268">
        <f t="shared" si="7"/>
        <v>9962250.9154290333</v>
      </c>
      <c r="S67" s="272"/>
      <c r="T67" s="240"/>
      <c r="U67" s="240"/>
      <c r="V67" s="240"/>
      <c r="W67" s="240"/>
      <c r="X67" s="240"/>
      <c r="Y67" s="240"/>
      <c r="Z67" s="240"/>
      <c r="AA67" s="240"/>
      <c r="AB67" s="240"/>
      <c r="AC67" s="240"/>
      <c r="AD67" s="240"/>
      <c r="AE67" s="240"/>
      <c r="AF67" s="240"/>
      <c r="AG67" s="240"/>
      <c r="AH67" s="240"/>
      <c r="AI67" s="240"/>
      <c r="AJ67" s="240"/>
      <c r="AK67" s="240"/>
      <c r="AL67" s="240"/>
      <c r="AM67" s="240"/>
    </row>
    <row r="68" spans="1:39" x14ac:dyDescent="0.2">
      <c r="A68" s="675">
        <f t="shared" si="8"/>
        <v>59</v>
      </c>
      <c r="B68" s="266" t="str">
        <f>CONCATENATE('3. Consumption by Rate Class'!B74,"-",'3. Consumption by Rate Class'!C74)</f>
        <v>2009-November</v>
      </c>
      <c r="C68" s="270">
        <v>9731721</v>
      </c>
      <c r="D68" s="252">
        <f>+'X.1.CDM Calculation'!H65</f>
        <v>169860.7723479305</v>
      </c>
      <c r="E68" s="731"/>
      <c r="F68" s="252"/>
      <c r="G68" s="252"/>
      <c r="H68" s="731"/>
      <c r="I68" s="731"/>
      <c r="J68" s="268">
        <f t="shared" si="6"/>
        <v>9901581.7723479308</v>
      </c>
      <c r="K68" s="267">
        <f>IF(K$8='5.Variables'!$B$10,+'5.Variables'!$M25,+IF(K$8='5.Variables'!$B$33,+'5.Variables'!$M48,+IF(K$8='5.Variables'!$B$56,+'5.Variables'!$M62,+IF(K$8='5.Variables'!$B$70,+'5.Variables'!$M76,+IF(K$8='5.Variables'!$B$84,+'5.Variables'!$M90,+IF(K$8='5.Variables'!$B$98,+'5.Variables'!$M104,0))))))</f>
        <v>11818</v>
      </c>
      <c r="L68" s="267">
        <f>IF(L$8='5.Variables'!$B$10,+'5.Variables'!$M25,+IF(L$8='5.Variables'!$B$33,+'5.Variables'!$M48,+IF(L$8='5.Variables'!$B$56,+'5.Variables'!$M62,+IF(L$8='5.Variables'!$B$70,+'5.Variables'!$M76,+IF(L$8='5.Variables'!$B$84,+'5.Variables'!$M90,+IF(L$8='5.Variables'!$B$98,+'5.Variables'!$M104,0))))))</f>
        <v>351.5</v>
      </c>
      <c r="M68" s="267">
        <f>IF(M$8='5.Variables'!$B$10,+'5.Variables'!$M25,+IF(M$8='5.Variables'!$B$33,+'5.Variables'!$M48,+IF(M$8='5.Variables'!$B$56,+'5.Variables'!$M62,+IF(M$8='5.Variables'!$B$70,+'5.Variables'!$M76,+IF(M$8='5.Variables'!$B$84,+'5.Variables'!$M90,+IF(M$8='5.Variables'!$B$98,+'5.Variables'!$M104,0))))))</f>
        <v>0</v>
      </c>
      <c r="N68" s="267">
        <f>IF(N$8='5.Variables'!$B$10,+'5.Variables'!$M25,+IF(N$8='5.Variables'!$B$33,+'5.Variables'!$M48,+IF(N$8='5.Variables'!$B$56,+'5.Variables'!$M62,+IF(N$8='5.Variables'!$B$70,+'5.Variables'!$M76,+IF(N$8='5.Variables'!$B$84,+'5.Variables'!$M90,+IF(N$8='5.Variables'!$B$98,+'5.Variables'!$M104,0))))))</f>
        <v>1</v>
      </c>
      <c r="O68" s="267">
        <f>IF(O$8='5.Variables'!$B$10,+'5.Variables'!$M25,+IF(O$8='5.Variables'!$B$33,+'5.Variables'!$M48,+IF(O$8='5.Variables'!$B$56,+'5.Variables'!$M62,+IF(O$8='5.Variables'!$B$70,+'5.Variables'!$M76,+IF(O$8='5.Variables'!$B$84,+'5.Variables'!$M90,+IF(O$8='5.Variables'!$B$98,+'5.Variables'!$M104,0))))))</f>
        <v>-10.4634</v>
      </c>
      <c r="P68" s="267">
        <f>IF(P$8='5.Variables'!$B$10,+'5.Variables'!$M25,+IF(P$8='5.Variables'!$B$33,+'5.Variables'!$M48,+IF(P$8='5.Variables'!$B$56,+'5.Variables'!$M62,+IF(P$8='5.Variables'!$B$70,+'5.Variables'!$M76,+IF(P$8='5.Variables'!$B$84,+'5.Variables'!$M90,+IF(P$8='5.Variables'!$B$98,+'5.Variables'!$M104,0))))))</f>
        <v>30</v>
      </c>
      <c r="Q68" s="240"/>
      <c r="R68" s="268">
        <f t="shared" si="7"/>
        <v>9856757.7154807243</v>
      </c>
      <c r="S68" s="272"/>
      <c r="T68" s="240"/>
      <c r="U68" s="281"/>
      <c r="V68" s="240"/>
      <c r="W68" s="240"/>
      <c r="X68" s="240"/>
      <c r="Y68" s="240"/>
      <c r="Z68" s="240"/>
      <c r="AA68" s="240"/>
      <c r="AB68" s="240"/>
      <c r="AC68" s="240"/>
      <c r="AD68" s="240"/>
      <c r="AE68" s="240"/>
      <c r="AF68" s="240"/>
      <c r="AG68" s="240"/>
      <c r="AH68" s="240"/>
      <c r="AI68" s="240"/>
      <c r="AJ68" s="240"/>
      <c r="AK68" s="240"/>
      <c r="AL68" s="240"/>
      <c r="AM68" s="240"/>
    </row>
    <row r="69" spans="1:39" x14ac:dyDescent="0.2">
      <c r="A69" s="675">
        <f t="shared" si="8"/>
        <v>60</v>
      </c>
      <c r="B69" s="266" t="str">
        <f>CONCATENATE('3. Consumption by Rate Class'!B75,"-",'3. Consumption by Rate Class'!C75)</f>
        <v>2009-December</v>
      </c>
      <c r="C69" s="270">
        <v>12546812</v>
      </c>
      <c r="D69" s="252">
        <f>+'X.1.CDM Calculation'!H66</f>
        <v>171663.73039215224</v>
      </c>
      <c r="E69" s="731"/>
      <c r="F69" s="252"/>
      <c r="G69" s="252"/>
      <c r="H69" s="731"/>
      <c r="I69" s="731"/>
      <c r="J69" s="268">
        <f t="shared" si="6"/>
        <v>12718475.730392152</v>
      </c>
      <c r="K69" s="267">
        <f>IF(K$8='5.Variables'!$B$10,+'5.Variables'!$N25,+IF(K$8='5.Variables'!$B$33,+'5.Variables'!$N48,+IF(K$8='5.Variables'!$B$56,+'5.Variables'!$N62,+IF(K$8='5.Variables'!$B$70,+'5.Variables'!$N76,+IF(K$8='5.Variables'!$B$84,+'5.Variables'!$N90,+IF(K$8='5.Variables'!$B$98,+'5.Variables'!$N104,0))))))</f>
        <v>11836</v>
      </c>
      <c r="L69" s="267">
        <f>IF(L$8='5.Variables'!$B$10,+'5.Variables'!$N25,+IF(L$8='5.Variables'!$B$33,+'5.Variables'!$N48,+IF(L$8='5.Variables'!$B$56,+'5.Variables'!$N62,+IF(L$8='5.Variables'!$B$70,+'5.Variables'!$N76,+IF(L$8='5.Variables'!$B$84,+'5.Variables'!$N90,+IF(L$8='5.Variables'!$B$98,+'5.Variables'!$N104,0))))))</f>
        <v>619</v>
      </c>
      <c r="M69" s="267">
        <f>IF(M$8='5.Variables'!$B$10,+'5.Variables'!$N25,+IF(M$8='5.Variables'!$B$33,+'5.Variables'!$N48,+IF(M$8='5.Variables'!$B$56,+'5.Variables'!$N62,+IF(M$8='5.Variables'!$B$70,+'5.Variables'!$N76,+IF(M$8='5.Variables'!$B$84,+'5.Variables'!$N90,+IF(M$8='5.Variables'!$B$98,+'5.Variables'!$N104,0))))))</f>
        <v>0</v>
      </c>
      <c r="N69" s="267">
        <f>IF(N$8='5.Variables'!$B$10,+'5.Variables'!$N25,+IF(N$8='5.Variables'!$B$33,+'5.Variables'!$N48,+IF(N$8='5.Variables'!$B$56,+'5.Variables'!$N62,+IF(N$8='5.Variables'!$B$70,+'5.Variables'!$N76,+IF(N$8='5.Variables'!$B$84,+'5.Variables'!$N90,+IF(N$8='5.Variables'!$B$98,+'5.Variables'!$N104,0))))))</f>
        <v>0</v>
      </c>
      <c r="O69" s="267">
        <f>IF(O$8='5.Variables'!$B$10,+'5.Variables'!$N25,+IF(O$8='5.Variables'!$B$33,+'5.Variables'!$N48,+IF(O$8='5.Variables'!$B$56,+'5.Variables'!$N62,+IF(O$8='5.Variables'!$B$70,+'5.Variables'!$N76,+IF(O$8='5.Variables'!$B$84,+'5.Variables'!$N90,+IF(O$8='5.Variables'!$B$98,+'5.Variables'!$N104,0))))))</f>
        <v>-10.6829</v>
      </c>
      <c r="P69" s="267">
        <f>IF(P$8='5.Variables'!$B$10,+'5.Variables'!$N25,+IF(P$8='5.Variables'!$B$33,+'5.Variables'!$N48,+IF(P$8='5.Variables'!$B$56,+'5.Variables'!$N62,+IF(P$8='5.Variables'!$B$70,+'5.Variables'!$N76,+IF(P$8='5.Variables'!$B$84,+'5.Variables'!$N90,+IF(P$8='5.Variables'!$B$98,+'5.Variables'!$N104,0))))))</f>
        <v>31</v>
      </c>
      <c r="Q69" s="240"/>
      <c r="R69" s="268">
        <f t="shared" si="7"/>
        <v>12639160.49290495</v>
      </c>
      <c r="S69" s="272">
        <f>SUM(R58:R69)</f>
        <v>127811923.39517263</v>
      </c>
      <c r="T69" s="240"/>
      <c r="U69" s="281"/>
      <c r="V69" s="240"/>
      <c r="W69" s="240"/>
      <c r="X69" s="240"/>
      <c r="Y69" s="240"/>
      <c r="Z69" s="240"/>
      <c r="AA69" s="240"/>
      <c r="AB69" s="240"/>
      <c r="AC69" s="240"/>
      <c r="AD69" s="240"/>
      <c r="AE69" s="240"/>
      <c r="AF69" s="240"/>
      <c r="AG69" s="240"/>
      <c r="AH69" s="240"/>
      <c r="AI69" s="240"/>
      <c r="AJ69" s="240"/>
      <c r="AK69" s="240"/>
      <c r="AL69" s="240"/>
      <c r="AM69" s="240"/>
    </row>
    <row r="70" spans="1:39" x14ac:dyDescent="0.2">
      <c r="A70" s="675">
        <f t="shared" si="8"/>
        <v>61</v>
      </c>
      <c r="B70" s="266" t="str">
        <f>CONCATENATE('3. Consumption by Rate Class'!B76,"-",'3. Consumption by Rate Class'!C76)</f>
        <v>2010-January</v>
      </c>
      <c r="C70" s="270">
        <v>12974016</v>
      </c>
      <c r="D70" s="252">
        <f>+'X.1.CDM Calculation'!H67</f>
        <v>168816.47406740853</v>
      </c>
      <c r="E70" s="731"/>
      <c r="F70" s="252"/>
      <c r="G70" s="252"/>
      <c r="H70" s="731"/>
      <c r="I70" s="731"/>
      <c r="J70" s="268">
        <f t="shared" si="6"/>
        <v>13142832.474067409</v>
      </c>
      <c r="K70" s="267">
        <f>IF(K$8='5.Variables'!$B$10,+'5.Variables'!$C26,+IF(K$8='5.Variables'!$B$33,+'5.Variables'!$C49,+IF(K$8='5.Variables'!$B$56,+'5.Variables'!$C63,+IF(K$8='5.Variables'!$B$70,+'5.Variables'!$C77,+IF(K$8='5.Variables'!$B$84,+'5.Variables'!$C91,+IF(K$8='5.Variables'!$B$98,+'5.Variables'!$C105,0))))))</f>
        <v>11836</v>
      </c>
      <c r="L70" s="267">
        <f>IF(L$8='5.Variables'!$B$10,+'5.Variables'!$C26,+IF(L$8='5.Variables'!$B$33,+'5.Variables'!$C49,+IF(L$8='5.Variables'!$B$56,+'5.Variables'!$C63,+IF(L$8='5.Variables'!$B$70,+'5.Variables'!$C77,+IF(L$8='5.Variables'!$B$84,+'5.Variables'!$C91,+IF(L$8='5.Variables'!$B$98,+'5.Variables'!$C105,0))))))</f>
        <v>725.8</v>
      </c>
      <c r="M70" s="267">
        <f>IF(M$8='5.Variables'!$B$10,+'5.Variables'!$C26,+IF(M$8='5.Variables'!$B$33,+'5.Variables'!$C49,+IF(M$8='5.Variables'!$B$56,+'5.Variables'!$C63,+IF(M$8='5.Variables'!$B$70,+'5.Variables'!$C77,+IF(M$8='5.Variables'!$B$84,+'5.Variables'!$C91,+IF(M$8='5.Variables'!$B$98,+'5.Variables'!$C105,0))))))</f>
        <v>0</v>
      </c>
      <c r="N70" s="267">
        <f>IF(N$8='5.Variables'!$B$10,+'5.Variables'!$C26,+IF(N$8='5.Variables'!$B$33,+'5.Variables'!$C49,+IF(N$8='5.Variables'!$B$56,+'5.Variables'!$C63,+IF(N$8='5.Variables'!$B$70,+'5.Variables'!$C77,+IF(N$8='5.Variables'!$B$84,+'5.Variables'!$C91,+IF(N$8='5.Variables'!$B$98,+'5.Variables'!$C105,0))))))</f>
        <v>0</v>
      </c>
      <c r="O70" s="267">
        <f>IF(O$8='5.Variables'!$B$10,+'5.Variables'!$C26,+IF(O$8='5.Variables'!$B$33,+'5.Variables'!$C49,+IF(O$8='5.Variables'!$B$56,+'5.Variables'!$C63,+IF(O$8='5.Variables'!$B$70,+'5.Variables'!$C77,+IF(O$8='5.Variables'!$B$84,+'5.Variables'!$C91,+IF(O$8='5.Variables'!$B$98,+'5.Variables'!$C105,0))))))</f>
        <v>-10.9024</v>
      </c>
      <c r="P70" s="267">
        <f>IF(P$8='5.Variables'!$B$10,+'5.Variables'!$C26,+IF(P$8='5.Variables'!$B$33,+'5.Variables'!$C49,+IF(P$8='5.Variables'!$B$56,+'5.Variables'!$C63,+IF(P$8='5.Variables'!$B$70,+'5.Variables'!$C77,+IF(P$8='5.Variables'!$B$84,+'5.Variables'!$C91,+IF(P$8='5.Variables'!$B$98,+'5.Variables'!$C105,0))))))</f>
        <v>31</v>
      </c>
      <c r="Q70" s="240"/>
      <c r="R70" s="268">
        <f t="shared" si="7"/>
        <v>13197328.556292616</v>
      </c>
      <c r="S70" s="272"/>
      <c r="T70" s="240"/>
      <c r="U70" s="281"/>
      <c r="V70" s="240"/>
      <c r="W70" s="240"/>
      <c r="X70" s="240"/>
      <c r="Y70" s="240"/>
      <c r="Z70" s="240"/>
      <c r="AA70" s="240"/>
      <c r="AB70" s="240"/>
      <c r="AC70" s="240"/>
      <c r="AD70" s="240"/>
      <c r="AE70" s="240"/>
      <c r="AF70" s="240"/>
      <c r="AG70" s="240"/>
      <c r="AH70" s="240"/>
      <c r="AI70" s="240"/>
      <c r="AJ70" s="240"/>
      <c r="AK70" s="240"/>
      <c r="AL70" s="240"/>
      <c r="AM70" s="240"/>
    </row>
    <row r="71" spans="1:39" x14ac:dyDescent="0.2">
      <c r="A71" s="675">
        <f t="shared" si="8"/>
        <v>62</v>
      </c>
      <c r="B71" s="266" t="str">
        <f>CONCATENATE('3. Consumption by Rate Class'!B77,"-",'3. Consumption by Rate Class'!C77)</f>
        <v>2010-February</v>
      </c>
      <c r="C71" s="270">
        <v>11255506</v>
      </c>
      <c r="D71" s="252">
        <f>+'X.1.CDM Calculation'!H68</f>
        <v>166742.47562483858</v>
      </c>
      <c r="E71" s="731"/>
      <c r="F71" s="252"/>
      <c r="G71" s="252"/>
      <c r="H71" s="731"/>
      <c r="I71" s="731"/>
      <c r="J71" s="268">
        <f t="shared" si="6"/>
        <v>11422248.475624839</v>
      </c>
      <c r="K71" s="267">
        <f>IF(K$8='5.Variables'!$B$10,+'5.Variables'!$D26,+IF(K$8='5.Variables'!$B$33,+'5.Variables'!$D49,+IF(K$8='5.Variables'!$B$56,+'5.Variables'!$D63,+IF(K$8='5.Variables'!$B$70,+'5.Variables'!$D77,+IF(K$8='5.Variables'!$B$84,+'5.Variables'!$D91,+IF(K$8='5.Variables'!$B$98,+'5.Variables'!$D105,0))))))</f>
        <v>11865</v>
      </c>
      <c r="L71" s="267">
        <f>IF(L$8='5.Variables'!$B$10,+'5.Variables'!$D26,+IF(L$8='5.Variables'!$B$33,+'5.Variables'!$D49,+IF(L$8='5.Variables'!$B$56,+'5.Variables'!$D63,+IF(L$8='5.Variables'!$B$70,+'5.Variables'!$D77,+IF(L$8='5.Variables'!$B$84,+'5.Variables'!$D91,+IF(L$8='5.Variables'!$B$98,+'5.Variables'!$D105,0))))))</f>
        <v>625.29999999999995</v>
      </c>
      <c r="M71" s="267">
        <f>IF(M$8='5.Variables'!$B$10,+'5.Variables'!$D26,+IF(M$8='5.Variables'!$B$33,+'5.Variables'!$D49,+IF(M$8='5.Variables'!$B$56,+'5.Variables'!$D63,+IF(M$8='5.Variables'!$B$70,+'5.Variables'!$D77,+IF(M$8='5.Variables'!$B$84,+'5.Variables'!$D91,+IF(M$8='5.Variables'!$B$98,+'5.Variables'!$D105,0))))))</f>
        <v>0</v>
      </c>
      <c r="N71" s="267">
        <f>IF(N$8='5.Variables'!$B$10,+'5.Variables'!$D26,+IF(N$8='5.Variables'!$B$33,+'5.Variables'!$D49,+IF(N$8='5.Variables'!$B$56,+'5.Variables'!$D63,+IF(N$8='5.Variables'!$B$70,+'5.Variables'!$D77,+IF(N$8='5.Variables'!$B$84,+'5.Variables'!$D91,+IF(N$8='5.Variables'!$B$98,+'5.Variables'!$D105,0))))))</f>
        <v>0</v>
      </c>
      <c r="O71" s="267">
        <f>IF(O$8='5.Variables'!$B$10,+'5.Variables'!$D26,+IF(O$8='5.Variables'!$B$33,+'5.Variables'!$D49,+IF(O$8='5.Variables'!$B$56,+'5.Variables'!$D63,+IF(O$8='5.Variables'!$B$70,+'5.Variables'!$D77,+IF(O$8='5.Variables'!$B$84,+'5.Variables'!$D91,+IF(O$8='5.Variables'!$B$98,+'5.Variables'!$D105,0))))))</f>
        <v>-11.1219</v>
      </c>
      <c r="P71" s="267">
        <f>IF(P$8='5.Variables'!$B$10,+'5.Variables'!$D26,+IF(P$8='5.Variables'!$B$33,+'5.Variables'!$D49,+IF(P$8='5.Variables'!$B$56,+'5.Variables'!$D63,+IF(P$8='5.Variables'!$B$70,+'5.Variables'!$D77,+IF(P$8='5.Variables'!$B$84,+'5.Variables'!$D91,+IF(P$8='5.Variables'!$B$98,+'5.Variables'!$D105,0))))))</f>
        <v>28</v>
      </c>
      <c r="Q71" s="240"/>
      <c r="R71" s="268">
        <f t="shared" si="7"/>
        <v>11399741.534947367</v>
      </c>
      <c r="S71" s="272"/>
      <c r="T71" s="240"/>
      <c r="U71" s="281"/>
      <c r="V71" s="240"/>
      <c r="W71" s="240"/>
      <c r="X71" s="240"/>
      <c r="Y71" s="240"/>
      <c r="Z71" s="240"/>
      <c r="AA71" s="240"/>
      <c r="AB71" s="240"/>
      <c r="AC71" s="240"/>
      <c r="AD71" s="240"/>
      <c r="AE71" s="240"/>
      <c r="AF71" s="240"/>
      <c r="AG71" s="240"/>
      <c r="AH71" s="240"/>
      <c r="AI71" s="240"/>
      <c r="AJ71" s="240"/>
      <c r="AK71" s="240"/>
      <c r="AL71" s="240"/>
      <c r="AM71" s="240"/>
    </row>
    <row r="72" spans="1:39" x14ac:dyDescent="0.2">
      <c r="A72" s="675">
        <f t="shared" si="8"/>
        <v>63</v>
      </c>
      <c r="B72" s="266" t="str">
        <f>CONCATENATE('3. Consumption by Rate Class'!B78,"-",'3. Consumption by Rate Class'!C78)</f>
        <v>2010-March</v>
      </c>
      <c r="C72" s="270">
        <v>10543146</v>
      </c>
      <c r="D72" s="252">
        <f>+'X.1.CDM Calculation'!H69</f>
        <v>164668.47718226866</v>
      </c>
      <c r="E72" s="731"/>
      <c r="F72" s="252"/>
      <c r="G72" s="252"/>
      <c r="H72" s="731"/>
      <c r="I72" s="731"/>
      <c r="J72" s="268">
        <f t="shared" si="6"/>
        <v>10707814.477182269</v>
      </c>
      <c r="K72" s="267">
        <f>IF(K$8='5.Variables'!$B$10,+'5.Variables'!$E26,+IF(K$8='5.Variables'!$B$33,+'5.Variables'!$E49,+IF(K$8='5.Variables'!$B$56,+'5.Variables'!$E63,+IF(K$8='5.Variables'!$B$70,+'5.Variables'!$E77,+IF(K$8='5.Variables'!$B$84,+'5.Variables'!$E91,+IF(K$8='5.Variables'!$B$98,+'5.Variables'!$E105,0))))))</f>
        <v>11882</v>
      </c>
      <c r="L72" s="267">
        <f>IF(L$8='5.Variables'!$B$10,+'5.Variables'!$E26,+IF(L$8='5.Variables'!$B$33,+'5.Variables'!$E49,+IF(L$8='5.Variables'!$B$56,+'5.Variables'!$E63,+IF(L$8='5.Variables'!$B$70,+'5.Variables'!$E77,+IF(L$8='5.Variables'!$B$84,+'5.Variables'!$E91,+IF(L$8='5.Variables'!$B$98,+'5.Variables'!$E105,0))))))</f>
        <v>485</v>
      </c>
      <c r="M72" s="267">
        <f>IF(M$8='5.Variables'!$B$10,+'5.Variables'!$E26,+IF(M$8='5.Variables'!$B$33,+'5.Variables'!$E49,+IF(M$8='5.Variables'!$B$56,+'5.Variables'!$E63,+IF(M$8='5.Variables'!$B$70,+'5.Variables'!$E77,+IF(M$8='5.Variables'!$B$84,+'5.Variables'!$E91,+IF(M$8='5.Variables'!$B$98,+'5.Variables'!$E105,0))))))</f>
        <v>0</v>
      </c>
      <c r="N72" s="267">
        <f>IF(N$8='5.Variables'!$B$10,+'5.Variables'!$E26,+IF(N$8='5.Variables'!$B$33,+'5.Variables'!$E49,+IF(N$8='5.Variables'!$B$56,+'5.Variables'!$E63,+IF(N$8='5.Variables'!$B$70,+'5.Variables'!$E77,+IF(N$8='5.Variables'!$B$84,+'5.Variables'!$E91,+IF(N$8='5.Variables'!$B$98,+'5.Variables'!$E105,0))))))</f>
        <v>1</v>
      </c>
      <c r="O72" s="267">
        <f>IF(O$8='5.Variables'!$B$10,+'5.Variables'!$E26,+IF(O$8='5.Variables'!$B$33,+'5.Variables'!$E49,+IF(O$8='5.Variables'!$B$56,+'5.Variables'!$E63,+IF(O$8='5.Variables'!$B$70,+'5.Variables'!$E77,+IF(O$8='5.Variables'!$B$84,+'5.Variables'!$E91,+IF(O$8='5.Variables'!$B$98,+'5.Variables'!$E105,0))))))</f>
        <v>-11.3414</v>
      </c>
      <c r="P72" s="267">
        <f>IF(P$8='5.Variables'!$B$10,+'5.Variables'!$E26,+IF(P$8='5.Variables'!$B$33,+'5.Variables'!$E49,+IF(P$8='5.Variables'!$B$56,+'5.Variables'!$E63,+IF(P$8='5.Variables'!$B$70,+'5.Variables'!$E77,+IF(P$8='5.Variables'!$B$84,+'5.Variables'!$E91,+IF(P$8='5.Variables'!$B$98,+'5.Variables'!$E105,0))))))</f>
        <v>31</v>
      </c>
      <c r="Q72" s="240"/>
      <c r="R72" s="268">
        <f t="shared" si="7"/>
        <v>11038936.234460341</v>
      </c>
      <c r="S72" s="272"/>
      <c r="T72" s="240"/>
      <c r="U72" s="240"/>
      <c r="V72" s="240"/>
      <c r="W72" s="240"/>
      <c r="X72" s="240"/>
      <c r="Y72" s="240"/>
      <c r="Z72" s="240"/>
      <c r="AA72" s="240"/>
      <c r="AB72" s="240"/>
      <c r="AC72" s="240"/>
      <c r="AD72" s="240"/>
      <c r="AE72" s="240"/>
      <c r="AF72" s="240"/>
      <c r="AG72" s="240"/>
      <c r="AH72" s="240"/>
      <c r="AI72" s="240"/>
      <c r="AJ72" s="240"/>
      <c r="AK72" s="240"/>
      <c r="AL72" s="240"/>
      <c r="AM72" s="240"/>
    </row>
    <row r="73" spans="1:39" x14ac:dyDescent="0.2">
      <c r="A73" s="675">
        <f t="shared" si="8"/>
        <v>64</v>
      </c>
      <c r="B73" s="266" t="str">
        <f>CONCATENATE('3. Consumption by Rate Class'!B79,"-",'3. Consumption by Rate Class'!C79)</f>
        <v>2010-April</v>
      </c>
      <c r="C73" s="270">
        <v>8706001</v>
      </c>
      <c r="D73" s="252">
        <f>+'X.1.CDM Calculation'!H70</f>
        <v>162594.47873969871</v>
      </c>
      <c r="E73" s="731"/>
      <c r="F73" s="252"/>
      <c r="G73" s="252"/>
      <c r="H73" s="731"/>
      <c r="I73" s="731"/>
      <c r="J73" s="268">
        <f t="shared" si="6"/>
        <v>8868595.4787396993</v>
      </c>
      <c r="K73" s="267">
        <f>IF(K$8='5.Variables'!$B$10,+'5.Variables'!$F26,+IF(K$8='5.Variables'!$B$33,+'5.Variables'!$F49,+IF(K$8='5.Variables'!$B$56,+'5.Variables'!$F63,+IF(K$8='5.Variables'!$B$70,+'5.Variables'!$F77,+IF(K$8='5.Variables'!$B$84,+'5.Variables'!$F91,+IF(K$8='5.Variables'!$B$98,+'5.Variables'!$F105,0))))))</f>
        <v>11914</v>
      </c>
      <c r="L73" s="267">
        <f>IF(L$8='5.Variables'!$B$10,+'5.Variables'!$F26,+IF(L$8='5.Variables'!$B$33,+'5.Variables'!$F49,+IF(L$8='5.Variables'!$B$56,+'5.Variables'!$F63,+IF(L$8='5.Variables'!$B$70,+'5.Variables'!$F77,+IF(L$8='5.Variables'!$B$84,+'5.Variables'!$F91,+IF(L$8='5.Variables'!$B$98,+'5.Variables'!$F105,0))))))</f>
        <v>265</v>
      </c>
      <c r="M73" s="267">
        <f>IF(M$8='5.Variables'!$B$10,+'5.Variables'!$F26,+IF(M$8='5.Variables'!$B$33,+'5.Variables'!$F49,+IF(M$8='5.Variables'!$B$56,+'5.Variables'!$F63,+IF(M$8='5.Variables'!$B$70,+'5.Variables'!$F77,+IF(M$8='5.Variables'!$B$84,+'5.Variables'!$F91,+IF(M$8='5.Variables'!$B$98,+'5.Variables'!$F105,0))))))</f>
        <v>3</v>
      </c>
      <c r="N73" s="267">
        <f>IF(N$8='5.Variables'!$B$10,+'5.Variables'!$F26,+IF(N$8='5.Variables'!$B$33,+'5.Variables'!$F49,+IF(N$8='5.Variables'!$B$56,+'5.Variables'!$F63,+IF(N$8='5.Variables'!$B$70,+'5.Variables'!$F77,+IF(N$8='5.Variables'!$B$84,+'5.Variables'!$F91,+IF(N$8='5.Variables'!$B$98,+'5.Variables'!$F105,0))))))</f>
        <v>1</v>
      </c>
      <c r="O73" s="267">
        <f>IF(O$8='5.Variables'!$B$10,+'5.Variables'!$F26,+IF(O$8='5.Variables'!$B$33,+'5.Variables'!$F49,+IF(O$8='5.Variables'!$B$56,+'5.Variables'!$F63,+IF(O$8='5.Variables'!$B$70,+'5.Variables'!$F77,+IF(O$8='5.Variables'!$B$84,+'5.Variables'!$F91,+IF(O$8='5.Variables'!$B$98,+'5.Variables'!$F105,0))))))</f>
        <v>-11.5609</v>
      </c>
      <c r="P73" s="267">
        <f>IF(P$8='5.Variables'!$B$10,+'5.Variables'!$F26,+IF(P$8='5.Variables'!$B$33,+'5.Variables'!$F49,+IF(P$8='5.Variables'!$B$56,+'5.Variables'!$F63,+IF(P$8='5.Variables'!$B$70,+'5.Variables'!$F77,+IF(P$8='5.Variables'!$B$84,+'5.Variables'!$F91,+IF(P$8='5.Variables'!$B$98,+'5.Variables'!$F105,0))))))</f>
        <v>30</v>
      </c>
      <c r="Q73" s="240"/>
      <c r="R73" s="268">
        <f t="shared" si="7"/>
        <v>9533872.4225338772</v>
      </c>
      <c r="S73" s="272"/>
      <c r="T73" s="240"/>
      <c r="U73" s="240"/>
      <c r="V73" s="240"/>
      <c r="W73" s="240"/>
      <c r="X73" s="240"/>
      <c r="Y73" s="240"/>
      <c r="Z73" s="240"/>
      <c r="AA73" s="240"/>
      <c r="AB73" s="240"/>
      <c r="AC73" s="240"/>
      <c r="AD73" s="240"/>
      <c r="AE73" s="240"/>
      <c r="AF73" s="240"/>
      <c r="AG73" s="240"/>
      <c r="AH73" s="240"/>
      <c r="AI73" s="240"/>
      <c r="AJ73" s="240"/>
      <c r="AK73" s="240"/>
      <c r="AL73" s="240"/>
      <c r="AM73" s="240"/>
    </row>
    <row r="74" spans="1:39" x14ac:dyDescent="0.2">
      <c r="A74" s="675">
        <f t="shared" si="8"/>
        <v>65</v>
      </c>
      <c r="B74" s="266" t="str">
        <f>CONCATENATE('3. Consumption by Rate Class'!B80,"-",'3. Consumption by Rate Class'!C80)</f>
        <v>2010-May</v>
      </c>
      <c r="C74" s="270">
        <v>9621863</v>
      </c>
      <c r="D74" s="252">
        <f>+'X.1.CDM Calculation'!H71</f>
        <v>160520.48029712876</v>
      </c>
      <c r="E74" s="731"/>
      <c r="F74" s="252"/>
      <c r="G74" s="252"/>
      <c r="H74" s="731"/>
      <c r="I74" s="731"/>
      <c r="J74" s="268">
        <f t="shared" ref="J74" si="12">SUM(C74:I74)</f>
        <v>9782383.4802971296</v>
      </c>
      <c r="K74" s="267">
        <f>IF(K$8='5.Variables'!$B$10,+'5.Variables'!$G26,+IF(K$8='5.Variables'!$B$33,+'5.Variables'!$G49,+IF(K$8='5.Variables'!$B$56,+'5.Variables'!$G63,+IF(K$8='5.Variables'!$B$70,+'5.Variables'!$G77,+IF(K$8='5.Variables'!$B$84,+'5.Variables'!$G91,+IF(K$8='5.Variables'!$B$98,+'5.Variables'!$G105,0))))))</f>
        <v>11926</v>
      </c>
      <c r="L74" s="267">
        <f>IF(L$8='5.Variables'!$B$10,+'5.Variables'!$G26,+IF(L$8='5.Variables'!$B$33,+'5.Variables'!$G49,+IF(L$8='5.Variables'!$B$56,+'5.Variables'!$G63,+IF(L$8='5.Variables'!$B$70,+'5.Variables'!$G77,+IF(L$8='5.Variables'!$B$84,+'5.Variables'!$G91,+IF(L$8='5.Variables'!$B$98,+'5.Variables'!$G105,0))))))</f>
        <v>139</v>
      </c>
      <c r="M74" s="267">
        <f>IF(M$8='5.Variables'!$B$10,+'5.Variables'!$G26,+IF(M$8='5.Variables'!$B$33,+'5.Variables'!$G49,+IF(M$8='5.Variables'!$B$56,+'5.Variables'!$G63,+IF(M$8='5.Variables'!$B$70,+'5.Variables'!$G77,+IF(M$8='5.Variables'!$B$84,+'5.Variables'!$G91,+IF(M$8='5.Variables'!$B$98,+'5.Variables'!$G105,0))))))</f>
        <v>20.7</v>
      </c>
      <c r="N74" s="267">
        <f>IF(N$8='5.Variables'!$B$10,+'5.Variables'!$G26,+IF(N$8='5.Variables'!$B$33,+'5.Variables'!$G49,+IF(N$8='5.Variables'!$B$56,+'5.Variables'!$G63,+IF(N$8='5.Variables'!$B$70,+'5.Variables'!$G77,+IF(N$8='5.Variables'!$B$84,+'5.Variables'!$G91,+IF(N$8='5.Variables'!$B$98,+'5.Variables'!$G105,0))))))</f>
        <v>1</v>
      </c>
      <c r="O74" s="267">
        <f>IF(O$8='5.Variables'!$B$10,+'5.Variables'!$G26,+IF(O$8='5.Variables'!$B$33,+'5.Variables'!$G49,+IF(O$8='5.Variables'!$B$56,+'5.Variables'!$G63,+IF(O$8='5.Variables'!$B$70,+'5.Variables'!$G77,+IF(O$8='5.Variables'!$B$84,+'5.Variables'!$G91,+IF(O$8='5.Variables'!$B$98,+'5.Variables'!$G105,0))))))</f>
        <v>-11.7804</v>
      </c>
      <c r="P74" s="267">
        <f>IF(P$8='5.Variables'!$B$10,+'5.Variables'!$G26,+IF(P$8='5.Variables'!$B$33,+'5.Variables'!$G49,+IF(P$8='5.Variables'!$B$56,+'5.Variables'!$G63,+IF(P$8='5.Variables'!$B$70,+'5.Variables'!$G77,+IF(P$8='5.Variables'!$B$84,+'5.Variables'!$G91,+IF(P$8='5.Variables'!$B$98,+'5.Variables'!$G105,0))))))</f>
        <v>31</v>
      </c>
      <c r="Q74" s="240"/>
      <c r="R74" s="268">
        <f t="shared" ref="R74:R105" si="13">$V$24+(K74*$V$25)+(L74*$V$26)+(M74*$V$27)+(N74*$V$28)+(O74*$V$29)+(P74*$V$30)</f>
        <v>9764931.4496349022</v>
      </c>
      <c r="S74" s="272"/>
      <c r="T74" s="240"/>
      <c r="U74" s="240"/>
      <c r="V74" s="240"/>
      <c r="W74" s="240"/>
      <c r="X74" s="240"/>
      <c r="Y74" s="240"/>
      <c r="Z74" s="240"/>
      <c r="AA74" s="240"/>
      <c r="AB74" s="240"/>
      <c r="AC74" s="240"/>
      <c r="AD74" s="240"/>
      <c r="AE74" s="240"/>
      <c r="AF74" s="240"/>
      <c r="AG74" s="240"/>
      <c r="AH74" s="240"/>
      <c r="AI74" s="240"/>
      <c r="AJ74" s="240"/>
      <c r="AK74" s="240"/>
      <c r="AL74" s="240"/>
      <c r="AM74" s="240"/>
    </row>
    <row r="75" spans="1:39" x14ac:dyDescent="0.2">
      <c r="A75" s="675">
        <f t="shared" si="8"/>
        <v>66</v>
      </c>
      <c r="B75" s="266" t="str">
        <f>CONCATENATE('3. Consumption by Rate Class'!B81,"-",'3. Consumption by Rate Class'!C81)</f>
        <v>2010-June</v>
      </c>
      <c r="C75" s="270">
        <v>9378111</v>
      </c>
      <c r="D75" s="252">
        <f>+'X.1.CDM Calculation'!H72</f>
        <v>158446.48185455884</v>
      </c>
      <c r="E75" s="731"/>
      <c r="F75" s="252">
        <v>1452.57</v>
      </c>
      <c r="G75" s="252"/>
      <c r="H75" s="731"/>
      <c r="I75" s="731"/>
      <c r="J75" s="268">
        <f t="shared" ref="J75:J128" si="14">SUM(C75:I75)</f>
        <v>9538010.0518545583</v>
      </c>
      <c r="K75" s="267">
        <f>IF(K$8='5.Variables'!$B$10,+'5.Variables'!$H26,+IF(K$8='5.Variables'!$B$33,+'5.Variables'!$H49,+IF(K$8='5.Variables'!$B$56,+'5.Variables'!$H63,+IF(K$8='5.Variables'!$B$70,+'5.Variables'!$H77,+IF(K$8='5.Variables'!$B$84,+'5.Variables'!$H91,+IF(K$8='5.Variables'!$B$98,+'5.Variables'!$H105,0))))))</f>
        <v>11954</v>
      </c>
      <c r="L75" s="267">
        <f>IF(L$8='5.Variables'!$B$10,+'5.Variables'!$H26,+IF(L$8='5.Variables'!$B$33,+'5.Variables'!$H49,+IF(L$8='5.Variables'!$B$56,+'5.Variables'!$H63,+IF(L$8='5.Variables'!$B$70,+'5.Variables'!$H77,+IF(L$8='5.Variables'!$B$84,+'5.Variables'!$H91,+IF(L$8='5.Variables'!$B$98,+'5.Variables'!$H105,0))))))</f>
        <v>51.7</v>
      </c>
      <c r="M75" s="267">
        <f>IF(M$8='5.Variables'!$B$10,+'5.Variables'!$H26,+IF(M$8='5.Variables'!$B$33,+'5.Variables'!$H49,+IF(M$8='5.Variables'!$B$56,+'5.Variables'!$H63,+IF(M$8='5.Variables'!$B$70,+'5.Variables'!$H77,+IF(M$8='5.Variables'!$B$84,+'5.Variables'!$H91,+IF(M$8='5.Variables'!$B$98,+'5.Variables'!$H105,0))))))</f>
        <v>21.9</v>
      </c>
      <c r="N75" s="267">
        <f>IF(N$8='5.Variables'!$B$10,+'5.Variables'!$H26,+IF(N$8='5.Variables'!$B$33,+'5.Variables'!$H49,+IF(N$8='5.Variables'!$B$56,+'5.Variables'!$H63,+IF(N$8='5.Variables'!$B$70,+'5.Variables'!$H77,+IF(N$8='5.Variables'!$B$84,+'5.Variables'!$H91,+IF(N$8='5.Variables'!$B$98,+'5.Variables'!$H105,0))))))</f>
        <v>0</v>
      </c>
      <c r="O75" s="267">
        <f>IF(O$8='5.Variables'!$B$10,+'5.Variables'!$H26,+IF(O$8='5.Variables'!$B$33,+'5.Variables'!$H49,+IF(O$8='5.Variables'!$B$56,+'5.Variables'!$H63,+IF(O$8='5.Variables'!$B$70,+'5.Variables'!$H77,+IF(O$8='5.Variables'!$B$84,+'5.Variables'!$H91,+IF(O$8='5.Variables'!$B$98,+'5.Variables'!$H105,0))))))</f>
        <v>-11.9999</v>
      </c>
      <c r="P75" s="267">
        <f>IF(P$8='5.Variables'!$B$10,+'5.Variables'!$H26,+IF(P$8='5.Variables'!$B$33,+'5.Variables'!$H49,+IF(P$8='5.Variables'!$B$56,+'5.Variables'!$H63,+IF(P$8='5.Variables'!$B$70,+'5.Variables'!$H77,+IF(P$8='5.Variables'!$B$84,+'5.Variables'!$H91,+IF(P$8='5.Variables'!$B$98,+'5.Variables'!$H105,0))))))</f>
        <v>30</v>
      </c>
      <c r="Q75" s="240"/>
      <c r="R75" s="268">
        <f t="shared" si="13"/>
        <v>9812394.6301921587</v>
      </c>
      <c r="S75" s="272"/>
      <c r="T75" s="240"/>
      <c r="U75" s="240"/>
      <c r="V75" s="240"/>
      <c r="W75" s="240"/>
      <c r="X75" s="240"/>
      <c r="Y75" s="240"/>
      <c r="Z75" s="240"/>
      <c r="AA75" s="240"/>
      <c r="AB75" s="240"/>
      <c r="AC75" s="240"/>
      <c r="AD75" s="240"/>
      <c r="AE75" s="240"/>
      <c r="AF75" s="240"/>
      <c r="AG75" s="240"/>
      <c r="AH75" s="240"/>
      <c r="AI75" s="240"/>
      <c r="AJ75" s="240"/>
      <c r="AK75" s="240"/>
      <c r="AL75" s="240"/>
      <c r="AM75" s="240"/>
    </row>
    <row r="76" spans="1:39" x14ac:dyDescent="0.2">
      <c r="A76" s="675">
        <f t="shared" ref="A76:A139" si="15">+A75+1</f>
        <v>67</v>
      </c>
      <c r="B76" s="266" t="str">
        <f>CONCATENATE('3. Consumption by Rate Class'!B82,"-",'3. Consumption by Rate Class'!C82)</f>
        <v>2010-July</v>
      </c>
      <c r="C76" s="270">
        <v>12682926</v>
      </c>
      <c r="D76" s="252">
        <f>+'X.1.CDM Calculation'!H73</f>
        <v>156372.48341198888</v>
      </c>
      <c r="E76" s="731"/>
      <c r="F76" s="252">
        <v>1857.11</v>
      </c>
      <c r="G76" s="252"/>
      <c r="H76" s="731"/>
      <c r="I76" s="731"/>
      <c r="J76" s="268">
        <f t="shared" si="14"/>
        <v>12841155.593411988</v>
      </c>
      <c r="K76" s="267">
        <f>IF(K$8='5.Variables'!$B$10,+'5.Variables'!$I26,+IF(K$8='5.Variables'!$B$33,+'5.Variables'!$I49,+IF(K$8='5.Variables'!$B$56,+'5.Variables'!$I63,+IF(K$8='5.Variables'!$B$70,+'5.Variables'!$I77,+IF(K$8='5.Variables'!$B$84,+'5.Variables'!$I91,+IF(K$8='5.Variables'!$B$98,+'5.Variables'!$I105,0))))))</f>
        <v>11987</v>
      </c>
      <c r="L76" s="267">
        <f>IF(L$8='5.Variables'!$B$10,+'5.Variables'!$I26,+IF(L$8='5.Variables'!$B$33,+'5.Variables'!$I49,+IF(L$8='5.Variables'!$B$56,+'5.Variables'!$I63,+IF(L$8='5.Variables'!$B$70,+'5.Variables'!$I77,+IF(L$8='5.Variables'!$B$84,+'5.Variables'!$I91,+IF(L$8='5.Variables'!$B$98,+'5.Variables'!$I105,0))))))</f>
        <v>7.7</v>
      </c>
      <c r="M76" s="267">
        <f>IF(M$8='5.Variables'!$B$10,+'5.Variables'!$I26,+IF(M$8='5.Variables'!$B$33,+'5.Variables'!$I49,+IF(M$8='5.Variables'!$B$56,+'5.Variables'!$I63,+IF(M$8='5.Variables'!$B$70,+'5.Variables'!$I77,+IF(M$8='5.Variables'!$B$84,+'5.Variables'!$I91,+IF(M$8='5.Variables'!$B$98,+'5.Variables'!$I105,0))))))</f>
        <v>136</v>
      </c>
      <c r="N76" s="267">
        <f>IF(N$8='5.Variables'!$B$10,+'5.Variables'!$I26,+IF(N$8='5.Variables'!$B$33,+'5.Variables'!$I49,+IF(N$8='5.Variables'!$B$56,+'5.Variables'!$I63,+IF(N$8='5.Variables'!$B$70,+'5.Variables'!$I77,+IF(N$8='5.Variables'!$B$84,+'5.Variables'!$I91,+IF(N$8='5.Variables'!$B$98,+'5.Variables'!$I105,0))))))</f>
        <v>0</v>
      </c>
      <c r="O76" s="267">
        <f>IF(O$8='5.Variables'!$B$10,+'5.Variables'!$I26,+IF(O$8='5.Variables'!$B$33,+'5.Variables'!$I49,+IF(O$8='5.Variables'!$B$56,+'5.Variables'!$I63,+IF(O$8='5.Variables'!$B$70,+'5.Variables'!$I77,+IF(O$8='5.Variables'!$B$84,+'5.Variables'!$I91,+IF(O$8='5.Variables'!$B$98,+'5.Variables'!$I105,0))))))</f>
        <v>-12.2194</v>
      </c>
      <c r="P76" s="267">
        <f>IF(P$8='5.Variables'!$B$10,+'5.Variables'!$I26,+IF(P$8='5.Variables'!$B$33,+'5.Variables'!$I49,+IF(P$8='5.Variables'!$B$56,+'5.Variables'!$I63,+IF(P$8='5.Variables'!$B$70,+'5.Variables'!$I77,+IF(P$8='5.Variables'!$B$84,+'5.Variables'!$I91,+IF(P$8='5.Variables'!$B$98,+'5.Variables'!$I105,0))))))</f>
        <v>31</v>
      </c>
      <c r="Q76" s="240"/>
      <c r="R76" s="268">
        <f t="shared" si="13"/>
        <v>13203615.532546245</v>
      </c>
      <c r="S76" s="272"/>
      <c r="T76" s="240"/>
      <c r="U76" s="240"/>
      <c r="V76" s="240"/>
      <c r="W76" s="240"/>
      <c r="X76" s="240"/>
      <c r="Y76" s="240"/>
      <c r="Z76" s="240"/>
      <c r="AA76" s="240"/>
      <c r="AB76" s="240"/>
      <c r="AC76" s="240"/>
      <c r="AD76" s="240"/>
      <c r="AE76" s="240"/>
      <c r="AF76" s="240"/>
      <c r="AG76" s="240"/>
      <c r="AH76" s="240"/>
      <c r="AI76" s="240"/>
      <c r="AJ76" s="240"/>
      <c r="AK76" s="240"/>
      <c r="AL76" s="240"/>
      <c r="AM76" s="240"/>
    </row>
    <row r="77" spans="1:39" x14ac:dyDescent="0.2">
      <c r="A77" s="675">
        <f t="shared" si="15"/>
        <v>68</v>
      </c>
      <c r="B77" s="266" t="str">
        <f>CONCATENATE('3. Consumption by Rate Class'!B83,"-",'3. Consumption by Rate Class'!C83)</f>
        <v>2010-August</v>
      </c>
      <c r="C77" s="270">
        <v>12322091</v>
      </c>
      <c r="D77" s="252">
        <f>+'X.1.CDM Calculation'!H74</f>
        <v>154298.48496941896</v>
      </c>
      <c r="E77" s="731"/>
      <c r="F77" s="252">
        <v>1579.15</v>
      </c>
      <c r="G77" s="252"/>
      <c r="H77" s="731"/>
      <c r="I77" s="731"/>
      <c r="J77" s="268">
        <f t="shared" si="14"/>
        <v>12477968.634969419</v>
      </c>
      <c r="K77" s="267">
        <f>IF(K$8='5.Variables'!$B$10,+'5.Variables'!$J26,+IF(K$8='5.Variables'!$B$33,+'5.Variables'!$J49,+IF(K$8='5.Variables'!$B$56,+'5.Variables'!$J63,+IF(K$8='5.Variables'!$B$70,+'5.Variables'!$J77,+IF(K$8='5.Variables'!$B$84,+'5.Variables'!$J91,+IF(K$8='5.Variables'!$B$98,+'5.Variables'!$J105,0))))))</f>
        <v>12012</v>
      </c>
      <c r="L77" s="267">
        <f>IF(L$8='5.Variables'!$B$10,+'5.Variables'!$J26,+IF(L$8='5.Variables'!$B$33,+'5.Variables'!$J49,+IF(L$8='5.Variables'!$B$56,+'5.Variables'!$J63,+IF(L$8='5.Variables'!$B$70,+'5.Variables'!$J77,+IF(L$8='5.Variables'!$B$84,+'5.Variables'!$J91,+IF(L$8='5.Variables'!$B$98,+'5.Variables'!$J105,0))))))</f>
        <v>6</v>
      </c>
      <c r="M77" s="267">
        <f>IF(M$8='5.Variables'!$B$10,+'5.Variables'!$J26,+IF(M$8='5.Variables'!$B$33,+'5.Variables'!$J49,+IF(M$8='5.Variables'!$B$56,+'5.Variables'!$J63,+IF(M$8='5.Variables'!$B$70,+'5.Variables'!$J77,+IF(M$8='5.Variables'!$B$84,+'5.Variables'!$J91,+IF(M$8='5.Variables'!$B$98,+'5.Variables'!$J105,0))))))</f>
        <v>129.80000000000001</v>
      </c>
      <c r="N77" s="267">
        <f>IF(N$8='5.Variables'!$B$10,+'5.Variables'!$J26,+IF(N$8='5.Variables'!$B$33,+'5.Variables'!$J49,+IF(N$8='5.Variables'!$B$56,+'5.Variables'!$J63,+IF(N$8='5.Variables'!$B$70,+'5.Variables'!$J77,+IF(N$8='5.Variables'!$B$84,+'5.Variables'!$J91,+IF(N$8='5.Variables'!$B$98,+'5.Variables'!$J105,0))))))</f>
        <v>0</v>
      </c>
      <c r="O77" s="267">
        <f>IF(O$8='5.Variables'!$B$10,+'5.Variables'!$J26,+IF(O$8='5.Variables'!$B$33,+'5.Variables'!$J49,+IF(O$8='5.Variables'!$B$56,+'5.Variables'!$J63,+IF(O$8='5.Variables'!$B$70,+'5.Variables'!$J77,+IF(O$8='5.Variables'!$B$84,+'5.Variables'!$J91,+IF(O$8='5.Variables'!$B$98,+'5.Variables'!$J105,0))))))</f>
        <v>-12.4389</v>
      </c>
      <c r="P77" s="267">
        <f>IF(P$8='5.Variables'!$B$10,+'5.Variables'!$J26,+IF(P$8='5.Variables'!$B$33,+'5.Variables'!$J49,+IF(P$8='5.Variables'!$B$56,+'5.Variables'!$J63,+IF(P$8='5.Variables'!$B$70,+'5.Variables'!$J77,+IF(P$8='5.Variables'!$B$84,+'5.Variables'!$J91,+IF(P$8='5.Variables'!$B$98,+'5.Variables'!$J105,0))))))</f>
        <v>31</v>
      </c>
      <c r="Q77" s="240"/>
      <c r="R77" s="268">
        <f t="shared" si="13"/>
        <v>13046504.876206579</v>
      </c>
      <c r="S77" s="272"/>
      <c r="T77" s="240"/>
      <c r="U77" s="240"/>
      <c r="V77" s="240"/>
      <c r="W77" s="240"/>
      <c r="X77" s="240"/>
      <c r="Y77" s="240"/>
      <c r="Z77" s="240"/>
      <c r="AA77" s="240"/>
      <c r="AB77" s="240"/>
      <c r="AC77" s="240"/>
      <c r="AD77" s="240"/>
      <c r="AE77" s="240"/>
      <c r="AF77" s="240"/>
      <c r="AG77" s="240"/>
      <c r="AH77" s="240"/>
      <c r="AI77" s="240"/>
      <c r="AJ77" s="240"/>
      <c r="AK77" s="240"/>
      <c r="AL77" s="240"/>
      <c r="AM77" s="240"/>
    </row>
    <row r="78" spans="1:39" x14ac:dyDescent="0.2">
      <c r="A78" s="675">
        <f t="shared" si="15"/>
        <v>69</v>
      </c>
      <c r="B78" s="266" t="str">
        <f>CONCATENATE('3. Consumption by Rate Class'!B84,"-",'3. Consumption by Rate Class'!C84)</f>
        <v>2010-September</v>
      </c>
      <c r="C78" s="270">
        <v>9496039</v>
      </c>
      <c r="D78" s="252">
        <f>+'X.1.CDM Calculation'!H75</f>
        <v>152224.48652684901</v>
      </c>
      <c r="E78" s="731"/>
      <c r="F78" s="252">
        <v>1090.01</v>
      </c>
      <c r="G78" s="252"/>
      <c r="H78" s="731"/>
      <c r="I78" s="731"/>
      <c r="J78" s="268">
        <f t="shared" si="14"/>
        <v>9649353.4965268485</v>
      </c>
      <c r="K78" s="267">
        <f>IF(K$8='5.Variables'!$B$10,+'5.Variables'!$K26,+IF(K$8='5.Variables'!$B$33,+'5.Variables'!$K49,+IF(K$8='5.Variables'!$B$56,+'5.Variables'!$K63,+IF(K$8='5.Variables'!$B$70,+'5.Variables'!$K77,+IF(K$8='5.Variables'!$B$84,+'5.Variables'!$K91,+IF(K$8='5.Variables'!$B$98,+'5.Variables'!$K105,0))))))</f>
        <v>12031</v>
      </c>
      <c r="L78" s="267">
        <f>IF(L$8='5.Variables'!$B$10,+'5.Variables'!$K26,+IF(L$8='5.Variables'!$B$33,+'5.Variables'!$K49,+IF(L$8='5.Variables'!$B$56,+'5.Variables'!$K63,+IF(L$8='5.Variables'!$B$70,+'5.Variables'!$K77,+IF(L$8='5.Variables'!$B$84,+'5.Variables'!$K91,+IF(L$8='5.Variables'!$B$98,+'5.Variables'!$K105,0))))))</f>
        <v>93.2</v>
      </c>
      <c r="M78" s="267">
        <f>IF(M$8='5.Variables'!$B$10,+'5.Variables'!$K26,+IF(M$8='5.Variables'!$B$33,+'5.Variables'!$K49,+IF(M$8='5.Variables'!$B$56,+'5.Variables'!$K63,+IF(M$8='5.Variables'!$B$70,+'5.Variables'!$K77,+IF(M$8='5.Variables'!$B$84,+'5.Variables'!$K91,+IF(M$8='5.Variables'!$B$98,+'5.Variables'!$K105,0))))))</f>
        <v>26.8</v>
      </c>
      <c r="N78" s="267">
        <f>IF(N$8='5.Variables'!$B$10,+'5.Variables'!$K26,+IF(N$8='5.Variables'!$B$33,+'5.Variables'!$K49,+IF(N$8='5.Variables'!$B$56,+'5.Variables'!$K63,+IF(N$8='5.Variables'!$B$70,+'5.Variables'!$K77,+IF(N$8='5.Variables'!$B$84,+'5.Variables'!$K91,+IF(N$8='5.Variables'!$B$98,+'5.Variables'!$K105,0))))))</f>
        <v>1</v>
      </c>
      <c r="O78" s="267">
        <f>IF(O$8='5.Variables'!$B$10,+'5.Variables'!$K26,+IF(O$8='5.Variables'!$B$33,+'5.Variables'!$K49,+IF(O$8='5.Variables'!$B$56,+'5.Variables'!$K63,+IF(O$8='5.Variables'!$B$70,+'5.Variables'!$K77,+IF(O$8='5.Variables'!$B$84,+'5.Variables'!$K91,+IF(O$8='5.Variables'!$B$98,+'5.Variables'!$K105,0))))))</f>
        <v>-12.6584</v>
      </c>
      <c r="P78" s="267">
        <f>IF(P$8='5.Variables'!$B$10,+'5.Variables'!$K26,+IF(P$8='5.Variables'!$B$33,+'5.Variables'!$K49,+IF(P$8='5.Variables'!$B$56,+'5.Variables'!$K63,+IF(P$8='5.Variables'!$B$70,+'5.Variables'!$K77,+IF(P$8='5.Variables'!$B$84,+'5.Variables'!$K91,+IF(P$8='5.Variables'!$B$98,+'5.Variables'!$K105,0))))))</f>
        <v>30</v>
      </c>
      <c r="Q78" s="240"/>
      <c r="R78" s="268">
        <f t="shared" si="13"/>
        <v>9363230.1898766328</v>
      </c>
      <c r="S78" s="272"/>
      <c r="T78" s="240"/>
      <c r="U78" s="240"/>
      <c r="V78" s="240"/>
      <c r="W78" s="240"/>
      <c r="X78" s="240"/>
      <c r="Y78" s="240"/>
      <c r="Z78" s="240"/>
      <c r="AA78" s="240"/>
      <c r="AB78" s="240"/>
      <c r="AC78" s="240"/>
      <c r="AD78" s="240"/>
      <c r="AE78" s="240"/>
      <c r="AF78" s="240"/>
      <c r="AG78" s="240"/>
      <c r="AH78" s="240"/>
      <c r="AI78" s="240"/>
      <c r="AJ78" s="240"/>
      <c r="AK78" s="240"/>
      <c r="AL78" s="240"/>
      <c r="AM78" s="240"/>
    </row>
    <row r="79" spans="1:39" x14ac:dyDescent="0.2">
      <c r="A79" s="675">
        <f t="shared" si="15"/>
        <v>70</v>
      </c>
      <c r="B79" s="266" t="str">
        <f>CONCATENATE('3. Consumption by Rate Class'!B85,"-",'3. Consumption by Rate Class'!C85)</f>
        <v>2010-October</v>
      </c>
      <c r="C79" s="270">
        <v>9470083</v>
      </c>
      <c r="D79" s="252">
        <f>+'X.1.CDM Calculation'!H76</f>
        <v>150150.48808427906</v>
      </c>
      <c r="E79" s="731"/>
      <c r="F79" s="252">
        <v>1079.98</v>
      </c>
      <c r="G79" s="252"/>
      <c r="H79" s="731"/>
      <c r="I79" s="731"/>
      <c r="J79" s="268">
        <f t="shared" si="14"/>
        <v>9621313.4680842794</v>
      </c>
      <c r="K79" s="267">
        <f>IF(K$8='5.Variables'!$B$10,+'5.Variables'!$L26,+IF(K$8='5.Variables'!$B$33,+'5.Variables'!$L49,+IF(K$8='5.Variables'!$B$56,+'5.Variables'!$L63,+IF(K$8='5.Variables'!$B$70,+'5.Variables'!$L77,+IF(K$8='5.Variables'!$B$84,+'5.Variables'!$L91,+IF(K$8='5.Variables'!$B$98,+'5.Variables'!$L105,0))))))</f>
        <v>12052</v>
      </c>
      <c r="L79" s="267">
        <f>IF(L$8='5.Variables'!$B$10,+'5.Variables'!$L26,+IF(L$8='5.Variables'!$B$33,+'5.Variables'!$L49,+IF(L$8='5.Variables'!$B$56,+'5.Variables'!$L63,+IF(L$8='5.Variables'!$B$70,+'5.Variables'!$L77,+IF(L$8='5.Variables'!$B$84,+'5.Variables'!$L91,+IF(L$8='5.Variables'!$B$98,+'5.Variables'!$L105,0))))))</f>
        <v>238.8</v>
      </c>
      <c r="M79" s="267">
        <f>IF(M$8='5.Variables'!$B$10,+'5.Variables'!$L26,+IF(M$8='5.Variables'!$B$33,+'5.Variables'!$L49,+IF(M$8='5.Variables'!$B$56,+'5.Variables'!$L63,+IF(M$8='5.Variables'!$B$70,+'5.Variables'!$L77,+IF(M$8='5.Variables'!$B$84,+'5.Variables'!$L91,+IF(M$8='5.Variables'!$B$98,+'5.Variables'!$L105,0))))))</f>
        <v>0</v>
      </c>
      <c r="N79" s="267">
        <f>IF(N$8='5.Variables'!$B$10,+'5.Variables'!$L26,+IF(N$8='5.Variables'!$B$33,+'5.Variables'!$L49,+IF(N$8='5.Variables'!$B$56,+'5.Variables'!$L63,+IF(N$8='5.Variables'!$B$70,+'5.Variables'!$L77,+IF(N$8='5.Variables'!$B$84,+'5.Variables'!$L91,+IF(N$8='5.Variables'!$B$98,+'5.Variables'!$L105,0))))))</f>
        <v>1</v>
      </c>
      <c r="O79" s="267">
        <f>IF(O$8='5.Variables'!$B$10,+'5.Variables'!$L26,+IF(O$8='5.Variables'!$B$33,+'5.Variables'!$L49,+IF(O$8='5.Variables'!$B$56,+'5.Variables'!$L63,+IF(O$8='5.Variables'!$B$70,+'5.Variables'!$L77,+IF(O$8='5.Variables'!$B$84,+'5.Variables'!$L91,+IF(O$8='5.Variables'!$B$98,+'5.Variables'!$L105,0))))))</f>
        <v>-12.8779</v>
      </c>
      <c r="P79" s="267">
        <f>IF(P$8='5.Variables'!$B$10,+'5.Variables'!$L26,+IF(P$8='5.Variables'!$B$33,+'5.Variables'!$L49,+IF(P$8='5.Variables'!$B$56,+'5.Variables'!$L63,+IF(P$8='5.Variables'!$B$70,+'5.Variables'!$L77,+IF(P$8='5.Variables'!$B$84,+'5.Variables'!$L91,+IF(P$8='5.Variables'!$B$98,+'5.Variables'!$L105,0))))))</f>
        <v>31</v>
      </c>
      <c r="Q79" s="240"/>
      <c r="R79" s="268">
        <f t="shared" si="13"/>
        <v>9856882.8478214666</v>
      </c>
      <c r="S79" s="272"/>
      <c r="T79" s="240"/>
      <c r="U79" s="240"/>
      <c r="V79" s="240"/>
      <c r="W79" s="240"/>
      <c r="X79" s="240"/>
      <c r="Y79" s="240"/>
      <c r="Z79" s="240"/>
      <c r="AA79" s="240"/>
      <c r="AB79" s="240"/>
      <c r="AC79" s="240"/>
      <c r="AD79" s="240"/>
      <c r="AE79" s="240"/>
      <c r="AF79" s="240"/>
      <c r="AG79" s="240"/>
      <c r="AH79" s="240"/>
      <c r="AI79" s="240"/>
      <c r="AJ79" s="240"/>
      <c r="AK79" s="240"/>
      <c r="AL79" s="240"/>
      <c r="AM79" s="240"/>
    </row>
    <row r="80" spans="1:39" x14ac:dyDescent="0.2">
      <c r="A80" s="675">
        <f t="shared" si="15"/>
        <v>71</v>
      </c>
      <c r="B80" s="266" t="str">
        <f>CONCATENATE('3. Consumption by Rate Class'!B86,"-",'3. Consumption by Rate Class'!C86)</f>
        <v>2010-November</v>
      </c>
      <c r="C80" s="270">
        <v>10196091</v>
      </c>
      <c r="D80" s="252">
        <f>+'X.1.CDM Calculation'!H77</f>
        <v>148076.48964170914</v>
      </c>
      <c r="E80" s="731"/>
      <c r="F80" s="252">
        <v>1536.53</v>
      </c>
      <c r="G80" s="252"/>
      <c r="H80" s="731"/>
      <c r="I80" s="731"/>
      <c r="J80" s="268">
        <f t="shared" si="14"/>
        <v>10345704.019641709</v>
      </c>
      <c r="K80" s="267">
        <f>IF(K$8='5.Variables'!$B$10,+'5.Variables'!$M26,+IF(K$8='5.Variables'!$B$33,+'5.Variables'!$M49,+IF(K$8='5.Variables'!$B$56,+'5.Variables'!$M63,+IF(K$8='5.Variables'!$B$70,+'5.Variables'!$M77,+IF(K$8='5.Variables'!$B$84,+'5.Variables'!$M91,+IF(K$8='5.Variables'!$B$98,+'5.Variables'!$M105,0))))))</f>
        <v>12081</v>
      </c>
      <c r="L80" s="267">
        <f>IF(L$8='5.Variables'!$B$10,+'5.Variables'!$M26,+IF(L$8='5.Variables'!$B$33,+'5.Variables'!$M49,+IF(L$8='5.Variables'!$B$56,+'5.Variables'!$M63,+IF(L$8='5.Variables'!$B$70,+'5.Variables'!$M77,+IF(L$8='5.Variables'!$B$84,+'5.Variables'!$M91,+IF(L$8='5.Variables'!$B$98,+'5.Variables'!$M105,0))))))</f>
        <v>410</v>
      </c>
      <c r="M80" s="267">
        <f>IF(M$8='5.Variables'!$B$10,+'5.Variables'!$M26,+IF(M$8='5.Variables'!$B$33,+'5.Variables'!$M49,+IF(M$8='5.Variables'!$B$56,+'5.Variables'!$M63,+IF(M$8='5.Variables'!$B$70,+'5.Variables'!$M77,+IF(M$8='5.Variables'!$B$84,+'5.Variables'!$M91,+IF(M$8='5.Variables'!$B$98,+'5.Variables'!$M105,0))))))</f>
        <v>0</v>
      </c>
      <c r="N80" s="267">
        <f>IF(N$8='5.Variables'!$B$10,+'5.Variables'!$M26,+IF(N$8='5.Variables'!$B$33,+'5.Variables'!$M49,+IF(N$8='5.Variables'!$B$56,+'5.Variables'!$M63,+IF(N$8='5.Variables'!$B$70,+'5.Variables'!$M77,+IF(N$8='5.Variables'!$B$84,+'5.Variables'!$M91,+IF(N$8='5.Variables'!$B$98,+'5.Variables'!$M105,0))))))</f>
        <v>1</v>
      </c>
      <c r="O80" s="267">
        <f>IF(O$8='5.Variables'!$B$10,+'5.Variables'!$M26,+IF(O$8='5.Variables'!$B$33,+'5.Variables'!$M49,+IF(O$8='5.Variables'!$B$56,+'5.Variables'!$M63,+IF(O$8='5.Variables'!$B$70,+'5.Variables'!$M77,+IF(O$8='5.Variables'!$B$84,+'5.Variables'!$M91,+IF(O$8='5.Variables'!$B$98,+'5.Variables'!$M105,0))))))</f>
        <v>-13.0974</v>
      </c>
      <c r="P80" s="267">
        <f>IF(P$8='5.Variables'!$B$10,+'5.Variables'!$M26,+IF(P$8='5.Variables'!$B$33,+'5.Variables'!$M49,+IF(P$8='5.Variables'!$B$56,+'5.Variables'!$M63,+IF(P$8='5.Variables'!$B$70,+'5.Variables'!$M77,+IF(P$8='5.Variables'!$B$84,+'5.Variables'!$M91,+IF(P$8='5.Variables'!$B$98,+'5.Variables'!$M105,0))))))</f>
        <v>30</v>
      </c>
      <c r="Q80" s="240"/>
      <c r="R80" s="268">
        <f t="shared" si="13"/>
        <v>10393917.662801452</v>
      </c>
      <c r="S80" s="272"/>
      <c r="T80" s="240"/>
      <c r="U80" s="240"/>
      <c r="V80" s="240"/>
      <c r="W80" s="240"/>
      <c r="X80" s="240"/>
      <c r="Y80" s="240"/>
      <c r="Z80" s="240"/>
      <c r="AA80" s="240"/>
      <c r="AB80" s="240"/>
      <c r="AC80" s="240"/>
      <c r="AD80" s="240"/>
      <c r="AE80" s="240"/>
      <c r="AF80" s="240"/>
      <c r="AG80" s="240"/>
      <c r="AH80" s="240"/>
      <c r="AI80" s="240"/>
      <c r="AJ80" s="240"/>
      <c r="AK80" s="240"/>
      <c r="AL80" s="240"/>
      <c r="AM80" s="240"/>
    </row>
    <row r="81" spans="1:39" x14ac:dyDescent="0.2">
      <c r="A81" s="675">
        <f t="shared" si="15"/>
        <v>72</v>
      </c>
      <c r="B81" s="266" t="str">
        <f>CONCATENATE('3. Consumption by Rate Class'!B87,"-",'3. Consumption by Rate Class'!C87)</f>
        <v>2010-December</v>
      </c>
      <c r="C81" s="270">
        <v>12858198</v>
      </c>
      <c r="D81" s="252">
        <f>+'X.1.CDM Calculation'!H78</f>
        <v>146002.49119913919</v>
      </c>
      <c r="E81" s="731"/>
      <c r="F81" s="252">
        <v>119.08000000000001</v>
      </c>
      <c r="G81" s="252"/>
      <c r="H81" s="731"/>
      <c r="I81" s="731"/>
      <c r="J81" s="268">
        <f t="shared" si="14"/>
        <v>13004319.57119914</v>
      </c>
      <c r="K81" s="267">
        <f>IF(K$8='5.Variables'!$B$10,+'5.Variables'!$N26,+IF(K$8='5.Variables'!$B$33,+'5.Variables'!$N49,+IF(K$8='5.Variables'!$B$56,+'5.Variables'!$N63,+IF(K$8='5.Variables'!$B$70,+'5.Variables'!$N77,+IF(K$8='5.Variables'!$B$84,+'5.Variables'!$N91,+IF(K$8='5.Variables'!$B$98,+'5.Variables'!$N105,0))))))</f>
        <v>12096</v>
      </c>
      <c r="L81" s="267">
        <f>IF(L$8='5.Variables'!$B$10,+'5.Variables'!$N26,+IF(L$8='5.Variables'!$B$33,+'5.Variables'!$N49,+IF(L$8='5.Variables'!$B$56,+'5.Variables'!$N63,+IF(L$8='5.Variables'!$B$70,+'5.Variables'!$N77,+IF(L$8='5.Variables'!$B$84,+'5.Variables'!$N91,+IF(L$8='5.Variables'!$B$98,+'5.Variables'!$N105,0))))))</f>
        <v>668.7</v>
      </c>
      <c r="M81" s="267">
        <f>IF(M$8='5.Variables'!$B$10,+'5.Variables'!$N26,+IF(M$8='5.Variables'!$B$33,+'5.Variables'!$N49,+IF(M$8='5.Variables'!$B$56,+'5.Variables'!$N63,+IF(M$8='5.Variables'!$B$70,+'5.Variables'!$N77,+IF(M$8='5.Variables'!$B$84,+'5.Variables'!$N91,+IF(M$8='5.Variables'!$B$98,+'5.Variables'!$N105,0))))))</f>
        <v>0</v>
      </c>
      <c r="N81" s="267">
        <f>IF(N$8='5.Variables'!$B$10,+'5.Variables'!$N26,+IF(N$8='5.Variables'!$B$33,+'5.Variables'!$N49,+IF(N$8='5.Variables'!$B$56,+'5.Variables'!$N63,+IF(N$8='5.Variables'!$B$70,+'5.Variables'!$N77,+IF(N$8='5.Variables'!$B$84,+'5.Variables'!$N91,+IF(N$8='5.Variables'!$B$98,+'5.Variables'!$N105,0))))))</f>
        <v>0</v>
      </c>
      <c r="O81" s="267">
        <f>IF(O$8='5.Variables'!$B$10,+'5.Variables'!$N26,+IF(O$8='5.Variables'!$B$33,+'5.Variables'!$N49,+IF(O$8='5.Variables'!$B$56,+'5.Variables'!$N63,+IF(O$8='5.Variables'!$B$70,+'5.Variables'!$N77,+IF(O$8='5.Variables'!$B$84,+'5.Variables'!$N91,+IF(O$8='5.Variables'!$B$98,+'5.Variables'!$N105,0))))))</f>
        <v>-13.3169</v>
      </c>
      <c r="P81" s="267">
        <f>IF(P$8='5.Variables'!$B$10,+'5.Variables'!$N26,+IF(P$8='5.Variables'!$B$33,+'5.Variables'!$N49,+IF(P$8='5.Variables'!$B$56,+'5.Variables'!$N63,+IF(P$8='5.Variables'!$B$70,+'5.Variables'!$N77,+IF(P$8='5.Variables'!$B$84,+'5.Variables'!$N91,+IF(P$8='5.Variables'!$B$98,+'5.Variables'!$N105,0))))))</f>
        <v>31</v>
      </c>
      <c r="Q81" s="240"/>
      <c r="R81" s="268">
        <f t="shared" si="13"/>
        <v>13122658.848682795</v>
      </c>
      <c r="S81" s="272">
        <f>SUM(R70:R81)</f>
        <v>133734014.78599641</v>
      </c>
      <c r="T81" s="240"/>
      <c r="U81" s="240"/>
      <c r="V81" s="240"/>
      <c r="W81" s="240"/>
      <c r="X81" s="240"/>
      <c r="Y81" s="240"/>
      <c r="Z81" s="240"/>
      <c r="AA81" s="240"/>
      <c r="AB81" s="240"/>
      <c r="AC81" s="240"/>
      <c r="AD81" s="240"/>
      <c r="AE81" s="240"/>
      <c r="AF81" s="240"/>
      <c r="AG81" s="240"/>
      <c r="AH81" s="240"/>
      <c r="AI81" s="240"/>
      <c r="AJ81" s="240"/>
      <c r="AK81" s="240"/>
      <c r="AL81" s="240"/>
      <c r="AM81" s="240"/>
    </row>
    <row r="82" spans="1:39" x14ac:dyDescent="0.2">
      <c r="A82" s="675">
        <f t="shared" si="15"/>
        <v>73</v>
      </c>
      <c r="B82" s="266" t="str">
        <f>CONCATENATE('3. Consumption by Rate Class'!B88,"-",'3. Consumption by Rate Class'!C88)</f>
        <v>2011-January</v>
      </c>
      <c r="C82" s="270">
        <v>13147420.279999999</v>
      </c>
      <c r="D82" s="252">
        <f>+'X.1.CDM Calculation'!H79</f>
        <v>187207.78653435493</v>
      </c>
      <c r="E82" s="731"/>
      <c r="F82" s="252">
        <v>363.1</v>
      </c>
      <c r="G82" s="252"/>
      <c r="H82" s="731"/>
      <c r="I82" s="731"/>
      <c r="J82" s="268">
        <f t="shared" si="14"/>
        <v>13334991.166534353</v>
      </c>
      <c r="K82" s="267">
        <f>IF(K$8='5.Variables'!$B$10,+'5.Variables'!$C27,+IF(K$8='5.Variables'!$B$33,+'5.Variables'!$C50,+IF(K$8='5.Variables'!$B$56,+'5.Variables'!$C64,+IF(K$8='5.Variables'!$B$70,+'5.Variables'!$C78,+IF(K$8='5.Variables'!$B$84,+'5.Variables'!$C92,+IF(K$8='5.Variables'!$B$98,+'5.Variables'!$C106,0))))))</f>
        <v>12106</v>
      </c>
      <c r="L82" s="267">
        <f>IF(L$8='5.Variables'!$B$10,+'5.Variables'!$C27,+IF(L$8='5.Variables'!$B$33,+'5.Variables'!$C50,+IF(L$8='5.Variables'!$B$56,+'5.Variables'!$C64,+IF(L$8='5.Variables'!$B$70,+'5.Variables'!$C78,+IF(L$8='5.Variables'!$B$84,+'5.Variables'!$C92,+IF(L$8='5.Variables'!$B$98,+'5.Variables'!$C106,0))))))</f>
        <v>777.5</v>
      </c>
      <c r="M82" s="267">
        <f>IF(M$8='5.Variables'!$B$10,+'5.Variables'!$C27,+IF(M$8='5.Variables'!$B$33,+'5.Variables'!$C50,+IF(M$8='5.Variables'!$B$56,+'5.Variables'!$C64,+IF(M$8='5.Variables'!$B$70,+'5.Variables'!$C78,+IF(M$8='5.Variables'!$B$84,+'5.Variables'!$C92,+IF(M$8='5.Variables'!$B$98,+'5.Variables'!$C106,0))))))</f>
        <v>0</v>
      </c>
      <c r="N82" s="267">
        <f>IF(N$8='5.Variables'!$B$10,+'5.Variables'!$C27,+IF(N$8='5.Variables'!$B$33,+'5.Variables'!$C50,+IF(N$8='5.Variables'!$B$56,+'5.Variables'!$C64,+IF(N$8='5.Variables'!$B$70,+'5.Variables'!$C78,+IF(N$8='5.Variables'!$B$84,+'5.Variables'!$C92,+IF(N$8='5.Variables'!$B$98,+'5.Variables'!$C106,0))))))</f>
        <v>0</v>
      </c>
      <c r="O82" s="267">
        <f>IF(O$8='5.Variables'!$B$10,+'5.Variables'!$C27,+IF(O$8='5.Variables'!$B$33,+'5.Variables'!$C50,+IF(O$8='5.Variables'!$B$56,+'5.Variables'!$C64,+IF(O$8='5.Variables'!$B$70,+'5.Variables'!$C78,+IF(O$8='5.Variables'!$B$84,+'5.Variables'!$C92,+IF(O$8='5.Variables'!$B$98,+'5.Variables'!$C106,0))))))</f>
        <v>-13.536399999999999</v>
      </c>
      <c r="P82" s="267">
        <f>IF(P$8='5.Variables'!$B$10,+'5.Variables'!$C27,+IF(P$8='5.Variables'!$B$33,+'5.Variables'!$C50,+IF(P$8='5.Variables'!$B$56,+'5.Variables'!$C64,+IF(P$8='5.Variables'!$B$70,+'5.Variables'!$C78,+IF(P$8='5.Variables'!$B$84,+'5.Variables'!$C92,+IF(P$8='5.Variables'!$B$98,+'5.Variables'!$C106,0))))))</f>
        <v>31</v>
      </c>
      <c r="Q82" s="240"/>
      <c r="R82" s="268">
        <f t="shared" si="13"/>
        <v>13710803.459126517</v>
      </c>
      <c r="S82" s="272"/>
      <c r="T82" s="240"/>
      <c r="U82" s="240"/>
      <c r="V82" s="240"/>
      <c r="W82" s="240"/>
      <c r="X82" s="240"/>
      <c r="Y82" s="240"/>
      <c r="Z82" s="240"/>
      <c r="AA82" s="240"/>
      <c r="AB82" s="240"/>
      <c r="AC82" s="240"/>
      <c r="AD82" s="240"/>
      <c r="AE82" s="240"/>
      <c r="AF82" s="240"/>
      <c r="AG82" s="240"/>
      <c r="AH82" s="240"/>
      <c r="AI82" s="240"/>
      <c r="AJ82" s="240"/>
      <c r="AK82" s="240"/>
      <c r="AL82" s="240"/>
      <c r="AM82" s="240"/>
    </row>
    <row r="83" spans="1:39" x14ac:dyDescent="0.2">
      <c r="A83" s="675">
        <f t="shared" si="15"/>
        <v>74</v>
      </c>
      <c r="B83" s="266" t="str">
        <f>CONCATENATE('3. Consumption by Rate Class'!B89,"-",'3. Consumption by Rate Class'!C89)</f>
        <v>2011-February</v>
      </c>
      <c r="C83" s="270">
        <v>11441073.68</v>
      </c>
      <c r="D83" s="252">
        <f>+'X.1.CDM Calculation'!H80</f>
        <v>186475.91616262408</v>
      </c>
      <c r="E83" s="731"/>
      <c r="F83" s="252">
        <v>1438.0700000000002</v>
      </c>
      <c r="G83" s="252"/>
      <c r="H83" s="731"/>
      <c r="I83" s="731"/>
      <c r="J83" s="268">
        <f t="shared" si="14"/>
        <v>11628987.666162625</v>
      </c>
      <c r="K83" s="267">
        <f>IF(K$8='5.Variables'!$B$10,+'5.Variables'!$D27,+IF(K$8='5.Variables'!$B$33,+'5.Variables'!$D50,+IF(K$8='5.Variables'!$B$56,+'5.Variables'!$D64,+IF(K$8='5.Variables'!$B$70,+'5.Variables'!$D78,+IF(K$8='5.Variables'!$B$84,+'5.Variables'!$D92,+IF(K$8='5.Variables'!$B$98,+'5.Variables'!$D106,0))))))</f>
        <v>12114</v>
      </c>
      <c r="L83" s="267">
        <f>IF(L$8='5.Variables'!$B$10,+'5.Variables'!$D27,+IF(L$8='5.Variables'!$B$33,+'5.Variables'!$D50,+IF(L$8='5.Variables'!$B$56,+'5.Variables'!$D64,+IF(L$8='5.Variables'!$B$70,+'5.Variables'!$D78,+IF(L$8='5.Variables'!$B$84,+'5.Variables'!$D92,+IF(L$8='5.Variables'!$B$98,+'5.Variables'!$D106,0))))))</f>
        <v>645.29999999999995</v>
      </c>
      <c r="M83" s="267">
        <f>IF(M$8='5.Variables'!$B$10,+'5.Variables'!$D27,+IF(M$8='5.Variables'!$B$33,+'5.Variables'!$D50,+IF(M$8='5.Variables'!$B$56,+'5.Variables'!$D64,+IF(M$8='5.Variables'!$B$70,+'5.Variables'!$D78,+IF(M$8='5.Variables'!$B$84,+'5.Variables'!$D92,+IF(M$8='5.Variables'!$B$98,+'5.Variables'!$D106,0))))))</f>
        <v>0</v>
      </c>
      <c r="N83" s="267">
        <f>IF(N$8='5.Variables'!$B$10,+'5.Variables'!$D27,+IF(N$8='5.Variables'!$B$33,+'5.Variables'!$D50,+IF(N$8='5.Variables'!$B$56,+'5.Variables'!$D64,+IF(N$8='5.Variables'!$B$70,+'5.Variables'!$D78,+IF(N$8='5.Variables'!$B$84,+'5.Variables'!$D92,+IF(N$8='5.Variables'!$B$98,+'5.Variables'!$D106,0))))))</f>
        <v>0</v>
      </c>
      <c r="O83" s="267">
        <f>IF(O$8='5.Variables'!$B$10,+'5.Variables'!$D27,+IF(O$8='5.Variables'!$B$33,+'5.Variables'!$D50,+IF(O$8='5.Variables'!$B$56,+'5.Variables'!$D64,+IF(O$8='5.Variables'!$B$70,+'5.Variables'!$D78,+IF(O$8='5.Variables'!$B$84,+'5.Variables'!$D92,+IF(O$8='5.Variables'!$B$98,+'5.Variables'!$D106,0))))))</f>
        <v>-13.755899999999999</v>
      </c>
      <c r="P83" s="267">
        <f>IF(P$8='5.Variables'!$B$10,+'5.Variables'!$D27,+IF(P$8='5.Variables'!$B$33,+'5.Variables'!$D50,+IF(P$8='5.Variables'!$B$56,+'5.Variables'!$D64,+IF(P$8='5.Variables'!$B$70,+'5.Variables'!$D78,+IF(P$8='5.Variables'!$B$84,+'5.Variables'!$D92,+IF(P$8='5.Variables'!$B$98,+'5.Variables'!$D106,0))))))</f>
        <v>28</v>
      </c>
      <c r="Q83" s="240"/>
      <c r="R83" s="268">
        <f t="shared" si="13"/>
        <v>11700462.365278594</v>
      </c>
      <c r="S83" s="272"/>
      <c r="T83" s="240"/>
      <c r="U83" s="240"/>
      <c r="V83" s="240"/>
      <c r="W83" s="240"/>
      <c r="X83" s="240"/>
      <c r="Y83" s="240"/>
      <c r="Z83" s="240"/>
      <c r="AA83" s="240"/>
      <c r="AB83" s="240"/>
      <c r="AC83" s="240"/>
      <c r="AD83" s="240"/>
      <c r="AE83" s="240"/>
      <c r="AF83" s="240"/>
      <c r="AG83" s="240"/>
      <c r="AH83" s="240"/>
      <c r="AI83" s="240"/>
      <c r="AJ83" s="240"/>
      <c r="AK83" s="240"/>
      <c r="AL83" s="240"/>
      <c r="AM83" s="240"/>
    </row>
    <row r="84" spans="1:39" x14ac:dyDescent="0.2">
      <c r="A84" s="675">
        <f t="shared" si="15"/>
        <v>75</v>
      </c>
      <c r="B84" s="266" t="str">
        <f>CONCATENATE('3. Consumption by Rate Class'!B90,"-",'3. Consumption by Rate Class'!C90)</f>
        <v>2011-March</v>
      </c>
      <c r="C84" s="270">
        <v>11489559.33</v>
      </c>
      <c r="D84" s="252">
        <f>+'X.1.CDM Calculation'!H81</f>
        <v>185744.04579089323</v>
      </c>
      <c r="E84" s="731"/>
      <c r="F84" s="252">
        <v>3253.12</v>
      </c>
      <c r="G84" s="252"/>
      <c r="H84" s="731"/>
      <c r="I84" s="731"/>
      <c r="J84" s="268">
        <f t="shared" si="14"/>
        <v>11678556.495790893</v>
      </c>
      <c r="K84" s="267">
        <f>IF(K$8='5.Variables'!$B$10,+'5.Variables'!$E27,+IF(K$8='5.Variables'!$B$33,+'5.Variables'!$E50,+IF(K$8='5.Variables'!$B$56,+'5.Variables'!$E64,+IF(K$8='5.Variables'!$B$70,+'5.Variables'!$E78,+IF(K$8='5.Variables'!$B$84,+'5.Variables'!$E92,+IF(K$8='5.Variables'!$B$98,+'5.Variables'!$E106,0))))))</f>
        <v>12124</v>
      </c>
      <c r="L84" s="267">
        <f>IF(L$8='5.Variables'!$B$10,+'5.Variables'!$E27,+IF(L$8='5.Variables'!$B$33,+'5.Variables'!$E50,+IF(L$8='5.Variables'!$B$56,+'5.Variables'!$E64,+IF(L$8='5.Variables'!$B$70,+'5.Variables'!$E78,+IF(L$8='5.Variables'!$B$84,+'5.Variables'!$E92,+IF(L$8='5.Variables'!$B$98,+'5.Variables'!$E106,0))))))</f>
        <v>610.79999999999995</v>
      </c>
      <c r="M84" s="267">
        <f>IF(M$8='5.Variables'!$B$10,+'5.Variables'!$E27,+IF(M$8='5.Variables'!$B$33,+'5.Variables'!$E50,+IF(M$8='5.Variables'!$B$56,+'5.Variables'!$E64,+IF(M$8='5.Variables'!$B$70,+'5.Variables'!$E78,+IF(M$8='5.Variables'!$B$84,+'5.Variables'!$E92,+IF(M$8='5.Variables'!$B$98,+'5.Variables'!$E106,0))))))</f>
        <v>0</v>
      </c>
      <c r="N84" s="267">
        <f>IF(N$8='5.Variables'!$B$10,+'5.Variables'!$E27,+IF(N$8='5.Variables'!$B$33,+'5.Variables'!$E50,+IF(N$8='5.Variables'!$B$56,+'5.Variables'!$E64,+IF(N$8='5.Variables'!$B$70,+'5.Variables'!$E78,+IF(N$8='5.Variables'!$B$84,+'5.Variables'!$E92,+IF(N$8='5.Variables'!$B$98,+'5.Variables'!$E106,0))))))</f>
        <v>1</v>
      </c>
      <c r="O84" s="267">
        <f>IF(O$8='5.Variables'!$B$10,+'5.Variables'!$E27,+IF(O$8='5.Variables'!$B$33,+'5.Variables'!$E50,+IF(O$8='5.Variables'!$B$56,+'5.Variables'!$E64,+IF(O$8='5.Variables'!$B$70,+'5.Variables'!$E78,+IF(O$8='5.Variables'!$B$84,+'5.Variables'!$E92,+IF(O$8='5.Variables'!$B$98,+'5.Variables'!$E106,0))))))</f>
        <v>-13.975399999999999</v>
      </c>
      <c r="P84" s="267">
        <f>IF(P$8='5.Variables'!$B$10,+'5.Variables'!$E27,+IF(P$8='5.Variables'!$B$33,+'5.Variables'!$E50,+IF(P$8='5.Variables'!$B$56,+'5.Variables'!$E64,+IF(P$8='5.Variables'!$B$70,+'5.Variables'!$E78,+IF(P$8='5.Variables'!$B$84,+'5.Variables'!$E92,+IF(P$8='5.Variables'!$B$98,+'5.Variables'!$E106,0))))))</f>
        <v>31</v>
      </c>
      <c r="Q84" s="240"/>
      <c r="R84" s="268">
        <f t="shared" si="13"/>
        <v>11902634.074544242</v>
      </c>
      <c r="S84" s="272"/>
      <c r="T84" s="240"/>
      <c r="U84" s="240"/>
      <c r="V84" s="240"/>
      <c r="W84" s="240"/>
      <c r="X84" s="240"/>
      <c r="Y84" s="240"/>
      <c r="Z84" s="240"/>
      <c r="AA84" s="240"/>
      <c r="AB84" s="240"/>
      <c r="AC84" s="240"/>
      <c r="AD84" s="240"/>
      <c r="AE84" s="240"/>
      <c r="AF84" s="240"/>
      <c r="AG84" s="240"/>
      <c r="AH84" s="240"/>
      <c r="AI84" s="240"/>
      <c r="AJ84" s="240"/>
      <c r="AK84" s="240"/>
      <c r="AL84" s="240"/>
      <c r="AM84" s="240"/>
    </row>
    <row r="85" spans="1:39" x14ac:dyDescent="0.2">
      <c r="A85" s="675">
        <f t="shared" si="15"/>
        <v>76</v>
      </c>
      <c r="B85" s="266" t="str">
        <f>CONCATENATE('3. Consumption by Rate Class'!B91,"-",'3. Consumption by Rate Class'!C91)</f>
        <v>2011-April</v>
      </c>
      <c r="C85" s="270">
        <v>9665080.1799999997</v>
      </c>
      <c r="D85" s="252">
        <f>+'X.1.CDM Calculation'!H82</f>
        <v>185012.17541916235</v>
      </c>
      <c r="E85" s="731"/>
      <c r="F85" s="252">
        <v>4012.17</v>
      </c>
      <c r="G85" s="252"/>
      <c r="H85" s="731"/>
      <c r="I85" s="731"/>
      <c r="J85" s="268">
        <f t="shared" si="14"/>
        <v>9854104.5254191626</v>
      </c>
      <c r="K85" s="267">
        <f>IF(K$8='5.Variables'!$B$10,+'5.Variables'!$F27,+IF(K$8='5.Variables'!$B$33,+'5.Variables'!$F50,+IF(K$8='5.Variables'!$B$56,+'5.Variables'!$F64,+IF(K$8='5.Variables'!$B$70,+'5.Variables'!$F78,+IF(K$8='5.Variables'!$B$84,+'5.Variables'!$F92,+IF(K$8='5.Variables'!$B$98,+'5.Variables'!$F106,0))))))</f>
        <v>12140</v>
      </c>
      <c r="L85" s="267">
        <f>IF(L$8='5.Variables'!$B$10,+'5.Variables'!$F27,+IF(L$8='5.Variables'!$B$33,+'5.Variables'!$F50,+IF(L$8='5.Variables'!$B$56,+'5.Variables'!$F64,+IF(L$8='5.Variables'!$B$70,+'5.Variables'!$F78,+IF(L$8='5.Variables'!$B$84,+'5.Variables'!$F92,+IF(L$8='5.Variables'!$B$98,+'5.Variables'!$F106,0))))))</f>
        <v>334.7</v>
      </c>
      <c r="M85" s="267">
        <f>IF(M$8='5.Variables'!$B$10,+'5.Variables'!$F27,+IF(M$8='5.Variables'!$B$33,+'5.Variables'!$F50,+IF(M$8='5.Variables'!$B$56,+'5.Variables'!$F64,+IF(M$8='5.Variables'!$B$70,+'5.Variables'!$F78,+IF(M$8='5.Variables'!$B$84,+'5.Variables'!$F92,+IF(M$8='5.Variables'!$B$98,+'5.Variables'!$F106,0))))))</f>
        <v>0</v>
      </c>
      <c r="N85" s="267">
        <f>IF(N$8='5.Variables'!$B$10,+'5.Variables'!$F27,+IF(N$8='5.Variables'!$B$33,+'5.Variables'!$F50,+IF(N$8='5.Variables'!$B$56,+'5.Variables'!$F64,+IF(N$8='5.Variables'!$B$70,+'5.Variables'!$F78,+IF(N$8='5.Variables'!$B$84,+'5.Variables'!$F92,+IF(N$8='5.Variables'!$B$98,+'5.Variables'!$F106,0))))))</f>
        <v>1</v>
      </c>
      <c r="O85" s="267">
        <f>IF(O$8='5.Variables'!$B$10,+'5.Variables'!$F27,+IF(O$8='5.Variables'!$B$33,+'5.Variables'!$F50,+IF(O$8='5.Variables'!$B$56,+'5.Variables'!$F64,+IF(O$8='5.Variables'!$B$70,+'5.Variables'!$F78,+IF(O$8='5.Variables'!$B$84,+'5.Variables'!$F92,+IF(O$8='5.Variables'!$B$98,+'5.Variables'!$F106,0))))))</f>
        <v>-14.194899999999999</v>
      </c>
      <c r="P85" s="267">
        <f>IF(P$8='5.Variables'!$B$10,+'5.Variables'!$F27,+IF(P$8='5.Variables'!$B$33,+'5.Variables'!$F50,+IF(P$8='5.Variables'!$B$56,+'5.Variables'!$F64,+IF(P$8='5.Variables'!$B$70,+'5.Variables'!$F78,+IF(P$8='5.Variables'!$B$84,+'5.Variables'!$F92,+IF(P$8='5.Variables'!$B$98,+'5.Variables'!$F106,0))))))</f>
        <v>30</v>
      </c>
      <c r="Q85" s="240"/>
      <c r="R85" s="268">
        <f t="shared" si="13"/>
        <v>9978243.4495258573</v>
      </c>
      <c r="S85" s="272"/>
      <c r="T85" s="240"/>
      <c r="U85" s="240"/>
      <c r="V85" s="240"/>
      <c r="W85" s="240"/>
      <c r="X85" s="240"/>
      <c r="Y85" s="240"/>
      <c r="Z85" s="240"/>
      <c r="AA85" s="240"/>
      <c r="AB85" s="240"/>
      <c r="AC85" s="240"/>
      <c r="AD85" s="240"/>
      <c r="AE85" s="240"/>
      <c r="AF85" s="240"/>
      <c r="AG85" s="240"/>
      <c r="AH85" s="240"/>
      <c r="AI85" s="240"/>
      <c r="AJ85" s="240"/>
      <c r="AK85" s="240"/>
      <c r="AL85" s="240"/>
      <c r="AM85" s="240"/>
    </row>
    <row r="86" spans="1:39" x14ac:dyDescent="0.2">
      <c r="A86" s="675">
        <f t="shared" si="15"/>
        <v>77</v>
      </c>
      <c r="B86" s="266" t="str">
        <f>CONCATENATE('3. Consumption by Rate Class'!B92,"-",'3. Consumption by Rate Class'!C92)</f>
        <v>2011-May</v>
      </c>
      <c r="C86" s="270">
        <v>9490857.0500000007</v>
      </c>
      <c r="D86" s="252">
        <f>+'X.1.CDM Calculation'!H83</f>
        <v>184280.3050474315</v>
      </c>
      <c r="E86" s="731"/>
      <c r="F86" s="252">
        <v>3938.74</v>
      </c>
      <c r="G86" s="252"/>
      <c r="H86" s="731"/>
      <c r="I86" s="731"/>
      <c r="J86" s="268">
        <f t="shared" si="14"/>
        <v>9679076.0950474329</v>
      </c>
      <c r="K86" s="267">
        <f>IF(K$8='5.Variables'!$B$10,+'5.Variables'!$G27,+IF(K$8='5.Variables'!$B$33,+'5.Variables'!$G50,+IF(K$8='5.Variables'!$B$56,+'5.Variables'!$G64,+IF(K$8='5.Variables'!$B$70,+'5.Variables'!$G78,+IF(K$8='5.Variables'!$B$84,+'5.Variables'!$G92,+IF(K$8='5.Variables'!$B$98,+'5.Variables'!$G106,0))))))</f>
        <v>12177</v>
      </c>
      <c r="L86" s="267">
        <f>IF(L$8='5.Variables'!$B$10,+'5.Variables'!$G27,+IF(L$8='5.Variables'!$B$33,+'5.Variables'!$G50,+IF(L$8='5.Variables'!$B$56,+'5.Variables'!$G64,+IF(L$8='5.Variables'!$B$70,+'5.Variables'!$G78,+IF(L$8='5.Variables'!$B$84,+'5.Variables'!$G92,+IF(L$8='5.Variables'!$B$98,+'5.Variables'!$G106,0))))))</f>
        <v>175.6</v>
      </c>
      <c r="M86" s="267">
        <f>IF(M$8='5.Variables'!$B$10,+'5.Variables'!$G27,+IF(M$8='5.Variables'!$B$33,+'5.Variables'!$G50,+IF(M$8='5.Variables'!$B$56,+'5.Variables'!$G64,+IF(M$8='5.Variables'!$B$70,+'5.Variables'!$G78,+IF(M$8='5.Variables'!$B$84,+'5.Variables'!$G92,+IF(M$8='5.Variables'!$B$98,+'5.Variables'!$G106,0))))))</f>
        <v>14.1</v>
      </c>
      <c r="N86" s="267">
        <f>IF(N$8='5.Variables'!$B$10,+'5.Variables'!$G27,+IF(N$8='5.Variables'!$B$33,+'5.Variables'!$G50,+IF(N$8='5.Variables'!$B$56,+'5.Variables'!$G64,+IF(N$8='5.Variables'!$B$70,+'5.Variables'!$G78,+IF(N$8='5.Variables'!$B$84,+'5.Variables'!$G92,+IF(N$8='5.Variables'!$B$98,+'5.Variables'!$G106,0))))))</f>
        <v>1</v>
      </c>
      <c r="O86" s="267">
        <f>IF(O$8='5.Variables'!$B$10,+'5.Variables'!$G27,+IF(O$8='5.Variables'!$B$33,+'5.Variables'!$G50,+IF(O$8='5.Variables'!$B$56,+'5.Variables'!$G64,+IF(O$8='5.Variables'!$B$70,+'5.Variables'!$G78,+IF(O$8='5.Variables'!$B$84,+'5.Variables'!$G92,+IF(O$8='5.Variables'!$B$98,+'5.Variables'!$G106,0))))))</f>
        <v>-14.414399999999999</v>
      </c>
      <c r="P86" s="267">
        <f>IF(P$8='5.Variables'!$B$10,+'5.Variables'!$G27,+IF(P$8='5.Variables'!$B$33,+'5.Variables'!$G50,+IF(P$8='5.Variables'!$B$56,+'5.Variables'!$G64,+IF(P$8='5.Variables'!$B$70,+'5.Variables'!$G78,+IF(P$8='5.Variables'!$B$84,+'5.Variables'!$G92,+IF(P$8='5.Variables'!$B$98,+'5.Variables'!$G106,0))))))</f>
        <v>31</v>
      </c>
      <c r="Q86" s="240"/>
      <c r="R86" s="268">
        <f t="shared" si="13"/>
        <v>9976861.4881815873</v>
      </c>
      <c r="S86" s="272"/>
      <c r="T86" s="240"/>
      <c r="U86" s="240"/>
      <c r="V86" s="240"/>
      <c r="W86" s="240"/>
      <c r="X86" s="240"/>
      <c r="Y86" s="240"/>
      <c r="Z86" s="240"/>
      <c r="AA86" s="240"/>
      <c r="AB86" s="240"/>
      <c r="AC86" s="240"/>
      <c r="AD86" s="240"/>
      <c r="AE86" s="240"/>
      <c r="AF86" s="240"/>
      <c r="AG86" s="240"/>
      <c r="AH86" s="240"/>
      <c r="AI86" s="240"/>
      <c r="AJ86" s="240"/>
      <c r="AK86" s="240"/>
      <c r="AL86" s="240"/>
      <c r="AM86" s="240"/>
    </row>
    <row r="87" spans="1:39" x14ac:dyDescent="0.2">
      <c r="A87" s="675">
        <f t="shared" si="15"/>
        <v>78</v>
      </c>
      <c r="B87" s="266" t="str">
        <f>CONCATENATE('3. Consumption by Rate Class'!B93,"-",'3. Consumption by Rate Class'!C93)</f>
        <v>2011-June</v>
      </c>
      <c r="C87" s="270">
        <v>9581971.1600000001</v>
      </c>
      <c r="D87" s="252">
        <f>+'X.1.CDM Calculation'!H84</f>
        <v>183548.43467570064</v>
      </c>
      <c r="E87" s="731"/>
      <c r="F87" s="252">
        <v>5861.130000000001</v>
      </c>
      <c r="G87" s="252"/>
      <c r="H87" s="731"/>
      <c r="I87" s="731"/>
      <c r="J87" s="268">
        <f t="shared" si="14"/>
        <v>9771380.7246757019</v>
      </c>
      <c r="K87" s="267">
        <f>IF(K$8='5.Variables'!$B$10,+'5.Variables'!$H27,+IF(K$8='5.Variables'!$B$33,+'5.Variables'!$H50,+IF(K$8='5.Variables'!$B$56,+'5.Variables'!$H64,+IF(K$8='5.Variables'!$B$70,+'5.Variables'!$H78,+IF(K$8='5.Variables'!$B$84,+'5.Variables'!$H92,+IF(K$8='5.Variables'!$B$98,+'5.Variables'!$H106,0))))))</f>
        <v>12200</v>
      </c>
      <c r="L87" s="267">
        <f>IF(L$8='5.Variables'!$B$10,+'5.Variables'!$H27,+IF(L$8='5.Variables'!$B$33,+'5.Variables'!$H50,+IF(L$8='5.Variables'!$B$56,+'5.Variables'!$H64,+IF(L$8='5.Variables'!$B$70,+'5.Variables'!$H78,+IF(L$8='5.Variables'!$B$84,+'5.Variables'!$H92,+IF(L$8='5.Variables'!$B$98,+'5.Variables'!$H106,0))))))</f>
        <v>58.4</v>
      </c>
      <c r="M87" s="267">
        <f>IF(M$8='5.Variables'!$B$10,+'5.Variables'!$H27,+IF(M$8='5.Variables'!$B$33,+'5.Variables'!$H50,+IF(M$8='5.Variables'!$B$56,+'5.Variables'!$H64,+IF(M$8='5.Variables'!$B$70,+'5.Variables'!$H78,+IF(M$8='5.Variables'!$B$84,+'5.Variables'!$H92,+IF(M$8='5.Variables'!$B$98,+'5.Variables'!$H106,0))))))</f>
        <v>20.7</v>
      </c>
      <c r="N87" s="267">
        <f>IF(N$8='5.Variables'!$B$10,+'5.Variables'!$H27,+IF(N$8='5.Variables'!$B$33,+'5.Variables'!$H50,+IF(N$8='5.Variables'!$B$56,+'5.Variables'!$H64,+IF(N$8='5.Variables'!$B$70,+'5.Variables'!$H78,+IF(N$8='5.Variables'!$B$84,+'5.Variables'!$H92,+IF(N$8='5.Variables'!$B$98,+'5.Variables'!$H106,0))))))</f>
        <v>0</v>
      </c>
      <c r="O87" s="267">
        <f>IF(O$8='5.Variables'!$B$10,+'5.Variables'!$H27,+IF(O$8='5.Variables'!$B$33,+'5.Variables'!$H50,+IF(O$8='5.Variables'!$B$56,+'5.Variables'!$H64,+IF(O$8='5.Variables'!$B$70,+'5.Variables'!$H78,+IF(O$8='5.Variables'!$B$84,+'5.Variables'!$H92,+IF(O$8='5.Variables'!$B$98,+'5.Variables'!$H106,0))))))</f>
        <v>-14.633899999999999</v>
      </c>
      <c r="P87" s="267">
        <f>IF(P$8='5.Variables'!$B$10,+'5.Variables'!$H27,+IF(P$8='5.Variables'!$B$33,+'5.Variables'!$H50,+IF(P$8='5.Variables'!$B$56,+'5.Variables'!$H64,+IF(P$8='5.Variables'!$B$70,+'5.Variables'!$H78,+IF(P$8='5.Variables'!$B$84,+'5.Variables'!$H92,+IF(P$8='5.Variables'!$B$98,+'5.Variables'!$H106,0))))))</f>
        <v>30</v>
      </c>
      <c r="Q87" s="240"/>
      <c r="R87" s="268">
        <f t="shared" si="13"/>
        <v>10001661.711044759</v>
      </c>
      <c r="S87" s="272"/>
      <c r="T87" s="240"/>
      <c r="U87" s="240"/>
      <c r="V87" s="240"/>
      <c r="W87" s="240"/>
      <c r="X87" s="240"/>
      <c r="Y87" s="240"/>
      <c r="Z87" s="240"/>
      <c r="AA87" s="240"/>
      <c r="AB87" s="240"/>
      <c r="AC87" s="240"/>
      <c r="AD87" s="240"/>
      <c r="AE87" s="240"/>
      <c r="AF87" s="240"/>
      <c r="AG87" s="240"/>
      <c r="AH87" s="240"/>
      <c r="AI87" s="240"/>
      <c r="AJ87" s="240"/>
      <c r="AK87" s="240"/>
      <c r="AL87" s="240"/>
      <c r="AM87" s="240"/>
    </row>
    <row r="88" spans="1:39" x14ac:dyDescent="0.2">
      <c r="A88" s="675">
        <f t="shared" si="15"/>
        <v>79</v>
      </c>
      <c r="B88" s="266" t="str">
        <f>CONCATENATE('3. Consumption by Rate Class'!B94,"-",'3. Consumption by Rate Class'!C94)</f>
        <v>2011-July</v>
      </c>
      <c r="C88" s="270">
        <v>13572193.43</v>
      </c>
      <c r="D88" s="252">
        <f>+'X.1.CDM Calculation'!H85</f>
        <v>182816.56430396976</v>
      </c>
      <c r="E88" s="731"/>
      <c r="F88" s="252">
        <v>8238.0499999999993</v>
      </c>
      <c r="G88" s="252"/>
      <c r="H88" s="731"/>
      <c r="I88" s="731"/>
      <c r="J88" s="268">
        <f t="shared" si="14"/>
        <v>13763248.04430397</v>
      </c>
      <c r="K88" s="267">
        <f>IF(K$8='5.Variables'!$B$10,+'5.Variables'!$I27,+IF(K$8='5.Variables'!$B$33,+'5.Variables'!$I50,+IF(K$8='5.Variables'!$B$56,+'5.Variables'!$I64,+IF(K$8='5.Variables'!$B$70,+'5.Variables'!$I78,+IF(K$8='5.Variables'!$B$84,+'5.Variables'!$I92,+IF(K$8='5.Variables'!$B$98,+'5.Variables'!$I106,0))))))</f>
        <v>12230</v>
      </c>
      <c r="L88" s="267">
        <f>IF(L$8='5.Variables'!$B$10,+'5.Variables'!$I27,+IF(L$8='5.Variables'!$B$33,+'5.Variables'!$I50,+IF(L$8='5.Variables'!$B$56,+'5.Variables'!$I64,+IF(L$8='5.Variables'!$B$70,+'5.Variables'!$I78,+IF(L$8='5.Variables'!$B$84,+'5.Variables'!$I92,+IF(L$8='5.Variables'!$B$98,+'5.Variables'!$I106,0))))))</f>
        <v>0.7</v>
      </c>
      <c r="M88" s="267">
        <f>IF(M$8='5.Variables'!$B$10,+'5.Variables'!$I27,+IF(M$8='5.Variables'!$B$33,+'5.Variables'!$I50,+IF(M$8='5.Variables'!$B$56,+'5.Variables'!$I64,+IF(M$8='5.Variables'!$B$70,+'5.Variables'!$I78,+IF(M$8='5.Variables'!$B$84,+'5.Variables'!$I92,+IF(M$8='5.Variables'!$B$98,+'5.Variables'!$I106,0))))))</f>
        <v>139.9</v>
      </c>
      <c r="N88" s="267">
        <f>IF(N$8='5.Variables'!$B$10,+'5.Variables'!$I27,+IF(N$8='5.Variables'!$B$33,+'5.Variables'!$I50,+IF(N$8='5.Variables'!$B$56,+'5.Variables'!$I64,+IF(N$8='5.Variables'!$B$70,+'5.Variables'!$I78,+IF(N$8='5.Variables'!$B$84,+'5.Variables'!$I92,+IF(N$8='5.Variables'!$B$98,+'5.Variables'!$I106,0))))))</f>
        <v>0</v>
      </c>
      <c r="O88" s="267">
        <f>IF(O$8='5.Variables'!$B$10,+'5.Variables'!$I27,+IF(O$8='5.Variables'!$B$33,+'5.Variables'!$I50,+IF(O$8='5.Variables'!$B$56,+'5.Variables'!$I64,+IF(O$8='5.Variables'!$B$70,+'5.Variables'!$I78,+IF(O$8='5.Variables'!$B$84,+'5.Variables'!$I92,+IF(O$8='5.Variables'!$B$98,+'5.Variables'!$I106,0))))))</f>
        <v>-14.853399999999999</v>
      </c>
      <c r="P88" s="267">
        <f>IF(P$8='5.Variables'!$B$10,+'5.Variables'!$I27,+IF(P$8='5.Variables'!$B$33,+'5.Variables'!$I50,+IF(P$8='5.Variables'!$B$56,+'5.Variables'!$I64,+IF(P$8='5.Variables'!$B$70,+'5.Variables'!$I78,+IF(P$8='5.Variables'!$B$84,+'5.Variables'!$I92,+IF(P$8='5.Variables'!$B$98,+'5.Variables'!$I106,0))))))</f>
        <v>31</v>
      </c>
      <c r="Q88" s="240"/>
      <c r="R88" s="268">
        <f t="shared" si="13"/>
        <v>13453964.062118137</v>
      </c>
      <c r="S88" s="272"/>
      <c r="T88" s="240"/>
      <c r="U88" s="240"/>
      <c r="V88" s="240"/>
      <c r="W88" s="240"/>
      <c r="X88" s="240"/>
      <c r="Y88" s="240"/>
      <c r="Z88" s="240"/>
      <c r="AA88" s="240"/>
      <c r="AB88" s="240"/>
      <c r="AC88" s="240"/>
      <c r="AD88" s="240"/>
      <c r="AE88" s="240"/>
      <c r="AF88" s="240"/>
      <c r="AG88" s="240"/>
      <c r="AH88" s="240"/>
      <c r="AI88" s="240"/>
      <c r="AJ88" s="240"/>
      <c r="AK88" s="240"/>
      <c r="AL88" s="240"/>
      <c r="AM88" s="240"/>
    </row>
    <row r="89" spans="1:39" x14ac:dyDescent="0.2">
      <c r="A89" s="675">
        <f t="shared" si="15"/>
        <v>80</v>
      </c>
      <c r="B89" s="266" t="str">
        <f>CONCATENATE('3. Consumption by Rate Class'!B95,"-",'3. Consumption by Rate Class'!C95)</f>
        <v>2011-August</v>
      </c>
      <c r="C89" s="270">
        <v>11921213.560000001</v>
      </c>
      <c r="D89" s="252">
        <f>+'X.1.CDM Calculation'!H86</f>
        <v>182084.69393223891</v>
      </c>
      <c r="E89" s="731"/>
      <c r="F89" s="252">
        <v>6800.1100000000006</v>
      </c>
      <c r="G89" s="252"/>
      <c r="H89" s="731"/>
      <c r="I89" s="731"/>
      <c r="J89" s="268">
        <f t="shared" si="14"/>
        <v>12110098.363932239</v>
      </c>
      <c r="K89" s="267">
        <f>IF(K$8='5.Variables'!$B$10,+'5.Variables'!$J27,+IF(K$8='5.Variables'!$B$33,+'5.Variables'!$J50,+IF(K$8='5.Variables'!$B$56,+'5.Variables'!$J64,+IF(K$8='5.Variables'!$B$70,+'5.Variables'!$J78,+IF(K$8='5.Variables'!$B$84,+'5.Variables'!$J92,+IF(K$8='5.Variables'!$B$98,+'5.Variables'!$J106,0))))))</f>
        <v>12272</v>
      </c>
      <c r="L89" s="267">
        <f>IF(L$8='5.Variables'!$B$10,+'5.Variables'!$J27,+IF(L$8='5.Variables'!$B$33,+'5.Variables'!$J50,+IF(L$8='5.Variables'!$B$56,+'5.Variables'!$J64,+IF(L$8='5.Variables'!$B$70,+'5.Variables'!$J78,+IF(L$8='5.Variables'!$B$84,+'5.Variables'!$J92,+IF(L$8='5.Variables'!$B$98,+'5.Variables'!$J106,0))))))</f>
        <v>2.7</v>
      </c>
      <c r="M89" s="267">
        <f>IF(M$8='5.Variables'!$B$10,+'5.Variables'!$J27,+IF(M$8='5.Variables'!$B$33,+'5.Variables'!$J50,+IF(M$8='5.Variables'!$B$56,+'5.Variables'!$J64,+IF(M$8='5.Variables'!$B$70,+'5.Variables'!$J78,+IF(M$8='5.Variables'!$B$84,+'5.Variables'!$J92,+IF(M$8='5.Variables'!$B$98,+'5.Variables'!$J106,0))))))</f>
        <v>88.2</v>
      </c>
      <c r="N89" s="267">
        <f>IF(N$8='5.Variables'!$B$10,+'5.Variables'!$J27,+IF(N$8='5.Variables'!$B$33,+'5.Variables'!$J50,+IF(N$8='5.Variables'!$B$56,+'5.Variables'!$J64,+IF(N$8='5.Variables'!$B$70,+'5.Variables'!$J78,+IF(N$8='5.Variables'!$B$84,+'5.Variables'!$J92,+IF(N$8='5.Variables'!$B$98,+'5.Variables'!$J106,0))))))</f>
        <v>0</v>
      </c>
      <c r="O89" s="267">
        <f>IF(O$8='5.Variables'!$B$10,+'5.Variables'!$J27,+IF(O$8='5.Variables'!$B$33,+'5.Variables'!$J50,+IF(O$8='5.Variables'!$B$56,+'5.Variables'!$J64,+IF(O$8='5.Variables'!$B$70,+'5.Variables'!$J78,+IF(O$8='5.Variables'!$B$84,+'5.Variables'!$J92,+IF(O$8='5.Variables'!$B$98,+'5.Variables'!$J106,0))))))</f>
        <v>-15.072899999999999</v>
      </c>
      <c r="P89" s="267">
        <f>IF(P$8='5.Variables'!$B$10,+'5.Variables'!$J27,+IF(P$8='5.Variables'!$B$33,+'5.Variables'!$J50,+IF(P$8='5.Variables'!$B$56,+'5.Variables'!$J64,+IF(P$8='5.Variables'!$B$70,+'5.Variables'!$J78,+IF(P$8='5.Variables'!$B$84,+'5.Variables'!$J92,+IF(P$8='5.Variables'!$B$98,+'5.Variables'!$J106,0))))))</f>
        <v>31</v>
      </c>
      <c r="Q89" s="240"/>
      <c r="R89" s="268">
        <f t="shared" si="13"/>
        <v>12087623.296498444</v>
      </c>
      <c r="S89" s="272"/>
      <c r="T89" s="240"/>
      <c r="U89" s="240"/>
      <c r="V89" s="240"/>
      <c r="W89" s="240"/>
      <c r="X89" s="240"/>
      <c r="Y89" s="240"/>
      <c r="Z89" s="240"/>
      <c r="AA89" s="240"/>
      <c r="AB89" s="240"/>
      <c r="AC89" s="240"/>
      <c r="AD89" s="240"/>
      <c r="AE89" s="240"/>
      <c r="AF89" s="240"/>
      <c r="AG89" s="240"/>
      <c r="AH89" s="240"/>
      <c r="AI89" s="240"/>
      <c r="AJ89" s="240"/>
      <c r="AK89" s="240"/>
      <c r="AL89" s="240"/>
      <c r="AM89" s="240"/>
    </row>
    <row r="90" spans="1:39" x14ac:dyDescent="0.2">
      <c r="A90" s="675">
        <f t="shared" si="15"/>
        <v>81</v>
      </c>
      <c r="B90" s="266" t="str">
        <f>CONCATENATE('3. Consumption by Rate Class'!B96,"-",'3. Consumption by Rate Class'!C96)</f>
        <v>2011-September</v>
      </c>
      <c r="C90" s="270">
        <v>9672770.8599999994</v>
      </c>
      <c r="D90" s="252">
        <f>+'X.1.CDM Calculation'!H87</f>
        <v>181352.82356050806</v>
      </c>
      <c r="E90" s="731"/>
      <c r="F90" s="252">
        <v>6941.18</v>
      </c>
      <c r="G90" s="252"/>
      <c r="H90" s="731"/>
      <c r="I90" s="731"/>
      <c r="J90" s="268">
        <f t="shared" si="14"/>
        <v>9861064.8635605071</v>
      </c>
      <c r="K90" s="267">
        <f>IF(K$8='5.Variables'!$B$10,+'5.Variables'!$K27,+IF(K$8='5.Variables'!$B$33,+'5.Variables'!$K50,+IF(K$8='5.Variables'!$B$56,+'5.Variables'!$K64,+IF(K$8='5.Variables'!$B$70,+'5.Variables'!$K78,+IF(K$8='5.Variables'!$B$84,+'5.Variables'!$K92,+IF(K$8='5.Variables'!$B$98,+'5.Variables'!$K106,0))))))</f>
        <v>12299</v>
      </c>
      <c r="L90" s="267">
        <f>IF(L$8='5.Variables'!$B$10,+'5.Variables'!$K27,+IF(L$8='5.Variables'!$B$33,+'5.Variables'!$K50,+IF(L$8='5.Variables'!$B$56,+'5.Variables'!$K64,+IF(L$8='5.Variables'!$B$70,+'5.Variables'!$K78,+IF(L$8='5.Variables'!$B$84,+'5.Variables'!$K92,+IF(L$8='5.Variables'!$B$98,+'5.Variables'!$K106,0))))))</f>
        <v>72.3</v>
      </c>
      <c r="M90" s="267">
        <f>IF(M$8='5.Variables'!$B$10,+'5.Variables'!$K27,+IF(M$8='5.Variables'!$B$33,+'5.Variables'!$K50,+IF(M$8='5.Variables'!$B$56,+'5.Variables'!$K64,+IF(M$8='5.Variables'!$B$70,+'5.Variables'!$K78,+IF(M$8='5.Variables'!$B$84,+'5.Variables'!$K92,+IF(M$8='5.Variables'!$B$98,+'5.Variables'!$K106,0))))))</f>
        <v>21.2</v>
      </c>
      <c r="N90" s="267">
        <f>IF(N$8='5.Variables'!$B$10,+'5.Variables'!$K27,+IF(N$8='5.Variables'!$B$33,+'5.Variables'!$K50,+IF(N$8='5.Variables'!$B$56,+'5.Variables'!$K64,+IF(N$8='5.Variables'!$B$70,+'5.Variables'!$K78,+IF(N$8='5.Variables'!$B$84,+'5.Variables'!$K92,+IF(N$8='5.Variables'!$B$98,+'5.Variables'!$K106,0))))))</f>
        <v>1</v>
      </c>
      <c r="O90" s="267">
        <f>IF(O$8='5.Variables'!$B$10,+'5.Variables'!$K27,+IF(O$8='5.Variables'!$B$33,+'5.Variables'!$K50,+IF(O$8='5.Variables'!$B$56,+'5.Variables'!$K64,+IF(O$8='5.Variables'!$B$70,+'5.Variables'!$K78,+IF(O$8='5.Variables'!$B$84,+'5.Variables'!$K92,+IF(O$8='5.Variables'!$B$98,+'5.Variables'!$K106,0))))))</f>
        <v>-15.292399999999999</v>
      </c>
      <c r="P90" s="267">
        <f>IF(P$8='5.Variables'!$B$10,+'5.Variables'!$K27,+IF(P$8='5.Variables'!$B$33,+'5.Variables'!$K50,+IF(P$8='5.Variables'!$B$56,+'5.Variables'!$K64,+IF(P$8='5.Variables'!$B$70,+'5.Variables'!$K78,+IF(P$8='5.Variables'!$B$84,+'5.Variables'!$K92,+IF(P$8='5.Variables'!$B$98,+'5.Variables'!$K106,0))))))</f>
        <v>30</v>
      </c>
      <c r="Q90" s="240"/>
      <c r="R90" s="268">
        <f t="shared" si="13"/>
        <v>9322106.4945323728</v>
      </c>
      <c r="S90" s="272"/>
      <c r="T90" s="240"/>
      <c r="U90" s="240"/>
      <c r="V90" s="240"/>
      <c r="W90" s="240"/>
      <c r="X90" s="240"/>
      <c r="Y90" s="240"/>
      <c r="Z90" s="240"/>
      <c r="AA90" s="240"/>
      <c r="AB90" s="240"/>
      <c r="AC90" s="240"/>
      <c r="AD90" s="240"/>
      <c r="AE90" s="240"/>
      <c r="AF90" s="240"/>
      <c r="AG90" s="240"/>
      <c r="AH90" s="240"/>
      <c r="AI90" s="240"/>
      <c r="AJ90" s="240"/>
      <c r="AK90" s="240"/>
      <c r="AL90" s="240"/>
      <c r="AM90" s="240"/>
    </row>
    <row r="91" spans="1:39" x14ac:dyDescent="0.2">
      <c r="A91" s="675">
        <f t="shared" si="15"/>
        <v>82</v>
      </c>
      <c r="B91" s="266" t="str">
        <f>CONCATENATE('3. Consumption by Rate Class'!B97,"-",'3. Consumption by Rate Class'!C97)</f>
        <v>2011-October</v>
      </c>
      <c r="C91" s="270">
        <v>9746408.2400000002</v>
      </c>
      <c r="D91" s="252">
        <f>+'X.1.CDM Calculation'!H88</f>
        <v>180620.95318877717</v>
      </c>
      <c r="E91" s="731"/>
      <c r="F91" s="252">
        <v>5824.89</v>
      </c>
      <c r="G91" s="252"/>
      <c r="H91" s="731"/>
      <c r="I91" s="731"/>
      <c r="J91" s="268">
        <f t="shared" si="14"/>
        <v>9932854.0831887778</v>
      </c>
      <c r="K91" s="267">
        <f>IF(K$8='5.Variables'!$B$10,+'5.Variables'!$L27,+IF(K$8='5.Variables'!$B$33,+'5.Variables'!$L50,+IF(K$8='5.Variables'!$B$56,+'5.Variables'!$L64,+IF(K$8='5.Variables'!$B$70,+'5.Variables'!$L78,+IF(K$8='5.Variables'!$B$84,+'5.Variables'!$L92,+IF(K$8='5.Variables'!$B$98,+'5.Variables'!$L106,0))))))</f>
        <v>12324</v>
      </c>
      <c r="L91" s="267">
        <f>IF(L$8='5.Variables'!$B$10,+'5.Variables'!$L27,+IF(L$8='5.Variables'!$B$33,+'5.Variables'!$L50,+IF(L$8='5.Variables'!$B$56,+'5.Variables'!$L64,+IF(L$8='5.Variables'!$B$70,+'5.Variables'!$L78,+IF(L$8='5.Variables'!$B$84,+'5.Variables'!$L92,+IF(L$8='5.Variables'!$B$98,+'5.Variables'!$L106,0))))))</f>
        <v>223</v>
      </c>
      <c r="M91" s="267">
        <f>IF(M$8='5.Variables'!$B$10,+'5.Variables'!$L27,+IF(M$8='5.Variables'!$B$33,+'5.Variables'!$L50,+IF(M$8='5.Variables'!$B$56,+'5.Variables'!$L64,+IF(M$8='5.Variables'!$B$70,+'5.Variables'!$L78,+IF(M$8='5.Variables'!$B$84,+'5.Variables'!$L92,+IF(M$8='5.Variables'!$B$98,+'5.Variables'!$L106,0))))))</f>
        <v>2.8</v>
      </c>
      <c r="N91" s="267">
        <f>IF(N$8='5.Variables'!$B$10,+'5.Variables'!$L27,+IF(N$8='5.Variables'!$B$33,+'5.Variables'!$L50,+IF(N$8='5.Variables'!$B$56,+'5.Variables'!$L64,+IF(N$8='5.Variables'!$B$70,+'5.Variables'!$L78,+IF(N$8='5.Variables'!$B$84,+'5.Variables'!$L92,+IF(N$8='5.Variables'!$B$98,+'5.Variables'!$L106,0))))))</f>
        <v>1</v>
      </c>
      <c r="O91" s="267">
        <f>IF(O$8='5.Variables'!$B$10,+'5.Variables'!$L27,+IF(O$8='5.Variables'!$B$33,+'5.Variables'!$L50,+IF(O$8='5.Variables'!$B$56,+'5.Variables'!$L64,+IF(O$8='5.Variables'!$B$70,+'5.Variables'!$L78,+IF(O$8='5.Variables'!$B$84,+'5.Variables'!$L92,+IF(O$8='5.Variables'!$B$98,+'5.Variables'!$L106,0))))))</f>
        <v>-15.511899999999999</v>
      </c>
      <c r="P91" s="267">
        <f>IF(P$8='5.Variables'!$B$10,+'5.Variables'!$L27,+IF(P$8='5.Variables'!$B$33,+'5.Variables'!$L50,+IF(P$8='5.Variables'!$B$56,+'5.Variables'!$L64,+IF(P$8='5.Variables'!$B$70,+'5.Variables'!$L78,+IF(P$8='5.Variables'!$B$84,+'5.Variables'!$L92,+IF(P$8='5.Variables'!$B$98,+'5.Variables'!$L106,0))))))</f>
        <v>31</v>
      </c>
      <c r="Q91" s="240"/>
      <c r="R91" s="268">
        <f t="shared" si="13"/>
        <v>10084125.771241484</v>
      </c>
      <c r="S91" s="272"/>
      <c r="T91" s="240"/>
      <c r="U91" s="240"/>
      <c r="V91" s="240"/>
      <c r="W91" s="240"/>
      <c r="X91" s="240"/>
      <c r="Y91" s="240"/>
      <c r="Z91" s="240"/>
      <c r="AA91" s="240"/>
      <c r="AB91" s="240"/>
      <c r="AC91" s="240"/>
      <c r="AD91" s="240"/>
      <c r="AE91" s="240"/>
      <c r="AF91" s="240"/>
      <c r="AG91" s="240"/>
      <c r="AH91" s="240"/>
      <c r="AI91" s="240"/>
      <c r="AJ91" s="240"/>
      <c r="AK91" s="240"/>
      <c r="AL91" s="240"/>
      <c r="AM91" s="240"/>
    </row>
    <row r="92" spans="1:39" x14ac:dyDescent="0.2">
      <c r="A92" s="675">
        <f t="shared" si="15"/>
        <v>83</v>
      </c>
      <c r="B92" s="266" t="str">
        <f>CONCATENATE('3. Consumption by Rate Class'!B98,"-",'3. Consumption by Rate Class'!C98)</f>
        <v>2011-November</v>
      </c>
      <c r="C92" s="270">
        <v>9838067.7599999998</v>
      </c>
      <c r="D92" s="252">
        <f>+'X.1.CDM Calculation'!H89</f>
        <v>179889.08281704632</v>
      </c>
      <c r="E92" s="731"/>
      <c r="F92" s="252">
        <v>4885.8799999999992</v>
      </c>
      <c r="G92" s="252"/>
      <c r="H92" s="731"/>
      <c r="I92" s="731"/>
      <c r="J92" s="268">
        <f t="shared" si="14"/>
        <v>10022842.722817047</v>
      </c>
      <c r="K92" s="267">
        <f>IF(K$8='5.Variables'!$B$10,+'5.Variables'!$M27,+IF(K$8='5.Variables'!$B$33,+'5.Variables'!$M50,+IF(K$8='5.Variables'!$B$56,+'5.Variables'!$M64,+IF(K$8='5.Variables'!$B$70,+'5.Variables'!$M78,+IF(K$8='5.Variables'!$B$84,+'5.Variables'!$M92,+IF(K$8='5.Variables'!$B$98,+'5.Variables'!$M106,0))))))</f>
        <v>12349</v>
      </c>
      <c r="L92" s="267">
        <f>IF(L$8='5.Variables'!$B$10,+'5.Variables'!$M27,+IF(L$8='5.Variables'!$B$33,+'5.Variables'!$M50,+IF(L$8='5.Variables'!$B$56,+'5.Variables'!$M64,+IF(L$8='5.Variables'!$B$70,+'5.Variables'!$M78,+IF(L$8='5.Variables'!$B$84,+'5.Variables'!$M92,+IF(L$8='5.Variables'!$B$98,+'5.Variables'!$M106,0))))))</f>
        <v>336.2</v>
      </c>
      <c r="M92" s="267">
        <f>IF(M$8='5.Variables'!$B$10,+'5.Variables'!$M27,+IF(M$8='5.Variables'!$B$33,+'5.Variables'!$M50,+IF(M$8='5.Variables'!$B$56,+'5.Variables'!$M64,+IF(M$8='5.Variables'!$B$70,+'5.Variables'!$M78,+IF(M$8='5.Variables'!$B$84,+'5.Variables'!$M92,+IF(M$8='5.Variables'!$B$98,+'5.Variables'!$M106,0))))))</f>
        <v>0</v>
      </c>
      <c r="N92" s="267">
        <f>IF(N$8='5.Variables'!$B$10,+'5.Variables'!$M27,+IF(N$8='5.Variables'!$B$33,+'5.Variables'!$M50,+IF(N$8='5.Variables'!$B$56,+'5.Variables'!$M64,+IF(N$8='5.Variables'!$B$70,+'5.Variables'!$M78,+IF(N$8='5.Variables'!$B$84,+'5.Variables'!$M92,+IF(N$8='5.Variables'!$B$98,+'5.Variables'!$M106,0))))))</f>
        <v>1</v>
      </c>
      <c r="O92" s="267">
        <f>IF(O$8='5.Variables'!$B$10,+'5.Variables'!$M27,+IF(O$8='5.Variables'!$B$33,+'5.Variables'!$M50,+IF(O$8='5.Variables'!$B$56,+'5.Variables'!$M64,+IF(O$8='5.Variables'!$B$70,+'5.Variables'!$M78,+IF(O$8='5.Variables'!$B$84,+'5.Variables'!$M92,+IF(O$8='5.Variables'!$B$98,+'5.Variables'!$M106,0))))))</f>
        <v>-15.731399999999999</v>
      </c>
      <c r="P92" s="267">
        <f>IF(P$8='5.Variables'!$B$10,+'5.Variables'!$M27,+IF(P$8='5.Variables'!$B$33,+'5.Variables'!$M50,+IF(P$8='5.Variables'!$B$56,+'5.Variables'!$M64,+IF(P$8='5.Variables'!$B$70,+'5.Variables'!$M78,+IF(P$8='5.Variables'!$B$84,+'5.Variables'!$M92,+IF(P$8='5.Variables'!$B$98,+'5.Variables'!$M106,0))))))</f>
        <v>30</v>
      </c>
      <c r="Q92" s="240"/>
      <c r="R92" s="268">
        <f t="shared" si="13"/>
        <v>10219928.318297289</v>
      </c>
      <c r="S92" s="272"/>
      <c r="T92" s="240"/>
      <c r="U92" s="240"/>
      <c r="V92" s="240"/>
      <c r="W92" s="240"/>
      <c r="X92" s="240"/>
      <c r="Y92" s="240"/>
      <c r="Z92" s="240"/>
      <c r="AA92" s="240"/>
      <c r="AB92" s="240"/>
      <c r="AC92" s="240"/>
      <c r="AD92" s="240"/>
      <c r="AE92" s="240"/>
      <c r="AF92" s="240"/>
      <c r="AG92" s="240"/>
      <c r="AH92" s="240"/>
      <c r="AI92" s="240"/>
      <c r="AJ92" s="240"/>
      <c r="AK92" s="240"/>
      <c r="AL92" s="240"/>
      <c r="AM92" s="240"/>
    </row>
    <row r="93" spans="1:39" x14ac:dyDescent="0.2">
      <c r="A93" s="675">
        <f t="shared" si="15"/>
        <v>84</v>
      </c>
      <c r="B93" s="266" t="str">
        <f>CONCATENATE('3. Consumption by Rate Class'!B99,"-",'3. Consumption by Rate Class'!C99)</f>
        <v>2011-December</v>
      </c>
      <c r="C93" s="270">
        <v>12118288.98</v>
      </c>
      <c r="D93" s="252">
        <f>+'X.1.CDM Calculation'!H90</f>
        <v>179157.21244531547</v>
      </c>
      <c r="E93" s="731"/>
      <c r="F93" s="252">
        <v>2350.85</v>
      </c>
      <c r="G93" s="252"/>
      <c r="H93" s="731"/>
      <c r="I93" s="731"/>
      <c r="J93" s="268">
        <f t="shared" si="14"/>
        <v>12299797.042445315</v>
      </c>
      <c r="K93" s="267">
        <f>IF(K$8='5.Variables'!$B$10,+'5.Variables'!$N27,+IF(K$8='5.Variables'!$B$33,+'5.Variables'!$N50,+IF(K$8='5.Variables'!$B$56,+'5.Variables'!$N64,+IF(K$8='5.Variables'!$B$70,+'5.Variables'!$N78,+IF(K$8='5.Variables'!$B$84,+'5.Variables'!$N92,+IF(K$8='5.Variables'!$B$98,+'5.Variables'!$N106,0))))))</f>
        <v>12370</v>
      </c>
      <c r="L93" s="267">
        <f>IF(L$8='5.Variables'!$B$10,+'5.Variables'!$N27,+IF(L$8='5.Variables'!$B$33,+'5.Variables'!$N50,+IF(L$8='5.Variables'!$B$56,+'5.Variables'!$N64,+IF(L$8='5.Variables'!$B$70,+'5.Variables'!$N78,+IF(L$8='5.Variables'!$B$84,+'5.Variables'!$N92,+IF(L$8='5.Variables'!$B$98,+'5.Variables'!$N106,0))))))</f>
        <v>555.29999999999995</v>
      </c>
      <c r="M93" s="267">
        <f>IF(M$8='5.Variables'!$B$10,+'5.Variables'!$N27,+IF(M$8='5.Variables'!$B$33,+'5.Variables'!$N50,+IF(M$8='5.Variables'!$B$56,+'5.Variables'!$N64,+IF(M$8='5.Variables'!$B$70,+'5.Variables'!$N78,+IF(M$8='5.Variables'!$B$84,+'5.Variables'!$N92,+IF(M$8='5.Variables'!$B$98,+'5.Variables'!$N106,0))))))</f>
        <v>0</v>
      </c>
      <c r="N93" s="267">
        <f>IF(N$8='5.Variables'!$B$10,+'5.Variables'!$N27,+IF(N$8='5.Variables'!$B$33,+'5.Variables'!$N50,+IF(N$8='5.Variables'!$B$56,+'5.Variables'!$N64,+IF(N$8='5.Variables'!$B$70,+'5.Variables'!$N78,+IF(N$8='5.Variables'!$B$84,+'5.Variables'!$N92,+IF(N$8='5.Variables'!$B$98,+'5.Variables'!$N106,0))))))</f>
        <v>0</v>
      </c>
      <c r="O93" s="267">
        <f>IF(O$8='5.Variables'!$B$10,+'5.Variables'!$N27,+IF(O$8='5.Variables'!$B$33,+'5.Variables'!$N50,+IF(O$8='5.Variables'!$B$56,+'5.Variables'!$N64,+IF(O$8='5.Variables'!$B$70,+'5.Variables'!$N78,+IF(O$8='5.Variables'!$B$84,+'5.Variables'!$N92,+IF(O$8='5.Variables'!$B$98,+'5.Variables'!$N106,0))))))</f>
        <v>-15.950899999999999</v>
      </c>
      <c r="P93" s="267">
        <f>IF(P$8='5.Variables'!$B$10,+'5.Variables'!$N27,+IF(P$8='5.Variables'!$B$33,+'5.Variables'!$N50,+IF(P$8='5.Variables'!$B$56,+'5.Variables'!$N64,+IF(P$8='5.Variables'!$B$70,+'5.Variables'!$N78,+IF(P$8='5.Variables'!$B$84,+'5.Variables'!$N92,+IF(P$8='5.Variables'!$B$98,+'5.Variables'!$N106,0))))))</f>
        <v>31</v>
      </c>
      <c r="Q93" s="240"/>
      <c r="R93" s="268">
        <f t="shared" si="13"/>
        <v>12744401.773999678</v>
      </c>
      <c r="S93" s="272">
        <f>SUM(R82:R93)</f>
        <v>135182816.26438898</v>
      </c>
      <c r="T93" s="240"/>
      <c r="U93" s="240"/>
      <c r="V93" s="240"/>
      <c r="W93" s="240"/>
      <c r="X93" s="240"/>
      <c r="Y93" s="240"/>
      <c r="Z93" s="240"/>
      <c r="AA93" s="240"/>
      <c r="AB93" s="240"/>
      <c r="AC93" s="240"/>
      <c r="AD93" s="240"/>
      <c r="AE93" s="240"/>
      <c r="AF93" s="240"/>
      <c r="AG93" s="240"/>
      <c r="AH93" s="240"/>
      <c r="AI93" s="240"/>
      <c r="AJ93" s="240"/>
      <c r="AK93" s="240"/>
      <c r="AL93" s="240"/>
      <c r="AM93" s="240"/>
    </row>
    <row r="94" spans="1:39" x14ac:dyDescent="0.2">
      <c r="A94" s="675">
        <f t="shared" si="15"/>
        <v>85</v>
      </c>
      <c r="B94" s="266" t="str">
        <f>CONCATENATE('3. Consumption by Rate Class'!B100,"-",'3. Consumption by Rate Class'!C100)</f>
        <v>2012-January</v>
      </c>
      <c r="C94" s="730">
        <v>12612651.550000001</v>
      </c>
      <c r="D94" s="252">
        <f>+'X.1.CDM Calculation'!H91</f>
        <v>207866.22414821296</v>
      </c>
      <c r="E94" s="731"/>
      <c r="F94" s="252">
        <v>1956.1000000000001</v>
      </c>
      <c r="G94" s="252"/>
      <c r="H94" s="731"/>
      <c r="I94" s="731"/>
      <c r="J94" s="268">
        <f t="shared" si="14"/>
        <v>12822473.874148214</v>
      </c>
      <c r="K94" s="267">
        <f>IF(K$8='5.Variables'!$B$10,+'5.Variables'!$C28,+IF(K$8='5.Variables'!$B$33,+'5.Variables'!$C51,+IF(K$8='5.Variables'!$B$56,+'5.Variables'!$C65,+IF(K$8='5.Variables'!$B$70,+'5.Variables'!$C79,+IF(K$8='5.Variables'!$B$84,+'5.Variables'!$C93,+IF(K$8='5.Variables'!$B$98,+'5.Variables'!$C107,0))))))</f>
        <v>12398</v>
      </c>
      <c r="L94" s="267">
        <f>IF(L$8='5.Variables'!$B$10,+'5.Variables'!$C28,+IF(L$8='5.Variables'!$B$33,+'5.Variables'!$C51,+IF(L$8='5.Variables'!$B$56,+'5.Variables'!$C65,+IF(L$8='5.Variables'!$B$70,+'5.Variables'!$C79,+IF(L$8='5.Variables'!$B$84,+'5.Variables'!$C93,+IF(L$8='5.Variables'!$B$98,+'5.Variables'!$C107,0))))))</f>
        <v>633.70000000000005</v>
      </c>
      <c r="M94" s="267">
        <f>IF(M$8='5.Variables'!$B$10,+'5.Variables'!$C28,+IF(M$8='5.Variables'!$B$33,+'5.Variables'!$C51,+IF(M$8='5.Variables'!$B$56,+'5.Variables'!$C65,+IF(M$8='5.Variables'!$B$70,+'5.Variables'!$C79,+IF(M$8='5.Variables'!$B$84,+'5.Variables'!$C93,+IF(M$8='5.Variables'!$B$98,+'5.Variables'!$C107,0))))))</f>
        <v>0</v>
      </c>
      <c r="N94" s="267">
        <f>IF(N$8='5.Variables'!$B$10,+'5.Variables'!$C28,+IF(N$8='5.Variables'!$B$33,+'5.Variables'!$C51,+IF(N$8='5.Variables'!$B$56,+'5.Variables'!$C65,+IF(N$8='5.Variables'!$B$70,+'5.Variables'!$C79,+IF(N$8='5.Variables'!$B$84,+'5.Variables'!$C93,+IF(N$8='5.Variables'!$B$98,+'5.Variables'!$C107,0))))))</f>
        <v>0</v>
      </c>
      <c r="O94" s="267">
        <f>IF(O$8='5.Variables'!$B$10,+'5.Variables'!$C28,+IF(O$8='5.Variables'!$B$33,+'5.Variables'!$C51,+IF(O$8='5.Variables'!$B$56,+'5.Variables'!$C65,+IF(O$8='5.Variables'!$B$70,+'5.Variables'!$C79,+IF(O$8='5.Variables'!$B$84,+'5.Variables'!$C93,+IF(O$8='5.Variables'!$B$98,+'5.Variables'!$C107,0))))))</f>
        <v>-16.170400000000001</v>
      </c>
      <c r="P94" s="267">
        <f>IF(P$8='5.Variables'!$B$10,+'5.Variables'!$C28,+IF(P$8='5.Variables'!$B$33,+'5.Variables'!$C51,+IF(P$8='5.Variables'!$B$56,+'5.Variables'!$C65,+IF(P$8='5.Variables'!$B$70,+'5.Variables'!$C79,+IF(P$8='5.Variables'!$B$84,+'5.Variables'!$C93,+IF(P$8='5.Variables'!$B$98,+'5.Variables'!$C107,0))))))</f>
        <v>31</v>
      </c>
      <c r="Q94" s="240"/>
      <c r="R94" s="268">
        <f t="shared" si="13"/>
        <v>13201292.787133802</v>
      </c>
      <c r="S94" s="272"/>
      <c r="T94" s="240"/>
      <c r="U94" s="240"/>
      <c r="V94" s="240"/>
      <c r="W94" s="240"/>
      <c r="X94" s="240"/>
      <c r="Y94" s="240"/>
      <c r="Z94" s="240"/>
      <c r="AA94" s="240"/>
      <c r="AB94" s="240"/>
      <c r="AC94" s="240"/>
      <c r="AD94" s="240"/>
      <c r="AE94" s="240"/>
      <c r="AF94" s="240"/>
      <c r="AG94" s="240"/>
      <c r="AH94" s="240"/>
      <c r="AI94" s="240"/>
      <c r="AJ94" s="240"/>
      <c r="AK94" s="240"/>
      <c r="AL94" s="240"/>
      <c r="AM94" s="240"/>
    </row>
    <row r="95" spans="1:39" x14ac:dyDescent="0.2">
      <c r="A95" s="675">
        <f t="shared" si="15"/>
        <v>86</v>
      </c>
      <c r="B95" s="266" t="str">
        <f>CONCATENATE('3. Consumption by Rate Class'!B101,"-",'3. Consumption by Rate Class'!C101)</f>
        <v>2012-February</v>
      </c>
      <c r="C95" s="730">
        <v>11066207</v>
      </c>
      <c r="D95" s="252">
        <f>+'X.1.CDM Calculation'!H92</f>
        <v>210107.40857583773</v>
      </c>
      <c r="E95" s="731"/>
      <c r="F95" s="252">
        <v>4206.04</v>
      </c>
      <c r="G95" s="252"/>
      <c r="H95" s="731"/>
      <c r="I95" s="731"/>
      <c r="J95" s="268">
        <f t="shared" si="14"/>
        <v>11280520.448575838</v>
      </c>
      <c r="K95" s="267">
        <f>IF(K$8='5.Variables'!$B$10,+'5.Variables'!$D28,+IF(K$8='5.Variables'!$B$33,+'5.Variables'!$D51,+IF(K$8='5.Variables'!$B$56,+'5.Variables'!$D65,+IF(K$8='5.Variables'!$B$70,+'5.Variables'!$D79,+IF(K$8='5.Variables'!$B$84,+'5.Variables'!$D93,+IF(K$8='5.Variables'!$B$98,+'5.Variables'!$D107,0))))))</f>
        <v>12410</v>
      </c>
      <c r="L95" s="267">
        <f>IF(L$8='5.Variables'!$B$10,+'5.Variables'!$D28,+IF(L$8='5.Variables'!$B$33,+'5.Variables'!$D51,+IF(L$8='5.Variables'!$B$56,+'5.Variables'!$D65,+IF(L$8='5.Variables'!$B$70,+'5.Variables'!$D79,+IF(L$8='5.Variables'!$B$84,+'5.Variables'!$D93,+IF(L$8='5.Variables'!$B$98,+'5.Variables'!$D107,0))))))</f>
        <v>551.6</v>
      </c>
      <c r="M95" s="267">
        <f>IF(M$8='5.Variables'!$B$10,+'5.Variables'!$D28,+IF(M$8='5.Variables'!$B$33,+'5.Variables'!$D51,+IF(M$8='5.Variables'!$B$56,+'5.Variables'!$D65,+IF(M$8='5.Variables'!$B$70,+'5.Variables'!$D79,+IF(M$8='5.Variables'!$B$84,+'5.Variables'!$D93,+IF(M$8='5.Variables'!$B$98,+'5.Variables'!$D107,0))))))</f>
        <v>0</v>
      </c>
      <c r="N95" s="267">
        <f>IF(N$8='5.Variables'!$B$10,+'5.Variables'!$D28,+IF(N$8='5.Variables'!$B$33,+'5.Variables'!$D51,+IF(N$8='5.Variables'!$B$56,+'5.Variables'!$D65,+IF(N$8='5.Variables'!$B$70,+'5.Variables'!$D79,+IF(N$8='5.Variables'!$B$84,+'5.Variables'!$D93,+IF(N$8='5.Variables'!$B$98,+'5.Variables'!$D107,0))))))</f>
        <v>0</v>
      </c>
      <c r="O95" s="267">
        <f>IF(O$8='5.Variables'!$B$10,+'5.Variables'!$D28,+IF(O$8='5.Variables'!$B$33,+'5.Variables'!$D51,+IF(O$8='5.Variables'!$B$56,+'5.Variables'!$D65,+IF(O$8='5.Variables'!$B$70,+'5.Variables'!$D79,+IF(O$8='5.Variables'!$B$84,+'5.Variables'!$D93,+IF(O$8='5.Variables'!$B$98,+'5.Variables'!$D107,0))))))</f>
        <v>-16.389899999999997</v>
      </c>
      <c r="P95" s="267">
        <f>IF(P$8='5.Variables'!$B$10,+'5.Variables'!$D28,+IF(P$8='5.Variables'!$B$33,+'5.Variables'!$D51,+IF(P$8='5.Variables'!$B$56,+'5.Variables'!$D65,+IF(P$8='5.Variables'!$B$70,+'5.Variables'!$D79,+IF(P$8='5.Variables'!$B$84,+'5.Variables'!$D93,+IF(P$8='5.Variables'!$B$98,+'5.Variables'!$D107,0))))))</f>
        <v>29</v>
      </c>
      <c r="Q95" s="240"/>
      <c r="R95" s="268">
        <f t="shared" si="13"/>
        <v>11898781.31518244</v>
      </c>
      <c r="S95" s="272"/>
      <c r="T95" s="240"/>
      <c r="U95" s="240"/>
      <c r="V95" s="240"/>
      <c r="W95" s="240"/>
      <c r="X95" s="240"/>
      <c r="Y95" s="240"/>
      <c r="Z95" s="240"/>
      <c r="AA95" s="240"/>
      <c r="AB95" s="240"/>
      <c r="AC95" s="240"/>
      <c r="AD95" s="240"/>
      <c r="AE95" s="240"/>
      <c r="AF95" s="240"/>
      <c r="AG95" s="240"/>
      <c r="AH95" s="240"/>
      <c r="AI95" s="240"/>
      <c r="AJ95" s="240"/>
      <c r="AK95" s="240"/>
      <c r="AL95" s="240"/>
      <c r="AM95" s="240"/>
    </row>
    <row r="96" spans="1:39" x14ac:dyDescent="0.2">
      <c r="A96" s="675">
        <f t="shared" si="15"/>
        <v>87</v>
      </c>
      <c r="B96" s="266" t="str">
        <f>CONCATENATE('3. Consumption by Rate Class'!B102,"-",'3. Consumption by Rate Class'!C102)</f>
        <v>2012-March</v>
      </c>
      <c r="C96" s="730">
        <v>10220160.800000001</v>
      </c>
      <c r="D96" s="252">
        <f>+'X.1.CDM Calculation'!H93</f>
        <v>212348.59300346251</v>
      </c>
      <c r="E96" s="731"/>
      <c r="F96" s="252">
        <v>11809.449999999999</v>
      </c>
      <c r="G96" s="252"/>
      <c r="H96" s="731"/>
      <c r="I96" s="731"/>
      <c r="J96" s="268">
        <f t="shared" si="14"/>
        <v>10444318.843003463</v>
      </c>
      <c r="K96" s="267">
        <f>IF(K$8='5.Variables'!$B$10,+'5.Variables'!$E28,+IF(K$8='5.Variables'!$B$33,+'5.Variables'!$E51,+IF(K$8='5.Variables'!$B$56,+'5.Variables'!$E65,+IF(K$8='5.Variables'!$B$70,+'5.Variables'!$E79,+IF(K$8='5.Variables'!$B$84,+'5.Variables'!$E93,+IF(K$8='5.Variables'!$B$98,+'5.Variables'!$E107,0))))))</f>
        <v>12424</v>
      </c>
      <c r="L96" s="267">
        <f>IF(L$8='5.Variables'!$B$10,+'5.Variables'!$E28,+IF(L$8='5.Variables'!$B$33,+'5.Variables'!$E51,+IF(L$8='5.Variables'!$B$56,+'5.Variables'!$E65,+IF(L$8='5.Variables'!$B$70,+'5.Variables'!$E79,+IF(L$8='5.Variables'!$B$84,+'5.Variables'!$E93,+IF(L$8='5.Variables'!$B$98,+'5.Variables'!$E107,0))))))</f>
        <v>362.4</v>
      </c>
      <c r="M96" s="267">
        <f>IF(M$8='5.Variables'!$B$10,+'5.Variables'!$E28,+IF(M$8='5.Variables'!$B$33,+'5.Variables'!$E51,+IF(M$8='5.Variables'!$B$56,+'5.Variables'!$E65,+IF(M$8='5.Variables'!$B$70,+'5.Variables'!$E79,+IF(M$8='5.Variables'!$B$84,+'5.Variables'!$E93,+IF(M$8='5.Variables'!$B$98,+'5.Variables'!$E107,0))))))</f>
        <v>2.8</v>
      </c>
      <c r="N96" s="267">
        <f>IF(N$8='5.Variables'!$B$10,+'5.Variables'!$E28,+IF(N$8='5.Variables'!$B$33,+'5.Variables'!$E51,+IF(N$8='5.Variables'!$B$56,+'5.Variables'!$E65,+IF(N$8='5.Variables'!$B$70,+'5.Variables'!$E79,+IF(N$8='5.Variables'!$B$84,+'5.Variables'!$E93,+IF(N$8='5.Variables'!$B$98,+'5.Variables'!$E107,0))))))</f>
        <v>1</v>
      </c>
      <c r="O96" s="267">
        <f>IF(O$8='5.Variables'!$B$10,+'5.Variables'!$E28,+IF(O$8='5.Variables'!$B$33,+'5.Variables'!$E51,+IF(O$8='5.Variables'!$B$56,+'5.Variables'!$E65,+IF(O$8='5.Variables'!$B$70,+'5.Variables'!$E79,+IF(O$8='5.Variables'!$B$84,+'5.Variables'!$E93,+IF(O$8='5.Variables'!$B$98,+'5.Variables'!$E107,0))))))</f>
        <v>-16.609400000000001</v>
      </c>
      <c r="P96" s="267">
        <f>IF(P$8='5.Variables'!$B$10,+'5.Variables'!$E28,+IF(P$8='5.Variables'!$B$33,+'5.Variables'!$E51,+IF(P$8='5.Variables'!$B$56,+'5.Variables'!$E65,+IF(P$8='5.Variables'!$B$70,+'5.Variables'!$E79,+IF(P$8='5.Variables'!$B$84,+'5.Variables'!$E93,+IF(P$8='5.Variables'!$B$98,+'5.Variables'!$E107,0))))))</f>
        <v>31</v>
      </c>
      <c r="Q96" s="240"/>
      <c r="R96" s="268">
        <f t="shared" si="13"/>
        <v>10916242.176930044</v>
      </c>
      <c r="S96" s="272"/>
      <c r="T96" s="240"/>
      <c r="U96" s="240"/>
      <c r="V96" s="240"/>
      <c r="W96" s="240"/>
      <c r="X96" s="240"/>
      <c r="Y96" s="240"/>
      <c r="Z96" s="240"/>
      <c r="AA96" s="240"/>
      <c r="AB96" s="240"/>
      <c r="AC96" s="240"/>
      <c r="AD96" s="240"/>
      <c r="AE96" s="240"/>
      <c r="AF96" s="240"/>
      <c r="AG96" s="240"/>
      <c r="AH96" s="240"/>
      <c r="AI96" s="240"/>
      <c r="AJ96" s="240"/>
      <c r="AK96" s="240"/>
      <c r="AL96" s="240"/>
      <c r="AM96" s="240"/>
    </row>
    <row r="97" spans="1:39" x14ac:dyDescent="0.2">
      <c r="A97" s="675">
        <f t="shared" si="15"/>
        <v>88</v>
      </c>
      <c r="B97" s="266" t="str">
        <f>CONCATENATE('3. Consumption by Rate Class'!B103,"-",'3. Consumption by Rate Class'!C103)</f>
        <v>2012-April</v>
      </c>
      <c r="C97" s="730">
        <v>9355929.0999999996</v>
      </c>
      <c r="D97" s="252">
        <f>+'X.1.CDM Calculation'!H94</f>
        <v>214589.77743108728</v>
      </c>
      <c r="E97" s="731">
        <f>135490.65906/1.081*1.0738</f>
        <v>134588.22358800002</v>
      </c>
      <c r="F97" s="252">
        <v>17353.599999999999</v>
      </c>
      <c r="G97" s="252"/>
      <c r="H97" s="731"/>
      <c r="I97" s="731"/>
      <c r="J97" s="268">
        <f>SUM(C97:I97)</f>
        <v>9722460.7010190859</v>
      </c>
      <c r="K97" s="267">
        <f>IF(K$8='5.Variables'!$B$10,+'5.Variables'!$F28,+IF(K$8='5.Variables'!$B$33,+'5.Variables'!$F51,+IF(K$8='5.Variables'!$B$56,+'5.Variables'!$F65,+IF(K$8='5.Variables'!$B$70,+'5.Variables'!$F79,+IF(K$8='5.Variables'!$B$84,+'5.Variables'!$F93,+IF(K$8='5.Variables'!$B$98,+'5.Variables'!$F107,0))))))</f>
        <v>12437</v>
      </c>
      <c r="L97" s="267">
        <f>IF(L$8='5.Variables'!$B$10,+'5.Variables'!$F28,+IF(L$8='5.Variables'!$B$33,+'5.Variables'!$F51,+IF(L$8='5.Variables'!$B$56,+'5.Variables'!$F65,+IF(L$8='5.Variables'!$B$70,+'5.Variables'!$F79,+IF(L$8='5.Variables'!$B$84,+'5.Variables'!$F93,+IF(L$8='5.Variables'!$B$98,+'5.Variables'!$F107,0))))))</f>
        <v>377.9</v>
      </c>
      <c r="M97" s="267">
        <f>IF(M$8='5.Variables'!$B$10,+'5.Variables'!$F28,+IF(M$8='5.Variables'!$B$33,+'5.Variables'!$F51,+IF(M$8='5.Variables'!$B$56,+'5.Variables'!$F65,+IF(M$8='5.Variables'!$B$70,+'5.Variables'!$F79,+IF(M$8='5.Variables'!$B$84,+'5.Variables'!$F93,+IF(M$8='5.Variables'!$B$98,+'5.Variables'!$F107,0))))))</f>
        <v>0</v>
      </c>
      <c r="N97" s="267">
        <f>IF(N$8='5.Variables'!$B$10,+'5.Variables'!$F28,+IF(N$8='5.Variables'!$B$33,+'5.Variables'!$F51,+IF(N$8='5.Variables'!$B$56,+'5.Variables'!$F65,+IF(N$8='5.Variables'!$B$70,+'5.Variables'!$F79,+IF(N$8='5.Variables'!$B$84,+'5.Variables'!$F93,+IF(N$8='5.Variables'!$B$98,+'5.Variables'!$F107,0))))))</f>
        <v>1</v>
      </c>
      <c r="O97" s="267">
        <f>IF(O$8='5.Variables'!$B$10,+'5.Variables'!$F28,+IF(O$8='5.Variables'!$B$33,+'5.Variables'!$F51,+IF(O$8='5.Variables'!$B$56,+'5.Variables'!$F65,+IF(O$8='5.Variables'!$B$70,+'5.Variables'!$F79,+IF(O$8='5.Variables'!$B$84,+'5.Variables'!$F93,+IF(O$8='5.Variables'!$B$98,+'5.Variables'!$F107,0))))))</f>
        <v>-16.828899999999997</v>
      </c>
      <c r="P97" s="267">
        <f>IF(P$8='5.Variables'!$B$10,+'5.Variables'!$F28,+IF(P$8='5.Variables'!$B$33,+'5.Variables'!$F51,+IF(P$8='5.Variables'!$B$56,+'5.Variables'!$F65,+IF(P$8='5.Variables'!$B$70,+'5.Variables'!$F79,+IF(P$8='5.Variables'!$B$84,+'5.Variables'!$F93,+IF(P$8='5.Variables'!$B$98,+'5.Variables'!$F107,0))))))</f>
        <v>30</v>
      </c>
      <c r="Q97" s="240"/>
      <c r="R97" s="268">
        <f t="shared" si="13"/>
        <v>10496936.258530349</v>
      </c>
      <c r="S97" s="272"/>
      <c r="T97" s="240"/>
      <c r="U97" s="240"/>
      <c r="V97" s="240"/>
      <c r="W97" s="240"/>
      <c r="X97" s="240"/>
      <c r="Y97" s="240"/>
      <c r="Z97" s="240"/>
      <c r="AA97" s="240"/>
      <c r="AB97" s="240"/>
      <c r="AC97" s="240"/>
      <c r="AD97" s="240"/>
      <c r="AE97" s="240"/>
      <c r="AF97" s="240"/>
      <c r="AG97" s="240"/>
      <c r="AH97" s="240"/>
      <c r="AI97" s="240"/>
      <c r="AJ97" s="240"/>
      <c r="AK97" s="240"/>
      <c r="AL97" s="240"/>
      <c r="AM97" s="240"/>
    </row>
    <row r="98" spans="1:39" x14ac:dyDescent="0.2">
      <c r="A98" s="675">
        <f t="shared" si="15"/>
        <v>89</v>
      </c>
      <c r="B98" s="266" t="str">
        <f>CONCATENATE('3. Consumption by Rate Class'!B104,"-",'3. Consumption by Rate Class'!C104)</f>
        <v>2012-May</v>
      </c>
      <c r="C98" s="730">
        <v>9317976.0999999996</v>
      </c>
      <c r="D98" s="252">
        <f>+'X.1.CDM Calculation'!H95</f>
        <v>216830.96185871205</v>
      </c>
      <c r="E98" s="731">
        <f>323093.11755/1.081*1.0738</f>
        <v>320941.15599000006</v>
      </c>
      <c r="F98" s="252">
        <v>22001.96</v>
      </c>
      <c r="G98" s="252"/>
      <c r="H98" s="731"/>
      <c r="I98" s="731"/>
      <c r="J98" s="268">
        <f t="shared" si="14"/>
        <v>9877750.1778487135</v>
      </c>
      <c r="K98" s="267">
        <f>IF(K$8='5.Variables'!$B$10,+'5.Variables'!$G28,+IF(K$8='5.Variables'!$B$33,+'5.Variables'!$G51,+IF(K$8='5.Variables'!$B$56,+'5.Variables'!$G65,+IF(K$8='5.Variables'!$B$70,+'5.Variables'!$G79,+IF(K$8='5.Variables'!$B$84,+'5.Variables'!$G93,+IF(K$8='5.Variables'!$B$98,+'5.Variables'!$G107,0))))))</f>
        <v>12454</v>
      </c>
      <c r="L98" s="267">
        <f>IF(L$8='5.Variables'!$B$10,+'5.Variables'!$G28,+IF(L$8='5.Variables'!$B$33,+'5.Variables'!$G51,+IF(L$8='5.Variables'!$B$56,+'5.Variables'!$G65,+IF(L$8='5.Variables'!$B$70,+'5.Variables'!$G79,+IF(L$8='5.Variables'!$B$84,+'5.Variables'!$G93,+IF(L$8='5.Variables'!$B$98,+'5.Variables'!$G107,0))))))</f>
        <v>133.5</v>
      </c>
      <c r="M98" s="267">
        <f>IF(M$8='5.Variables'!$B$10,+'5.Variables'!$G28,+IF(M$8='5.Variables'!$B$33,+'5.Variables'!$G51,+IF(M$8='5.Variables'!$B$56,+'5.Variables'!$G65,+IF(M$8='5.Variables'!$B$70,+'5.Variables'!$G79,+IF(M$8='5.Variables'!$B$84,+'5.Variables'!$G93,+IF(M$8='5.Variables'!$B$98,+'5.Variables'!$G107,0))))))</f>
        <v>24.4</v>
      </c>
      <c r="N98" s="267">
        <f>IF(N$8='5.Variables'!$B$10,+'5.Variables'!$G28,+IF(N$8='5.Variables'!$B$33,+'5.Variables'!$G51,+IF(N$8='5.Variables'!$B$56,+'5.Variables'!$G65,+IF(N$8='5.Variables'!$B$70,+'5.Variables'!$G79,+IF(N$8='5.Variables'!$B$84,+'5.Variables'!$G93,+IF(N$8='5.Variables'!$B$98,+'5.Variables'!$G107,0))))))</f>
        <v>1</v>
      </c>
      <c r="O98" s="267">
        <f>IF(O$8='5.Variables'!$B$10,+'5.Variables'!$G28,+IF(O$8='5.Variables'!$B$33,+'5.Variables'!$G51,+IF(O$8='5.Variables'!$B$56,+'5.Variables'!$G65,+IF(O$8='5.Variables'!$B$70,+'5.Variables'!$G79,+IF(O$8='5.Variables'!$B$84,+'5.Variables'!$G93,+IF(O$8='5.Variables'!$B$98,+'5.Variables'!$G107,0))))))</f>
        <v>-17.048400000000001</v>
      </c>
      <c r="P98" s="267">
        <f>IF(P$8='5.Variables'!$B$10,+'5.Variables'!$G28,+IF(P$8='5.Variables'!$B$33,+'5.Variables'!$G51,+IF(P$8='5.Variables'!$B$56,+'5.Variables'!$G65,+IF(P$8='5.Variables'!$B$70,+'5.Variables'!$G79,+IF(P$8='5.Variables'!$B$84,+'5.Variables'!$G93,+IF(P$8='5.Variables'!$B$98,+'5.Variables'!$G107,0))))))</f>
        <v>31</v>
      </c>
      <c r="Q98" s="240"/>
      <c r="R98" s="268">
        <f t="shared" si="13"/>
        <v>10278371.882583022</v>
      </c>
      <c r="S98" s="272"/>
      <c r="T98" s="240"/>
      <c r="U98" s="240"/>
      <c r="V98" s="240"/>
      <c r="W98" s="240"/>
      <c r="X98" s="240"/>
      <c r="Y98" s="240"/>
      <c r="Z98" s="240"/>
      <c r="AA98" s="240"/>
      <c r="AB98" s="240"/>
      <c r="AC98" s="240"/>
      <c r="AD98" s="240"/>
      <c r="AE98" s="240"/>
      <c r="AF98" s="240"/>
      <c r="AG98" s="240"/>
      <c r="AH98" s="240"/>
      <c r="AI98" s="240"/>
      <c r="AJ98" s="240"/>
      <c r="AK98" s="240"/>
      <c r="AL98" s="240"/>
      <c r="AM98" s="240"/>
    </row>
    <row r="99" spans="1:39" x14ac:dyDescent="0.2">
      <c r="A99" s="675">
        <f t="shared" si="15"/>
        <v>90</v>
      </c>
      <c r="B99" s="266" t="str">
        <f>CONCATENATE('3. Consumption by Rate Class'!B105,"-",'3. Consumption by Rate Class'!C105)</f>
        <v>2012-June</v>
      </c>
      <c r="C99" s="730">
        <v>10449653.800000001</v>
      </c>
      <c r="D99" s="252">
        <f>+'X.1.CDM Calculation'!H96</f>
        <v>219072.14628633682</v>
      </c>
      <c r="E99" s="731">
        <v>352273.72726000001</v>
      </c>
      <c r="F99" s="252">
        <v>22700.930000000004</v>
      </c>
      <c r="G99" s="252"/>
      <c r="H99" s="731"/>
      <c r="I99" s="731"/>
      <c r="J99" s="268">
        <f t="shared" si="14"/>
        <v>11043700.603546336</v>
      </c>
      <c r="K99" s="267">
        <f>IF(K$8='5.Variables'!$B$10,+'5.Variables'!$H28,+IF(K$8='5.Variables'!$B$33,+'5.Variables'!$H51,+IF(K$8='5.Variables'!$B$56,+'5.Variables'!$H65,+IF(K$8='5.Variables'!$B$70,+'5.Variables'!$H79,+IF(K$8='5.Variables'!$B$84,+'5.Variables'!$H93,+IF(K$8='5.Variables'!$B$98,+'5.Variables'!$H107,0))))))</f>
        <v>12473</v>
      </c>
      <c r="L99" s="267">
        <f>IF(L$8='5.Variables'!$B$10,+'5.Variables'!$H28,+IF(L$8='5.Variables'!$B$33,+'5.Variables'!$H51,+IF(L$8='5.Variables'!$B$56,+'5.Variables'!$H65,+IF(L$8='5.Variables'!$B$70,+'5.Variables'!$H79,+IF(L$8='5.Variables'!$B$84,+'5.Variables'!$H93,+IF(L$8='5.Variables'!$B$98,+'5.Variables'!$H107,0))))))</f>
        <v>40.799999999999997</v>
      </c>
      <c r="M99" s="267">
        <f>IF(M$8='5.Variables'!$B$10,+'5.Variables'!$H28,+IF(M$8='5.Variables'!$B$33,+'5.Variables'!$H51,+IF(M$8='5.Variables'!$B$56,+'5.Variables'!$H65,+IF(M$8='5.Variables'!$B$70,+'5.Variables'!$H79,+IF(M$8='5.Variables'!$B$84,+'5.Variables'!$H93,+IF(M$8='5.Variables'!$B$98,+'5.Variables'!$H107,0))))))</f>
        <v>77.8</v>
      </c>
      <c r="N99" s="267">
        <f>IF(N$8='5.Variables'!$B$10,+'5.Variables'!$H28,+IF(N$8='5.Variables'!$B$33,+'5.Variables'!$H51,+IF(N$8='5.Variables'!$B$56,+'5.Variables'!$H65,+IF(N$8='5.Variables'!$B$70,+'5.Variables'!$H79,+IF(N$8='5.Variables'!$B$84,+'5.Variables'!$H93,+IF(N$8='5.Variables'!$B$98,+'5.Variables'!$H107,0))))))</f>
        <v>0</v>
      </c>
      <c r="O99" s="267">
        <f>IF(O$8='5.Variables'!$B$10,+'5.Variables'!$H28,+IF(O$8='5.Variables'!$B$33,+'5.Variables'!$H51,+IF(O$8='5.Variables'!$B$56,+'5.Variables'!$H65,+IF(O$8='5.Variables'!$B$70,+'5.Variables'!$H79,+IF(O$8='5.Variables'!$B$84,+'5.Variables'!$H93,+IF(O$8='5.Variables'!$B$98,+'5.Variables'!$H107,0))))))</f>
        <v>-17.267899999999997</v>
      </c>
      <c r="P99" s="267">
        <f>IF(P$8='5.Variables'!$B$10,+'5.Variables'!$H28,+IF(P$8='5.Variables'!$B$33,+'5.Variables'!$H51,+IF(P$8='5.Variables'!$B$56,+'5.Variables'!$H65,+IF(P$8='5.Variables'!$B$70,+'5.Variables'!$H79,+IF(P$8='5.Variables'!$B$84,+'5.Variables'!$H93,+IF(P$8='5.Variables'!$B$98,+'5.Variables'!$H107,0))))))</f>
        <v>30</v>
      </c>
      <c r="Q99" s="240"/>
      <c r="R99" s="268">
        <f t="shared" si="13"/>
        <v>11726877.129118726</v>
      </c>
      <c r="S99" s="272"/>
      <c r="T99" s="240"/>
      <c r="U99" s="240"/>
      <c r="V99" s="240"/>
      <c r="W99" s="240"/>
      <c r="X99" s="240"/>
      <c r="Y99" s="240"/>
      <c r="Z99" s="240"/>
      <c r="AA99" s="240"/>
      <c r="AB99" s="240"/>
      <c r="AC99" s="240"/>
      <c r="AD99" s="240"/>
      <c r="AE99" s="240"/>
      <c r="AF99" s="240"/>
      <c r="AG99" s="240"/>
      <c r="AH99" s="240"/>
      <c r="AI99" s="240"/>
      <c r="AJ99" s="240"/>
      <c r="AK99" s="240"/>
      <c r="AL99" s="240"/>
      <c r="AM99" s="240"/>
    </row>
    <row r="100" spans="1:39" x14ac:dyDescent="0.2">
      <c r="A100" s="675">
        <f t="shared" si="15"/>
        <v>91</v>
      </c>
      <c r="B100" s="266" t="str">
        <f>CONCATENATE('3. Consumption by Rate Class'!B106,"-",'3. Consumption by Rate Class'!C106)</f>
        <v>2012-July</v>
      </c>
      <c r="C100" s="730">
        <v>13026266.4</v>
      </c>
      <c r="D100" s="252">
        <f>+'X.1.CDM Calculation'!H97</f>
        <v>221313.33071396159</v>
      </c>
      <c r="E100" s="731">
        <v>388111.23314600001</v>
      </c>
      <c r="F100" s="252">
        <v>25320.420000000006</v>
      </c>
      <c r="G100" s="252"/>
      <c r="H100" s="731"/>
      <c r="I100" s="731"/>
      <c r="J100" s="268">
        <f t="shared" si="14"/>
        <v>13661011.383859962</v>
      </c>
      <c r="K100" s="267">
        <f>IF(K$8='5.Variables'!$B$10,+'5.Variables'!$I28,+IF(K$8='5.Variables'!$B$33,+'5.Variables'!$I51,+IF(K$8='5.Variables'!$B$56,+'5.Variables'!$I65,+IF(K$8='5.Variables'!$B$70,+'5.Variables'!$I79,+IF(K$8='5.Variables'!$B$84,+'5.Variables'!$I93,+IF(K$8='5.Variables'!$B$98,+'5.Variables'!$I107,0))))))</f>
        <v>12501</v>
      </c>
      <c r="L100" s="267">
        <f>IF(L$8='5.Variables'!$B$10,+'5.Variables'!$I28,+IF(L$8='5.Variables'!$B$33,+'5.Variables'!$I51,+IF(L$8='5.Variables'!$B$56,+'5.Variables'!$I65,+IF(L$8='5.Variables'!$B$70,+'5.Variables'!$I79,+IF(L$8='5.Variables'!$B$84,+'5.Variables'!$I93,+IF(L$8='5.Variables'!$B$98,+'5.Variables'!$I107,0))))))</f>
        <v>0.2</v>
      </c>
      <c r="M100" s="267">
        <f>IF(M$8='5.Variables'!$B$10,+'5.Variables'!$I28,+IF(M$8='5.Variables'!$B$33,+'5.Variables'!$I51,+IF(M$8='5.Variables'!$B$56,+'5.Variables'!$I65,+IF(M$8='5.Variables'!$B$70,+'5.Variables'!$I79,+IF(M$8='5.Variables'!$B$84,+'5.Variables'!$I93,+IF(M$8='5.Variables'!$B$98,+'5.Variables'!$I107,0))))))</f>
        <v>125.7</v>
      </c>
      <c r="N100" s="267">
        <f>IF(N$8='5.Variables'!$B$10,+'5.Variables'!$I28,+IF(N$8='5.Variables'!$B$33,+'5.Variables'!$I51,+IF(N$8='5.Variables'!$B$56,+'5.Variables'!$I65,+IF(N$8='5.Variables'!$B$70,+'5.Variables'!$I79,+IF(N$8='5.Variables'!$B$84,+'5.Variables'!$I93,+IF(N$8='5.Variables'!$B$98,+'5.Variables'!$I107,0))))))</f>
        <v>0</v>
      </c>
      <c r="O100" s="267">
        <f>IF(O$8='5.Variables'!$B$10,+'5.Variables'!$I28,+IF(O$8='5.Variables'!$B$33,+'5.Variables'!$I51,+IF(O$8='5.Variables'!$B$56,+'5.Variables'!$I65,+IF(O$8='5.Variables'!$B$70,+'5.Variables'!$I79,+IF(O$8='5.Variables'!$B$84,+'5.Variables'!$I93,+IF(O$8='5.Variables'!$B$98,+'5.Variables'!$I107,0))))))</f>
        <v>-17.487400000000001</v>
      </c>
      <c r="P100" s="267">
        <f>IF(P$8='5.Variables'!$B$10,+'5.Variables'!$I28,+IF(P$8='5.Variables'!$B$33,+'5.Variables'!$I51,+IF(P$8='5.Variables'!$B$56,+'5.Variables'!$I65,+IF(P$8='5.Variables'!$B$70,+'5.Variables'!$I79,+IF(P$8='5.Variables'!$B$84,+'5.Variables'!$I93,+IF(P$8='5.Variables'!$B$98,+'5.Variables'!$I107,0))))))</f>
        <v>31</v>
      </c>
      <c r="Q100" s="240"/>
      <c r="R100" s="268">
        <f t="shared" si="13"/>
        <v>13291193.035301529</v>
      </c>
      <c r="S100" s="272"/>
      <c r="T100" s="240"/>
      <c r="U100" s="240"/>
      <c r="V100" s="240"/>
      <c r="W100" s="240"/>
      <c r="X100" s="240"/>
      <c r="Y100" s="240"/>
      <c r="Z100" s="240"/>
      <c r="AA100" s="240"/>
      <c r="AB100" s="240"/>
      <c r="AC100" s="240"/>
      <c r="AD100" s="240"/>
      <c r="AE100" s="240"/>
      <c r="AF100" s="240"/>
      <c r="AG100" s="240"/>
      <c r="AH100" s="240"/>
      <c r="AI100" s="240"/>
      <c r="AJ100" s="240"/>
      <c r="AK100" s="240"/>
      <c r="AL100" s="240"/>
      <c r="AM100" s="240"/>
    </row>
    <row r="101" spans="1:39" x14ac:dyDescent="0.2">
      <c r="A101" s="675">
        <f t="shared" si="15"/>
        <v>92</v>
      </c>
      <c r="B101" s="266" t="str">
        <f>CONCATENATE('3. Consumption by Rate Class'!B107,"-",'3. Consumption by Rate Class'!C107)</f>
        <v>2012-August</v>
      </c>
      <c r="C101" s="730">
        <v>11876916.4</v>
      </c>
      <c r="D101" s="252">
        <f>+'X.1.CDM Calculation'!H98</f>
        <v>223554.51514158637</v>
      </c>
      <c r="E101" s="731">
        <v>379874.63950799999</v>
      </c>
      <c r="F101" s="252">
        <v>22218.57</v>
      </c>
      <c r="G101" s="252"/>
      <c r="H101" s="731"/>
      <c r="I101" s="731"/>
      <c r="J101" s="268">
        <f t="shared" si="14"/>
        <v>12502564.124649586</v>
      </c>
      <c r="K101" s="267">
        <f>IF(K$8='5.Variables'!$B$10,+'5.Variables'!$J28,+IF(K$8='5.Variables'!$B$33,+'5.Variables'!$J51,+IF(K$8='5.Variables'!$B$56,+'5.Variables'!$J65,+IF(K$8='5.Variables'!$B$70,+'5.Variables'!$J79,+IF(K$8='5.Variables'!$B$84,+'5.Variables'!$J93,+IF(K$8='5.Variables'!$B$98,+'5.Variables'!$J107,0))))))</f>
        <v>12521</v>
      </c>
      <c r="L101" s="267">
        <f>IF(L$8='5.Variables'!$B$10,+'5.Variables'!$J28,+IF(L$8='5.Variables'!$B$33,+'5.Variables'!$J51,+IF(L$8='5.Variables'!$B$56,+'5.Variables'!$J65,+IF(L$8='5.Variables'!$B$70,+'5.Variables'!$J79,+IF(L$8='5.Variables'!$B$84,+'5.Variables'!$J93,+IF(L$8='5.Variables'!$B$98,+'5.Variables'!$J107,0))))))</f>
        <v>4.5</v>
      </c>
      <c r="M101" s="267">
        <f>IF(M$8='5.Variables'!$B$10,+'5.Variables'!$J28,+IF(M$8='5.Variables'!$B$33,+'5.Variables'!$J51,+IF(M$8='5.Variables'!$B$56,+'5.Variables'!$J65,+IF(M$8='5.Variables'!$B$70,+'5.Variables'!$J79,+IF(M$8='5.Variables'!$B$84,+'5.Variables'!$J93,+IF(M$8='5.Variables'!$B$98,+'5.Variables'!$J107,0))))))</f>
        <v>84</v>
      </c>
      <c r="N101" s="267">
        <f>IF(N$8='5.Variables'!$B$10,+'5.Variables'!$J28,+IF(N$8='5.Variables'!$B$33,+'5.Variables'!$J51,+IF(N$8='5.Variables'!$B$56,+'5.Variables'!$J65,+IF(N$8='5.Variables'!$B$70,+'5.Variables'!$J79,+IF(N$8='5.Variables'!$B$84,+'5.Variables'!$J93,+IF(N$8='5.Variables'!$B$98,+'5.Variables'!$J107,0))))))</f>
        <v>0</v>
      </c>
      <c r="O101" s="267">
        <f>IF(O$8='5.Variables'!$B$10,+'5.Variables'!$J28,+IF(O$8='5.Variables'!$B$33,+'5.Variables'!$J51,+IF(O$8='5.Variables'!$B$56,+'5.Variables'!$J65,+IF(O$8='5.Variables'!$B$70,+'5.Variables'!$J79,+IF(O$8='5.Variables'!$B$84,+'5.Variables'!$J93,+IF(O$8='5.Variables'!$B$98,+'5.Variables'!$J107,0))))))</f>
        <v>-17.706899999999997</v>
      </c>
      <c r="P101" s="267">
        <f>IF(P$8='5.Variables'!$B$10,+'5.Variables'!$J28,+IF(P$8='5.Variables'!$B$33,+'5.Variables'!$J51,+IF(P$8='5.Variables'!$B$56,+'5.Variables'!$J65,+IF(P$8='5.Variables'!$B$70,+'5.Variables'!$J79,+IF(P$8='5.Variables'!$B$84,+'5.Variables'!$J93,+IF(P$8='5.Variables'!$B$98,+'5.Variables'!$J107,0))))))</f>
        <v>31</v>
      </c>
      <c r="Q101" s="240"/>
      <c r="R101" s="268">
        <f t="shared" si="13"/>
        <v>12172725.459762618</v>
      </c>
      <c r="S101" s="272"/>
      <c r="T101" s="240"/>
      <c r="U101" s="240"/>
      <c r="V101" s="240"/>
      <c r="W101" s="240"/>
      <c r="X101" s="240"/>
      <c r="Y101" s="240"/>
      <c r="Z101" s="240"/>
      <c r="AA101" s="240"/>
      <c r="AB101" s="240"/>
      <c r="AC101" s="240"/>
      <c r="AD101" s="240"/>
      <c r="AE101" s="240"/>
      <c r="AF101" s="240"/>
      <c r="AG101" s="240"/>
      <c r="AH101" s="240"/>
      <c r="AI101" s="240"/>
      <c r="AJ101" s="240"/>
      <c r="AK101" s="240"/>
      <c r="AL101" s="240"/>
      <c r="AM101" s="240"/>
    </row>
    <row r="102" spans="1:39" x14ac:dyDescent="0.2">
      <c r="A102" s="675">
        <f t="shared" si="15"/>
        <v>93</v>
      </c>
      <c r="B102" s="266" t="str">
        <f>CONCATENATE('3. Consumption by Rate Class'!B108,"-",'3. Consumption by Rate Class'!C108)</f>
        <v>2012-September</v>
      </c>
      <c r="C102" s="730">
        <v>9554622.5999999996</v>
      </c>
      <c r="D102" s="252">
        <f>+'X.1.CDM Calculation'!H99</f>
        <v>225795.69956921114</v>
      </c>
      <c r="E102" s="731">
        <v>321735.563968</v>
      </c>
      <c r="F102" s="252">
        <v>19509.539999999997</v>
      </c>
      <c r="G102" s="252"/>
      <c r="H102" s="731"/>
      <c r="I102" s="731"/>
      <c r="J102" s="268">
        <f t="shared" si="14"/>
        <v>10121663.40353721</v>
      </c>
      <c r="K102" s="445">
        <f>IF(K$8='5.Variables'!$B$10,+'5.Variables'!$K28,+IF(K$8='5.Variables'!$B$33,+'5.Variables'!$K51,+IF(K$8='5.Variables'!$B$56,+'5.Variables'!$K65,+IF(K$8='5.Variables'!$B$70,+'5.Variables'!$K79,+IF(K$8='5.Variables'!$B$84,+'5.Variables'!$K93,+IF(K$8='5.Variables'!$B$98,+'5.Variables'!$K107,0))))))</f>
        <v>12538</v>
      </c>
      <c r="L102" s="267">
        <f>IF(L$8='5.Variables'!$B$10,+'5.Variables'!$K28,+IF(L$8='5.Variables'!$B$33,+'5.Variables'!$K51,+IF(L$8='5.Variables'!$B$56,+'5.Variables'!$K65,+IF(L$8='5.Variables'!$B$70,+'5.Variables'!$K79,+IF(L$8='5.Variables'!$B$84,+'5.Variables'!$K93,+IF(L$8='5.Variables'!$B$98,+'5.Variables'!$K107,0))))))</f>
        <v>90.2</v>
      </c>
      <c r="M102" s="267">
        <f>IF(M$8='5.Variables'!$B$10,+'5.Variables'!$K28,+IF(M$8='5.Variables'!$B$33,+'5.Variables'!$K51,+IF(M$8='5.Variables'!$B$56,+'5.Variables'!$K65,+IF(M$8='5.Variables'!$B$70,+'5.Variables'!$K79,+IF(M$8='5.Variables'!$B$84,+'5.Variables'!$K93,+IF(M$8='5.Variables'!$B$98,+'5.Variables'!$K107,0))))))</f>
        <v>24.4</v>
      </c>
      <c r="N102" s="267">
        <f>IF(N$8='5.Variables'!$B$10,+'5.Variables'!$K28,+IF(N$8='5.Variables'!$B$33,+'5.Variables'!$K51,+IF(N$8='5.Variables'!$B$56,+'5.Variables'!$K65,+IF(N$8='5.Variables'!$B$70,+'5.Variables'!$K79,+IF(N$8='5.Variables'!$B$84,+'5.Variables'!$K93,+IF(N$8='5.Variables'!$B$98,+'5.Variables'!$K107,0))))))</f>
        <v>1</v>
      </c>
      <c r="O102" s="267">
        <f>IF(O$8='5.Variables'!$B$10,+'5.Variables'!$K28,+IF(O$8='5.Variables'!$B$33,+'5.Variables'!$K51,+IF(O$8='5.Variables'!$B$56,+'5.Variables'!$K65,+IF(O$8='5.Variables'!$B$70,+'5.Variables'!$K79,+IF(O$8='5.Variables'!$B$84,+'5.Variables'!$K93,+IF(O$8='5.Variables'!$B$98,+'5.Variables'!$K107,0))))))</f>
        <v>-17.926400000000001</v>
      </c>
      <c r="P102" s="267">
        <f>IF(P$8='5.Variables'!$B$10,+'5.Variables'!$K28,+IF(P$8='5.Variables'!$B$33,+'5.Variables'!$K51,+IF(P$8='5.Variables'!$B$56,+'5.Variables'!$K65,+IF(P$8='5.Variables'!$B$70,+'5.Variables'!$K79,+IF(P$8='5.Variables'!$B$84,+'5.Variables'!$K93,+IF(P$8='5.Variables'!$B$98,+'5.Variables'!$K107,0))))))</f>
        <v>30</v>
      </c>
      <c r="Q102" s="240"/>
      <c r="R102" s="268">
        <f t="shared" si="13"/>
        <v>9681049.736548163</v>
      </c>
      <c r="S102" s="272"/>
      <c r="T102" s="240"/>
      <c r="U102" s="240"/>
      <c r="V102" s="240"/>
      <c r="W102" s="240"/>
      <c r="X102" s="240"/>
      <c r="Y102" s="240"/>
      <c r="Z102" s="240"/>
      <c r="AA102" s="240"/>
      <c r="AB102" s="240"/>
      <c r="AC102" s="240"/>
      <c r="AD102" s="240"/>
      <c r="AE102" s="240"/>
      <c r="AF102" s="240"/>
      <c r="AG102" s="240"/>
      <c r="AH102" s="240"/>
      <c r="AI102" s="240"/>
      <c r="AJ102" s="240"/>
      <c r="AK102" s="240"/>
      <c r="AL102" s="240"/>
      <c r="AM102" s="240"/>
    </row>
    <row r="103" spans="1:39" x14ac:dyDescent="0.2">
      <c r="A103" s="675">
        <f t="shared" si="15"/>
        <v>94</v>
      </c>
      <c r="B103" s="266" t="str">
        <f>CONCATENATE('3. Consumption by Rate Class'!B109,"-",'3. Consumption by Rate Class'!C109)</f>
        <v>2012-October</v>
      </c>
      <c r="C103" s="730">
        <v>9583542.6999999993</v>
      </c>
      <c r="D103" s="252">
        <f>+'X.1.CDM Calculation'!H100</f>
        <v>228036.88399683591</v>
      </c>
      <c r="E103" s="731">
        <v>315316.47347200004</v>
      </c>
      <c r="F103" s="252">
        <v>11302.339999999998</v>
      </c>
      <c r="G103" s="252"/>
      <c r="H103" s="731"/>
      <c r="I103" s="731"/>
      <c r="J103" s="268">
        <f t="shared" si="14"/>
        <v>10138198.397468835</v>
      </c>
      <c r="K103" s="445">
        <f>IF(K$8='5.Variables'!$B$10,+'5.Variables'!$L28,+IF(K$8='5.Variables'!$B$33,+'5.Variables'!$L51,+IF(K$8='5.Variables'!$B$56,+'5.Variables'!$L65,+IF(K$8='5.Variables'!$B$70,+'5.Variables'!$L79,+IF(K$8='5.Variables'!$B$84,+'5.Variables'!$L93,+IF(K$8='5.Variables'!$B$98,+'5.Variables'!$L107,0))))))</f>
        <v>12557</v>
      </c>
      <c r="L103" s="267">
        <f>IF(L$8='5.Variables'!$B$10,+'5.Variables'!$L28,+IF(L$8='5.Variables'!$B$33,+'5.Variables'!$L51,+IF(L$8='5.Variables'!$B$56,+'5.Variables'!$L65,+IF(L$8='5.Variables'!$B$70,+'5.Variables'!$L79,+IF(L$8='5.Variables'!$B$84,+'5.Variables'!$L93,+IF(L$8='5.Variables'!$B$98,+'5.Variables'!$L107,0))))))</f>
        <v>235.2</v>
      </c>
      <c r="M103" s="267">
        <f>IF(M$8='5.Variables'!$B$10,+'5.Variables'!$L28,+IF(M$8='5.Variables'!$B$33,+'5.Variables'!$L51,+IF(M$8='5.Variables'!$B$56,+'5.Variables'!$L65,+IF(M$8='5.Variables'!$B$70,+'5.Variables'!$L79,+IF(M$8='5.Variables'!$B$84,+'5.Variables'!$L93,+IF(M$8='5.Variables'!$B$98,+'5.Variables'!$L107,0))))))</f>
        <v>0.1</v>
      </c>
      <c r="N103" s="267">
        <f>IF(N$8='5.Variables'!$B$10,+'5.Variables'!$L28,+IF(N$8='5.Variables'!$B$33,+'5.Variables'!$L51,+IF(N$8='5.Variables'!$B$56,+'5.Variables'!$L65,+IF(N$8='5.Variables'!$B$70,+'5.Variables'!$L79,+IF(N$8='5.Variables'!$B$84,+'5.Variables'!$L93,+IF(N$8='5.Variables'!$B$98,+'5.Variables'!$L107,0))))))</f>
        <v>1</v>
      </c>
      <c r="O103" s="267">
        <f>IF(O$8='5.Variables'!$B$10,+'5.Variables'!$L28,+IF(O$8='5.Variables'!$B$33,+'5.Variables'!$L51,+IF(O$8='5.Variables'!$B$56,+'5.Variables'!$L65,+IF(O$8='5.Variables'!$B$70,+'5.Variables'!$L79,+IF(O$8='5.Variables'!$B$84,+'5.Variables'!$L93,+IF(O$8='5.Variables'!$B$98,+'5.Variables'!$L107,0))))))</f>
        <v>-18.145899999999997</v>
      </c>
      <c r="P103" s="267">
        <f>IF(P$8='5.Variables'!$B$10,+'5.Variables'!$L28,+IF(P$8='5.Variables'!$B$33,+'5.Variables'!$L51,+IF(P$8='5.Variables'!$B$56,+'5.Variables'!$L65,+IF(P$8='5.Variables'!$B$70,+'5.Variables'!$L79,+IF(P$8='5.Variables'!$B$84,+'5.Variables'!$L93,+IF(P$8='5.Variables'!$B$98,+'5.Variables'!$L107,0))))))</f>
        <v>31</v>
      </c>
      <c r="Q103" s="240"/>
      <c r="R103" s="268">
        <f t="shared" si="13"/>
        <v>10236948.62050429</v>
      </c>
      <c r="S103" s="272"/>
      <c r="T103" s="240"/>
      <c r="U103" s="240"/>
      <c r="V103" s="240"/>
      <c r="W103" s="240"/>
      <c r="X103" s="240"/>
      <c r="Y103" s="240"/>
      <c r="Z103" s="240"/>
      <c r="AA103" s="240"/>
      <c r="AB103" s="240"/>
      <c r="AC103" s="240"/>
      <c r="AD103" s="240"/>
      <c r="AE103" s="240"/>
      <c r="AF103" s="240"/>
      <c r="AG103" s="240"/>
      <c r="AH103" s="240"/>
      <c r="AI103" s="240"/>
      <c r="AJ103" s="240"/>
      <c r="AK103" s="240"/>
      <c r="AL103" s="240"/>
      <c r="AM103" s="240"/>
    </row>
    <row r="104" spans="1:39" x14ac:dyDescent="0.2">
      <c r="A104" s="675">
        <f t="shared" si="15"/>
        <v>95</v>
      </c>
      <c r="B104" s="266" t="str">
        <f>CONCATENATE('3. Consumption by Rate Class'!B110,"-",'3. Consumption by Rate Class'!C110)</f>
        <v>2012-November</v>
      </c>
      <c r="C104" s="730">
        <v>10377144.1</v>
      </c>
      <c r="D104" s="252">
        <f>+'X.1.CDM Calculation'!H101</f>
        <v>230278.06842446068</v>
      </c>
      <c r="E104" s="731">
        <v>300792.88821400004</v>
      </c>
      <c r="F104" s="252">
        <v>6987.4900000000007</v>
      </c>
      <c r="G104" s="252"/>
      <c r="H104" s="731"/>
      <c r="I104" s="731"/>
      <c r="J104" s="268">
        <f t="shared" si="14"/>
        <v>10915202.546638461</v>
      </c>
      <c r="K104" s="445">
        <f>IF(K$8='5.Variables'!$B$10,+'5.Variables'!$M28,+IF(K$8='5.Variables'!$B$33,+'5.Variables'!$M51,+IF(K$8='5.Variables'!$B$56,+'5.Variables'!$M65,+IF(K$8='5.Variables'!$B$70,+'5.Variables'!$M79,+IF(K$8='5.Variables'!$B$84,+'5.Variables'!$M93,+IF(K$8='5.Variables'!$B$98,+'5.Variables'!$M107,0))))))</f>
        <v>12571</v>
      </c>
      <c r="L104" s="267">
        <f>IF(L$8='5.Variables'!$B$10,+'5.Variables'!$M28,+IF(L$8='5.Variables'!$B$33,+'5.Variables'!$M51,+IF(L$8='5.Variables'!$B$56,+'5.Variables'!$M65,+IF(L$8='5.Variables'!$B$70,+'5.Variables'!$M79,+IF(L$8='5.Variables'!$B$84,+'5.Variables'!$M93,+IF(L$8='5.Variables'!$B$98,+'5.Variables'!$M107,0))))))</f>
        <v>446</v>
      </c>
      <c r="M104" s="267">
        <f>IF(M$8='5.Variables'!$B$10,+'5.Variables'!$M28,+IF(M$8='5.Variables'!$B$33,+'5.Variables'!$M51,+IF(M$8='5.Variables'!$B$56,+'5.Variables'!$M65,+IF(M$8='5.Variables'!$B$70,+'5.Variables'!$M79,+IF(M$8='5.Variables'!$B$84,+'5.Variables'!$M93,+IF(M$8='5.Variables'!$B$98,+'5.Variables'!$M107,0))))))</f>
        <v>0</v>
      </c>
      <c r="N104" s="267">
        <f>IF(N$8='5.Variables'!$B$10,+'5.Variables'!$M28,+IF(N$8='5.Variables'!$B$33,+'5.Variables'!$M51,+IF(N$8='5.Variables'!$B$56,+'5.Variables'!$M65,+IF(N$8='5.Variables'!$B$70,+'5.Variables'!$M79,+IF(N$8='5.Variables'!$B$84,+'5.Variables'!$M93,+IF(N$8='5.Variables'!$B$98,+'5.Variables'!$M107,0))))))</f>
        <v>1</v>
      </c>
      <c r="O104" s="267">
        <f>IF(O$8='5.Variables'!$B$10,+'5.Variables'!$M28,+IF(O$8='5.Variables'!$B$33,+'5.Variables'!$M51,+IF(O$8='5.Variables'!$B$56,+'5.Variables'!$M65,+IF(O$8='5.Variables'!$B$70,+'5.Variables'!$M79,+IF(O$8='5.Variables'!$B$84,+'5.Variables'!$M93,+IF(O$8='5.Variables'!$B$98,+'5.Variables'!$M107,0))))))</f>
        <v>-18.365400000000001</v>
      </c>
      <c r="P104" s="267">
        <f>IF(P$8='5.Variables'!$B$10,+'5.Variables'!$M28,+IF(P$8='5.Variables'!$B$33,+'5.Variables'!$M51,+IF(P$8='5.Variables'!$B$56,+'5.Variables'!$M65,+IF(P$8='5.Variables'!$B$70,+'5.Variables'!$M79,+IF(P$8='5.Variables'!$B$84,+'5.Variables'!$M93,+IF(P$8='5.Variables'!$B$98,+'5.Variables'!$M107,0))))))</f>
        <v>30</v>
      </c>
      <c r="Q104" s="240"/>
      <c r="R104" s="268">
        <f t="shared" si="13"/>
        <v>10958304.341206554</v>
      </c>
      <c r="S104" s="272"/>
      <c r="T104" s="240"/>
      <c r="U104" s="240"/>
      <c r="V104" s="240"/>
      <c r="W104" s="240"/>
      <c r="X104" s="240"/>
      <c r="Y104" s="240"/>
      <c r="Z104" s="240"/>
      <c r="AA104" s="240"/>
      <c r="AB104" s="240"/>
      <c r="AC104" s="240"/>
      <c r="AD104" s="240"/>
      <c r="AE104" s="240"/>
      <c r="AF104" s="240"/>
      <c r="AG104" s="240"/>
      <c r="AH104" s="240"/>
      <c r="AI104" s="240"/>
      <c r="AJ104" s="240"/>
      <c r="AK104" s="240"/>
      <c r="AL104" s="240"/>
      <c r="AM104" s="240"/>
    </row>
    <row r="105" spans="1:39" x14ac:dyDescent="0.2">
      <c r="A105" s="675">
        <f t="shared" si="15"/>
        <v>96</v>
      </c>
      <c r="B105" s="266" t="str">
        <f>CONCATENATE('3. Consumption by Rate Class'!B111,"-",'3. Consumption by Rate Class'!C111)</f>
        <v>2012-December</v>
      </c>
      <c r="C105" s="730">
        <v>12029428.4</v>
      </c>
      <c r="D105" s="252">
        <f>+'X.1.CDM Calculation'!H102</f>
        <v>232950.24312613939</v>
      </c>
      <c r="E105" s="731">
        <v>327425.47368</v>
      </c>
      <c r="F105" s="252">
        <v>2885.5200000000004</v>
      </c>
      <c r="G105" s="252"/>
      <c r="H105" s="731"/>
      <c r="I105" s="731"/>
      <c r="J105" s="268">
        <f t="shared" si="14"/>
        <v>12592689.63680614</v>
      </c>
      <c r="K105" s="445">
        <f>IF(K$8='5.Variables'!$B$10,+'5.Variables'!$N28,+IF(K$8='5.Variables'!$B$33,+'5.Variables'!$N51,+IF(K$8='5.Variables'!$B$56,+'5.Variables'!$N65,+IF(K$8='5.Variables'!$B$70,+'5.Variables'!$N79,+IF(K$8='5.Variables'!$B$84,+'5.Variables'!$N93,+IF(K$8='5.Variables'!$B$98,+'5.Variables'!$N107,0))))))</f>
        <v>12582</v>
      </c>
      <c r="L105" s="267">
        <f>IF(L$8='5.Variables'!$B$10,+'5.Variables'!$N28,+IF(L$8='5.Variables'!$B$33,+'5.Variables'!$N51,+IF(L$8='5.Variables'!$B$56,+'5.Variables'!$N65,+IF(L$8='5.Variables'!$B$70,+'5.Variables'!$N79,+IF(L$8='5.Variables'!$B$84,+'5.Variables'!$N93,+IF(L$8='5.Variables'!$B$98,+'5.Variables'!$N107,0))))))</f>
        <v>524</v>
      </c>
      <c r="M105" s="267">
        <f>IF(M$8='5.Variables'!$B$10,+'5.Variables'!$N28,+IF(M$8='5.Variables'!$B$33,+'5.Variables'!$N51,+IF(M$8='5.Variables'!$B$56,+'5.Variables'!$N65,+IF(M$8='5.Variables'!$B$70,+'5.Variables'!$N79,+IF(M$8='5.Variables'!$B$84,+'5.Variables'!$N93,+IF(M$8='5.Variables'!$B$98,+'5.Variables'!$N107,0))))))</f>
        <v>0</v>
      </c>
      <c r="N105" s="267">
        <f>IF(N$8='5.Variables'!$B$10,+'5.Variables'!$N28,+IF(N$8='5.Variables'!$B$33,+'5.Variables'!$N51,+IF(N$8='5.Variables'!$B$56,+'5.Variables'!$N65,+IF(N$8='5.Variables'!$B$70,+'5.Variables'!$N79,+IF(N$8='5.Variables'!$B$84,+'5.Variables'!$N93,+IF(N$8='5.Variables'!$B$98,+'5.Variables'!$N107,0))))))</f>
        <v>0</v>
      </c>
      <c r="O105" s="267">
        <f>IF(O$8='5.Variables'!$B$10,+'5.Variables'!$N28,+IF(O$8='5.Variables'!$B$33,+'5.Variables'!$N51,+IF(O$8='5.Variables'!$B$56,+'5.Variables'!$N65,+IF(O$8='5.Variables'!$B$70,+'5.Variables'!$N79,+IF(O$8='5.Variables'!$B$84,+'5.Variables'!$N93,+IF(O$8='5.Variables'!$B$98,+'5.Variables'!$N107,0))))))</f>
        <v>-18.584899999999998</v>
      </c>
      <c r="P105" s="267">
        <f>IF(P$8='5.Variables'!$B$10,+'5.Variables'!$N28,+IF(P$8='5.Variables'!$B$33,+'5.Variables'!$N51,+IF(P$8='5.Variables'!$B$56,+'5.Variables'!$N65,+IF(P$8='5.Variables'!$B$70,+'5.Variables'!$N79,+IF(P$8='5.Variables'!$B$84,+'5.Variables'!$N93,+IF(P$8='5.Variables'!$B$98,+'5.Variables'!$N107,0))))))</f>
        <v>31</v>
      </c>
      <c r="Q105" s="240"/>
      <c r="R105" s="268">
        <f t="shared" si="13"/>
        <v>12695068.801686423</v>
      </c>
      <c r="S105" s="272">
        <f>SUM(R94:R105)</f>
        <v>137553791.54448798</v>
      </c>
      <c r="T105" s="240"/>
      <c r="U105" s="240"/>
      <c r="V105" s="240"/>
      <c r="W105" s="240"/>
      <c r="X105" s="240"/>
      <c r="Y105" s="240"/>
      <c r="Z105" s="240"/>
      <c r="AA105" s="240"/>
      <c r="AB105" s="240"/>
      <c r="AC105" s="240"/>
      <c r="AD105" s="240"/>
      <c r="AE105" s="240"/>
      <c r="AF105" s="240"/>
      <c r="AG105" s="240"/>
      <c r="AH105" s="240"/>
      <c r="AI105" s="240"/>
      <c r="AJ105" s="240"/>
      <c r="AK105" s="240"/>
      <c r="AL105" s="240"/>
      <c r="AM105" s="240"/>
    </row>
    <row r="106" spans="1:39" x14ac:dyDescent="0.2">
      <c r="A106" s="675">
        <f t="shared" si="15"/>
        <v>97</v>
      </c>
      <c r="B106" s="266" t="str">
        <f>CONCATENATE('3. Consumption by Rate Class'!B112,"-",'3. Consumption by Rate Class'!C112)</f>
        <v>2013-January</v>
      </c>
      <c r="C106" s="730">
        <v>12427125.300000001</v>
      </c>
      <c r="D106" s="252">
        <f>+'X.1.CDM Calculation'!H103</f>
        <v>273268.61621282221</v>
      </c>
      <c r="E106" s="731">
        <v>307494.82804999995</v>
      </c>
      <c r="F106" s="252">
        <v>3019.9599999999996</v>
      </c>
      <c r="G106" s="252"/>
      <c r="H106" s="731"/>
      <c r="I106" s="731"/>
      <c r="J106" s="268">
        <f t="shared" si="14"/>
        <v>13010908.704262825</v>
      </c>
      <c r="K106" s="445">
        <f>IF(K$8='5.Variables'!$B$10,+'5.Variables'!$C29,+IF(K$8='5.Variables'!$B$33,+'5.Variables'!$C52,+IF(K$8='5.Variables'!$B$56,+'5.Variables'!$C66,+IF(K$8='5.Variables'!$B$70,+'5.Variables'!$C80,+IF(K$8='5.Variables'!$B$84,+'5.Variables'!$C94,+IF(K$8='5.Variables'!$B$98,+'5.Variables'!$C108,0))))))</f>
        <v>12593</v>
      </c>
      <c r="L106" s="267">
        <f>IF(L$8='5.Variables'!$B$10,+'5.Variables'!$C29,+IF(L$8='5.Variables'!$B$33,+'5.Variables'!$C52,+IF(L$8='5.Variables'!$B$56,+'5.Variables'!$C66,+IF(L$8='5.Variables'!$B$70,+'5.Variables'!$C80,+IF(L$8='5.Variables'!$B$84,+'5.Variables'!$C94,+IF(L$8='5.Variables'!$B$98,+'5.Variables'!$C108,0))))))</f>
        <v>638.9</v>
      </c>
      <c r="M106" s="267">
        <f>IF(M$8='5.Variables'!$B$10,+'5.Variables'!$C29,+IF(M$8='5.Variables'!$B$33,+'5.Variables'!$C52,+IF(M$8='5.Variables'!$B$56,+'5.Variables'!$C66,+IF(M$8='5.Variables'!$B$70,+'5.Variables'!$C80,+IF(M$8='5.Variables'!$B$84,+'5.Variables'!$C94,+IF(M$8='5.Variables'!$B$98,+'5.Variables'!$C108,0))))))</f>
        <v>0</v>
      </c>
      <c r="N106" s="267">
        <f>IF(N$8='5.Variables'!$B$10,+'5.Variables'!$C29,+IF(N$8='5.Variables'!$B$33,+'5.Variables'!$C52,+IF(N$8='5.Variables'!$B$56,+'5.Variables'!$C66,+IF(N$8='5.Variables'!$B$70,+'5.Variables'!$C80,+IF(N$8='5.Variables'!$B$84,+'5.Variables'!$C94,+IF(N$8='5.Variables'!$B$98,+'5.Variables'!$C108,0))))))</f>
        <v>0</v>
      </c>
      <c r="O106" s="267">
        <f>IF(O$8='5.Variables'!$B$10,+'5.Variables'!$C29,+IF(O$8='5.Variables'!$B$33,+'5.Variables'!$C52,+IF(O$8='5.Variables'!$B$56,+'5.Variables'!$C66,+IF(O$8='5.Variables'!$B$70,+'5.Variables'!$C80,+IF(O$8='5.Variables'!$B$84,+'5.Variables'!$C94,+IF(O$8='5.Variables'!$B$98,+'5.Variables'!$C108,0))))))</f>
        <v>-18.804400000000001</v>
      </c>
      <c r="P106" s="267">
        <f>IF(P$8='5.Variables'!$B$10,+'5.Variables'!$C29,+IF(P$8='5.Variables'!$B$33,+'5.Variables'!$C52,+IF(P$8='5.Variables'!$B$56,+'5.Variables'!$C66,+IF(P$8='5.Variables'!$B$70,+'5.Variables'!$C80,+IF(P$8='5.Variables'!$B$84,+'5.Variables'!$C94,+IF(P$8='5.Variables'!$B$98,+'5.Variables'!$C108,0))))))</f>
        <v>31</v>
      </c>
      <c r="Q106" s="240"/>
      <c r="R106" s="268">
        <f t="shared" ref="R106:R137" si="16">$V$24+(K106*$V$25)+(L106*$V$26)+(M106*$V$27)+(N106*$V$28)+(O106*$V$29)+(P106*$V$30)</f>
        <v>13318350.689008158</v>
      </c>
      <c r="S106" s="272"/>
      <c r="T106" s="240"/>
      <c r="U106" s="240"/>
      <c r="V106" s="240"/>
      <c r="W106" s="240"/>
      <c r="X106" s="240"/>
      <c r="Y106" s="240"/>
      <c r="Z106" s="240"/>
      <c r="AA106" s="240"/>
      <c r="AB106" s="240"/>
      <c r="AC106" s="240"/>
      <c r="AD106" s="240"/>
      <c r="AE106" s="240"/>
      <c r="AF106" s="240"/>
      <c r="AG106" s="240"/>
      <c r="AH106" s="240"/>
      <c r="AI106" s="240"/>
      <c r="AJ106" s="240"/>
      <c r="AK106" s="240"/>
      <c r="AL106" s="240"/>
      <c r="AM106" s="240"/>
    </row>
    <row r="107" spans="1:39" x14ac:dyDescent="0.2">
      <c r="A107" s="675">
        <f t="shared" si="15"/>
        <v>98</v>
      </c>
      <c r="B107" s="266" t="str">
        <f>CONCATENATE('3. Consumption by Rate Class'!B113,"-",'3. Consumption by Rate Class'!C113)</f>
        <v>2013-February</v>
      </c>
      <c r="C107" s="731">
        <v>11414727.16</v>
      </c>
      <c r="D107" s="252">
        <f>+'X.1.CDM Calculation'!H104</f>
        <v>270237.34620365122</v>
      </c>
      <c r="E107" s="731">
        <v>277229.94133</v>
      </c>
      <c r="F107" s="252">
        <v>2960.84</v>
      </c>
      <c r="G107" s="252"/>
      <c r="H107" s="731"/>
      <c r="I107" s="731"/>
      <c r="J107" s="268">
        <f t="shared" si="14"/>
        <v>11965155.287533652</v>
      </c>
      <c r="K107" s="445">
        <f>IF(K$8='5.Variables'!$B$10,+'5.Variables'!$D29,+IF(K$8='5.Variables'!$B$33,+'5.Variables'!$D52,+IF(K$8='5.Variables'!$B$56,+'5.Variables'!$D66,+IF(K$8='5.Variables'!$B$70,+'5.Variables'!$D80,+IF(K$8='5.Variables'!$B$84,+'5.Variables'!$D94,+IF(K$8='5.Variables'!$B$98,+'5.Variables'!$D108,0))))))</f>
        <v>12597</v>
      </c>
      <c r="L107" s="267">
        <f>IF(L$8='5.Variables'!$B$10,+'5.Variables'!$D29,+IF(L$8='5.Variables'!$B$33,+'5.Variables'!$D52,+IF(L$8='5.Variables'!$B$56,+'5.Variables'!$D66,+IF(L$8='5.Variables'!$B$70,+'5.Variables'!$D80,+IF(L$8='5.Variables'!$B$84,+'5.Variables'!$D94,+IF(L$8='5.Variables'!$B$98,+'5.Variables'!$D108,0))))))</f>
        <v>647.79999999999995</v>
      </c>
      <c r="M107" s="267">
        <f>IF(M$8='5.Variables'!$B$10,+'5.Variables'!$D29,+IF(M$8='5.Variables'!$B$33,+'5.Variables'!$D52,+IF(M$8='5.Variables'!$B$56,+'5.Variables'!$D66,+IF(M$8='5.Variables'!$B$70,+'5.Variables'!$D80,+IF(M$8='5.Variables'!$B$84,+'5.Variables'!$D94,+IF(M$8='5.Variables'!$B$98,+'5.Variables'!$D108,0))))))</f>
        <v>0</v>
      </c>
      <c r="N107" s="267">
        <f>IF(N$8='5.Variables'!$B$10,+'5.Variables'!$D29,+IF(N$8='5.Variables'!$B$33,+'5.Variables'!$D52,+IF(N$8='5.Variables'!$B$56,+'5.Variables'!$D66,+IF(N$8='5.Variables'!$B$70,+'5.Variables'!$D80,+IF(N$8='5.Variables'!$B$84,+'5.Variables'!$D94,+IF(N$8='5.Variables'!$B$98,+'5.Variables'!$D108,0))))))</f>
        <v>0</v>
      </c>
      <c r="O107" s="267">
        <f>IF(O$8='5.Variables'!$B$10,+'5.Variables'!$D29,+IF(O$8='5.Variables'!$B$33,+'5.Variables'!$D52,+IF(O$8='5.Variables'!$B$56,+'5.Variables'!$D66,+IF(O$8='5.Variables'!$B$70,+'5.Variables'!$D80,+IF(O$8='5.Variables'!$B$84,+'5.Variables'!$D94,+IF(O$8='5.Variables'!$B$98,+'5.Variables'!$D108,0))))))</f>
        <v>-19.023899999999998</v>
      </c>
      <c r="P107" s="267">
        <f>IF(P$8='5.Variables'!$B$10,+'5.Variables'!$D29,+IF(P$8='5.Variables'!$B$33,+'5.Variables'!$D52,+IF(P$8='5.Variables'!$B$56,+'5.Variables'!$D66,+IF(P$8='5.Variables'!$B$70,+'5.Variables'!$D80,+IF(P$8='5.Variables'!$B$84,+'5.Variables'!$D94,+IF(P$8='5.Variables'!$B$98,+'5.Variables'!$D108,0))))))</f>
        <v>28</v>
      </c>
      <c r="Q107" s="240"/>
      <c r="R107" s="268">
        <f t="shared" si="16"/>
        <v>12069004.126552202</v>
      </c>
      <c r="S107" s="272"/>
      <c r="T107" s="240"/>
      <c r="U107" s="240"/>
      <c r="V107" s="240"/>
      <c r="W107" s="240"/>
      <c r="X107" s="240"/>
      <c r="Y107" s="240"/>
      <c r="Z107" s="240"/>
      <c r="AA107" s="240"/>
      <c r="AB107" s="240"/>
      <c r="AC107" s="240"/>
      <c r="AD107" s="240"/>
      <c r="AE107" s="240"/>
      <c r="AF107" s="240"/>
      <c r="AG107" s="240"/>
      <c r="AH107" s="240"/>
      <c r="AI107" s="240"/>
      <c r="AJ107" s="240"/>
      <c r="AK107" s="240"/>
      <c r="AL107" s="240"/>
      <c r="AM107" s="240"/>
    </row>
    <row r="108" spans="1:39" x14ac:dyDescent="0.2">
      <c r="A108" s="675">
        <f t="shared" si="15"/>
        <v>99</v>
      </c>
      <c r="B108" s="266" t="str">
        <f>CONCATENATE('3. Consumption by Rate Class'!B114,"-",'3. Consumption by Rate Class'!C114)</f>
        <v>2013-March</v>
      </c>
      <c r="C108" s="731">
        <v>11410609.51</v>
      </c>
      <c r="D108" s="252">
        <f>+'X.1.CDM Calculation'!H105</f>
        <v>267206.07619448018</v>
      </c>
      <c r="E108" s="731">
        <v>304670.78040999995</v>
      </c>
      <c r="F108" s="252">
        <v>17415.77</v>
      </c>
      <c r="G108" s="252"/>
      <c r="H108" s="731"/>
      <c r="I108" s="731"/>
      <c r="J108" s="268">
        <f t="shared" si="14"/>
        <v>11999902.136604479</v>
      </c>
      <c r="K108" s="445">
        <f>IF(K$8='5.Variables'!$B$10,+'5.Variables'!$E29,+IF(K$8='5.Variables'!$B$33,+'5.Variables'!$E52,+IF(K$8='5.Variables'!$B$56,+'5.Variables'!$E66,+IF(K$8='5.Variables'!$B$70,+'5.Variables'!$E80,+IF(K$8='5.Variables'!$B$84,+'5.Variables'!$E94,+IF(K$8='5.Variables'!$B$98,+'5.Variables'!$E108,0))))))</f>
        <v>12608</v>
      </c>
      <c r="L108" s="267">
        <f>IF(L$8='5.Variables'!$B$10,+'5.Variables'!$E29,+IF(L$8='5.Variables'!$B$33,+'5.Variables'!$E52,+IF(L$8='5.Variables'!$B$56,+'5.Variables'!$E66,+IF(L$8='5.Variables'!$B$70,+'5.Variables'!$E80,+IF(L$8='5.Variables'!$B$84,+'5.Variables'!$E94,+IF(L$8='5.Variables'!$B$98,+'5.Variables'!$E108,0))))))</f>
        <v>582.20000000000005</v>
      </c>
      <c r="M108" s="267">
        <f>IF(M$8='5.Variables'!$B$10,+'5.Variables'!$E29,+IF(M$8='5.Variables'!$B$33,+'5.Variables'!$E52,+IF(M$8='5.Variables'!$B$56,+'5.Variables'!$E66,+IF(M$8='5.Variables'!$B$70,+'5.Variables'!$E80,+IF(M$8='5.Variables'!$B$84,+'5.Variables'!$E94,+IF(M$8='5.Variables'!$B$98,+'5.Variables'!$E108,0))))))</f>
        <v>0</v>
      </c>
      <c r="N108" s="267">
        <f>IF(N$8='5.Variables'!$B$10,+'5.Variables'!$E29,+IF(N$8='5.Variables'!$B$33,+'5.Variables'!$E52,+IF(N$8='5.Variables'!$B$56,+'5.Variables'!$E66,+IF(N$8='5.Variables'!$B$70,+'5.Variables'!$E80,+IF(N$8='5.Variables'!$B$84,+'5.Variables'!$E94,+IF(N$8='5.Variables'!$B$98,+'5.Variables'!$E108,0))))))</f>
        <v>1</v>
      </c>
      <c r="O108" s="267">
        <f>IF(O$8='5.Variables'!$B$10,+'5.Variables'!$E29,+IF(O$8='5.Variables'!$B$33,+'5.Variables'!$E52,+IF(O$8='5.Variables'!$B$56,+'5.Variables'!$E66,+IF(O$8='5.Variables'!$B$70,+'5.Variables'!$E80,+IF(O$8='5.Variables'!$B$84,+'5.Variables'!$E94,+IF(O$8='5.Variables'!$B$98,+'5.Variables'!$E108,0))))))</f>
        <v>-19.243400000000001</v>
      </c>
      <c r="P108" s="267">
        <f>IF(P$8='5.Variables'!$B$10,+'5.Variables'!$E29,+IF(P$8='5.Variables'!$B$33,+'5.Variables'!$E52,+IF(P$8='5.Variables'!$B$56,+'5.Variables'!$E66,+IF(P$8='5.Variables'!$B$70,+'5.Variables'!$E80,+IF(P$8='5.Variables'!$B$84,+'5.Variables'!$E94,+IF(P$8='5.Variables'!$B$98,+'5.Variables'!$E108,0))))))</f>
        <v>31</v>
      </c>
      <c r="Q108" s="240"/>
      <c r="R108" s="268">
        <f t="shared" si="16"/>
        <v>12103670.071202029</v>
      </c>
      <c r="S108" s="272"/>
      <c r="T108" s="240"/>
      <c r="U108" s="240"/>
      <c r="V108" s="240"/>
      <c r="W108" s="240"/>
      <c r="X108" s="240"/>
      <c r="Y108" s="240"/>
      <c r="Z108" s="240"/>
      <c r="AA108" s="240"/>
      <c r="AB108" s="240"/>
      <c r="AC108" s="240"/>
      <c r="AD108" s="240"/>
      <c r="AE108" s="240"/>
      <c r="AF108" s="240"/>
      <c r="AG108" s="240"/>
      <c r="AH108" s="240"/>
      <c r="AI108" s="240"/>
      <c r="AJ108" s="240"/>
      <c r="AK108" s="240"/>
      <c r="AL108" s="240"/>
      <c r="AM108" s="240"/>
    </row>
    <row r="109" spans="1:39" x14ac:dyDescent="0.2">
      <c r="A109" s="675">
        <f t="shared" si="15"/>
        <v>100</v>
      </c>
      <c r="B109" s="266" t="str">
        <f>CONCATENATE('3. Consumption by Rate Class'!B115,"-",'3. Consumption by Rate Class'!C115)</f>
        <v>2013-April</v>
      </c>
      <c r="C109" s="731">
        <v>9843368.6199999992</v>
      </c>
      <c r="D109" s="252">
        <f>+'X.1.CDM Calculation'!H106</f>
        <v>264174.80618530913</v>
      </c>
      <c r="E109" s="731">
        <v>299946.30233999999</v>
      </c>
      <c r="F109" s="252">
        <v>21273.699999999997</v>
      </c>
      <c r="G109" s="252"/>
      <c r="H109" s="731"/>
      <c r="I109" s="731"/>
      <c r="J109" s="268">
        <f>SUM(C109:I109)</f>
        <v>10428763.428525308</v>
      </c>
      <c r="K109" s="445">
        <f>IF(K$8='5.Variables'!$B$10,+'5.Variables'!$F29,+IF(K$8='5.Variables'!$B$33,+'5.Variables'!$F52,+IF(K$8='5.Variables'!$B$56,+'5.Variables'!$F66,+IF(K$8='5.Variables'!$B$70,+'5.Variables'!$F80,+IF(K$8='5.Variables'!$B$84,+'5.Variables'!$F94,+IF(K$8='5.Variables'!$B$98,+'5.Variables'!$F108,0))))))</f>
        <v>12620</v>
      </c>
      <c r="L109" s="267">
        <f>IF(L$8='5.Variables'!$B$10,+'5.Variables'!$F29,+IF(L$8='5.Variables'!$B$33,+'5.Variables'!$F52,+IF(L$8='5.Variables'!$B$56,+'5.Variables'!$F66,+IF(L$8='5.Variables'!$B$70,+'5.Variables'!$F80,+IF(L$8='5.Variables'!$B$84,+'5.Variables'!$F94,+IF(L$8='5.Variables'!$B$98,+'5.Variables'!$F108,0))))))</f>
        <v>368.7</v>
      </c>
      <c r="M109" s="267">
        <f>IF(M$8='5.Variables'!$B$10,+'5.Variables'!$F29,+IF(M$8='5.Variables'!$B$33,+'5.Variables'!$F52,+IF(M$8='5.Variables'!$B$56,+'5.Variables'!$F66,+IF(M$8='5.Variables'!$B$70,+'5.Variables'!$F80,+IF(M$8='5.Variables'!$B$84,+'5.Variables'!$F94,+IF(M$8='5.Variables'!$B$98,+'5.Variables'!$F108,0))))))</f>
        <v>0</v>
      </c>
      <c r="N109" s="267">
        <f>IF(N$8='5.Variables'!$B$10,+'5.Variables'!$F29,+IF(N$8='5.Variables'!$B$33,+'5.Variables'!$F52,+IF(N$8='5.Variables'!$B$56,+'5.Variables'!$F66,+IF(N$8='5.Variables'!$B$70,+'5.Variables'!$F80,+IF(N$8='5.Variables'!$B$84,+'5.Variables'!$F94,+IF(N$8='5.Variables'!$B$98,+'5.Variables'!$F108,0))))))</f>
        <v>1</v>
      </c>
      <c r="O109" s="267">
        <f>IF(O$8='5.Variables'!$B$10,+'5.Variables'!$F29,+IF(O$8='5.Variables'!$B$33,+'5.Variables'!$F52,+IF(O$8='5.Variables'!$B$56,+'5.Variables'!$F66,+IF(O$8='5.Variables'!$B$70,+'5.Variables'!$F80,+IF(O$8='5.Variables'!$B$84,+'5.Variables'!$F94,+IF(O$8='5.Variables'!$B$98,+'5.Variables'!$F108,0))))))</f>
        <v>-19.462899999999998</v>
      </c>
      <c r="P109" s="267">
        <f>IF(P$8='5.Variables'!$B$10,+'5.Variables'!$F29,+IF(P$8='5.Variables'!$B$33,+'5.Variables'!$F52,+IF(P$8='5.Variables'!$B$56,+'5.Variables'!$F66,+IF(P$8='5.Variables'!$B$70,+'5.Variables'!$F80,+IF(P$8='5.Variables'!$B$84,+'5.Variables'!$F94,+IF(P$8='5.Variables'!$B$98,+'5.Variables'!$F108,0))))))</f>
        <v>30</v>
      </c>
      <c r="Q109" s="240"/>
      <c r="R109" s="268">
        <f t="shared" si="16"/>
        <v>10512653.580874909</v>
      </c>
      <c r="S109" s="272"/>
      <c r="T109" s="240"/>
      <c r="U109" s="240"/>
      <c r="V109" s="240"/>
      <c r="W109" s="240"/>
      <c r="X109" s="240"/>
      <c r="Y109" s="240"/>
      <c r="Z109" s="240"/>
      <c r="AA109" s="240"/>
      <c r="AB109" s="240"/>
      <c r="AC109" s="240"/>
      <c r="AD109" s="240"/>
      <c r="AE109" s="240"/>
      <c r="AF109" s="240"/>
      <c r="AG109" s="240"/>
      <c r="AH109" s="240"/>
      <c r="AI109" s="240"/>
      <c r="AJ109" s="240"/>
      <c r="AK109" s="240"/>
      <c r="AL109" s="240"/>
      <c r="AM109" s="240"/>
    </row>
    <row r="110" spans="1:39" x14ac:dyDescent="0.2">
      <c r="A110" s="675">
        <f t="shared" si="15"/>
        <v>101</v>
      </c>
      <c r="B110" s="266" t="str">
        <f>CONCATENATE('3. Consumption by Rate Class'!B116,"-",'3. Consumption by Rate Class'!C116)</f>
        <v>2013-May</v>
      </c>
      <c r="C110" s="252">
        <v>9607315.9800000004</v>
      </c>
      <c r="D110" s="252">
        <f>+'X.1.CDM Calculation'!H107</f>
        <v>261143.53617613815</v>
      </c>
      <c r="E110" s="731">
        <v>332852.32068999996</v>
      </c>
      <c r="F110" s="252">
        <v>29336.090000000004</v>
      </c>
      <c r="G110" s="252"/>
      <c r="H110" s="731"/>
      <c r="I110" s="731"/>
      <c r="J110" s="268">
        <f t="shared" si="14"/>
        <v>10230647.926866138</v>
      </c>
      <c r="K110" s="445">
        <f>IF(K$8='5.Variables'!$B$10,+'5.Variables'!$G29,+IF(K$8='5.Variables'!$B$33,+'5.Variables'!$G52,+IF(K$8='5.Variables'!$B$56,+'5.Variables'!$G66,+IF(K$8='5.Variables'!$B$70,+'5.Variables'!$G80,+IF(K$8='5.Variables'!$B$84,+'5.Variables'!$G94,+IF(K$8='5.Variables'!$B$98,+'5.Variables'!$G108,0))))))</f>
        <v>12628</v>
      </c>
      <c r="L110" s="267">
        <f>IF(L$8='5.Variables'!$B$10,+'5.Variables'!$G29,+IF(L$8='5.Variables'!$B$33,+'5.Variables'!$G52,+IF(L$8='5.Variables'!$B$56,+'5.Variables'!$G66,+IF(L$8='5.Variables'!$B$70,+'5.Variables'!$G80,+IF(L$8='5.Variables'!$B$84,+'5.Variables'!$G94,+IF(L$8='5.Variables'!$B$98,+'5.Variables'!$G108,0))))))</f>
        <v>163.69999999999999</v>
      </c>
      <c r="M110" s="267">
        <f>IF(M$8='5.Variables'!$B$10,+'5.Variables'!$G29,+IF(M$8='5.Variables'!$B$33,+'5.Variables'!$G52,+IF(M$8='5.Variables'!$B$56,+'5.Variables'!$G66,+IF(M$8='5.Variables'!$B$70,+'5.Variables'!$G80,+IF(M$8='5.Variables'!$B$84,+'5.Variables'!$G94,+IF(M$8='5.Variables'!$B$98,+'5.Variables'!$G108,0))))))</f>
        <v>15.7</v>
      </c>
      <c r="N110" s="267">
        <f>IF(N$8='5.Variables'!$B$10,+'5.Variables'!$G29,+IF(N$8='5.Variables'!$B$33,+'5.Variables'!$G52,+IF(N$8='5.Variables'!$B$56,+'5.Variables'!$G66,+IF(N$8='5.Variables'!$B$70,+'5.Variables'!$G80,+IF(N$8='5.Variables'!$B$84,+'5.Variables'!$G94,+IF(N$8='5.Variables'!$B$98,+'5.Variables'!$G108,0))))))</f>
        <v>1</v>
      </c>
      <c r="O110" s="267">
        <f>IF(O$8='5.Variables'!$B$10,+'5.Variables'!$G29,+IF(O$8='5.Variables'!$B$33,+'5.Variables'!$G52,+IF(O$8='5.Variables'!$B$56,+'5.Variables'!$G66,+IF(O$8='5.Variables'!$B$70,+'5.Variables'!$G80,+IF(O$8='5.Variables'!$B$84,+'5.Variables'!$G94,+IF(O$8='5.Variables'!$B$98,+'5.Variables'!$G108,0))))))</f>
        <v>-19.682400000000001</v>
      </c>
      <c r="P110" s="267">
        <f>IF(P$8='5.Variables'!$B$10,+'5.Variables'!$G29,+IF(P$8='5.Variables'!$B$33,+'5.Variables'!$G52,+IF(P$8='5.Variables'!$B$56,+'5.Variables'!$G66,+IF(P$8='5.Variables'!$B$70,+'5.Variables'!$G80,+IF(P$8='5.Variables'!$B$84,+'5.Variables'!$G94,+IF(P$8='5.Variables'!$B$98,+'5.Variables'!$G108,0))))))</f>
        <v>31</v>
      </c>
      <c r="Q110" s="240"/>
      <c r="R110" s="268">
        <f t="shared" si="16"/>
        <v>10250270.999217201</v>
      </c>
      <c r="S110" s="272"/>
      <c r="T110" s="240"/>
      <c r="U110" s="240"/>
      <c r="V110" s="240"/>
      <c r="W110" s="240"/>
      <c r="X110" s="240"/>
      <c r="Y110" s="240"/>
      <c r="Z110" s="240"/>
      <c r="AA110" s="240"/>
      <c r="AB110" s="240"/>
      <c r="AC110" s="240"/>
      <c r="AD110" s="240"/>
      <c r="AE110" s="240"/>
      <c r="AF110" s="240"/>
      <c r="AG110" s="240"/>
      <c r="AH110" s="240"/>
      <c r="AI110" s="240"/>
      <c r="AJ110" s="240"/>
      <c r="AK110" s="240"/>
      <c r="AL110" s="240"/>
      <c r="AM110" s="240"/>
    </row>
    <row r="111" spans="1:39" x14ac:dyDescent="0.2">
      <c r="A111" s="675">
        <f t="shared" si="15"/>
        <v>102</v>
      </c>
      <c r="B111" s="266" t="str">
        <f>CONCATENATE('3. Consumption by Rate Class'!B117,"-",'3. Consumption by Rate Class'!C117)</f>
        <v>2013-June</v>
      </c>
      <c r="C111" s="252">
        <v>10146122.73</v>
      </c>
      <c r="D111" s="252">
        <f>+'X.1.CDM Calculation'!H108</f>
        <v>258112.26616696714</v>
      </c>
      <c r="E111" s="731">
        <v>344374.68887999997</v>
      </c>
      <c r="F111" s="252">
        <v>27673.979999999996</v>
      </c>
      <c r="G111" s="252"/>
      <c r="H111" s="731"/>
      <c r="I111" s="731"/>
      <c r="J111" s="268">
        <f t="shared" si="14"/>
        <v>10776283.665046968</v>
      </c>
      <c r="K111" s="445">
        <f>IF(K$8='5.Variables'!$B$10,+'5.Variables'!$H29,+IF(K$8='5.Variables'!$B$33,+'5.Variables'!$H52,+IF(K$8='5.Variables'!$B$56,+'5.Variables'!$H66,+IF(K$8='5.Variables'!$B$70,+'5.Variables'!$H80,+IF(K$8='5.Variables'!$B$84,+'5.Variables'!$H94,+IF(K$8='5.Variables'!$B$98,+'5.Variables'!$H108,0))))))</f>
        <v>12686</v>
      </c>
      <c r="L111" s="267">
        <f>IF(L$8='5.Variables'!$B$10,+'5.Variables'!$H29,+IF(L$8='5.Variables'!$B$33,+'5.Variables'!$H52,+IF(L$8='5.Variables'!$B$56,+'5.Variables'!$H66,+IF(L$8='5.Variables'!$B$70,+'5.Variables'!$H80,+IF(L$8='5.Variables'!$B$84,+'5.Variables'!$H94,+IF(L$8='5.Variables'!$B$98,+'5.Variables'!$H108,0))))))</f>
        <v>73.3</v>
      </c>
      <c r="M111" s="267">
        <f>IF(M$8='5.Variables'!$B$10,+'5.Variables'!$H29,+IF(M$8='5.Variables'!$B$33,+'5.Variables'!$H52,+IF(M$8='5.Variables'!$B$56,+'5.Variables'!$H66,+IF(M$8='5.Variables'!$B$70,+'5.Variables'!$H80,+IF(M$8='5.Variables'!$B$84,+'5.Variables'!$H94,+IF(M$8='5.Variables'!$B$98,+'5.Variables'!$H108,0))))))</f>
        <v>41</v>
      </c>
      <c r="N111" s="267">
        <f>IF(N$8='5.Variables'!$B$10,+'5.Variables'!$H29,+IF(N$8='5.Variables'!$B$33,+'5.Variables'!$H52,+IF(N$8='5.Variables'!$B$56,+'5.Variables'!$H66,+IF(N$8='5.Variables'!$B$70,+'5.Variables'!$H80,+IF(N$8='5.Variables'!$B$84,+'5.Variables'!$H94,+IF(N$8='5.Variables'!$B$98,+'5.Variables'!$H108,0))))))</f>
        <v>0</v>
      </c>
      <c r="O111" s="267">
        <f>IF(O$8='5.Variables'!$B$10,+'5.Variables'!$H29,+IF(O$8='5.Variables'!$B$33,+'5.Variables'!$H52,+IF(O$8='5.Variables'!$B$56,+'5.Variables'!$H66,+IF(O$8='5.Variables'!$B$70,+'5.Variables'!$H80,+IF(O$8='5.Variables'!$B$84,+'5.Variables'!$H94,+IF(O$8='5.Variables'!$B$98,+'5.Variables'!$H108,0))))))</f>
        <v>-19.901899999999998</v>
      </c>
      <c r="P111" s="267">
        <f>IF(P$8='5.Variables'!$B$10,+'5.Variables'!$H29,+IF(P$8='5.Variables'!$B$33,+'5.Variables'!$H52,+IF(P$8='5.Variables'!$B$56,+'5.Variables'!$H66,+IF(P$8='5.Variables'!$B$70,+'5.Variables'!$H80,+IF(P$8='5.Variables'!$B$84,+'5.Variables'!$H94,+IF(P$8='5.Variables'!$B$98,+'5.Variables'!$H108,0))))))</f>
        <v>30</v>
      </c>
      <c r="Q111" s="240"/>
      <c r="R111" s="268">
        <f t="shared" si="16"/>
        <v>11006443.515598534</v>
      </c>
      <c r="S111" s="272"/>
      <c r="T111" s="240"/>
      <c r="U111" s="240"/>
      <c r="V111" s="240"/>
      <c r="W111" s="240"/>
      <c r="X111" s="240"/>
      <c r="Y111" s="240"/>
      <c r="Z111" s="240"/>
      <c r="AA111" s="240"/>
      <c r="AB111" s="240"/>
      <c r="AC111" s="240"/>
      <c r="AD111" s="240"/>
      <c r="AE111" s="240"/>
      <c r="AF111" s="240"/>
      <c r="AG111" s="240"/>
      <c r="AH111" s="240"/>
      <c r="AI111" s="240"/>
      <c r="AJ111" s="240"/>
      <c r="AK111" s="240"/>
      <c r="AL111" s="240"/>
      <c r="AM111" s="240"/>
    </row>
    <row r="112" spans="1:39" x14ac:dyDescent="0.2">
      <c r="A112" s="675">
        <f t="shared" si="15"/>
        <v>103</v>
      </c>
      <c r="B112" s="266" t="str">
        <f>CONCATENATE('3. Consumption by Rate Class'!B118,"-",'3. Consumption by Rate Class'!C118)</f>
        <v>2013-July</v>
      </c>
      <c r="C112" s="252">
        <v>12627370.01</v>
      </c>
      <c r="D112" s="252">
        <f>+'X.1.CDM Calculation'!H109</f>
        <v>255080.99615779609</v>
      </c>
      <c r="E112" s="731">
        <v>373120.74898000003</v>
      </c>
      <c r="F112" s="252">
        <v>27701.600000000002</v>
      </c>
      <c r="G112" s="252"/>
      <c r="H112" s="731"/>
      <c r="I112" s="731"/>
      <c r="J112" s="268">
        <f t="shared" si="14"/>
        <v>13283273.355137795</v>
      </c>
      <c r="K112" s="445">
        <f>IF(K$8='5.Variables'!$B$10,+'5.Variables'!$I29,+IF(K$8='5.Variables'!$B$33,+'5.Variables'!$I52,+IF(K$8='5.Variables'!$B$56,+'5.Variables'!$I66,+IF(K$8='5.Variables'!$B$70,+'5.Variables'!$I80,+IF(K$8='5.Variables'!$B$84,+'5.Variables'!$I94,+IF(K$8='5.Variables'!$B$98,+'5.Variables'!$I108,0))))))</f>
        <v>12684</v>
      </c>
      <c r="L112" s="267">
        <f>IF(L$8='5.Variables'!$B$10,+'5.Variables'!$I29,+IF(L$8='5.Variables'!$B$33,+'5.Variables'!$I52,+IF(L$8='5.Variables'!$B$56,+'5.Variables'!$I66,+IF(L$8='5.Variables'!$B$70,+'5.Variables'!$I80,+IF(L$8='5.Variables'!$B$84,+'5.Variables'!$I94,+IF(L$8='5.Variables'!$B$98,+'5.Variables'!$I108,0))))))</f>
        <v>6.3</v>
      </c>
      <c r="M112" s="267">
        <f>IF(M$8='5.Variables'!$B$10,+'5.Variables'!$I29,+IF(M$8='5.Variables'!$B$33,+'5.Variables'!$I52,+IF(M$8='5.Variables'!$B$56,+'5.Variables'!$I66,+IF(M$8='5.Variables'!$B$70,+'5.Variables'!$I80,+IF(M$8='5.Variables'!$B$84,+'5.Variables'!$I94,+IF(M$8='5.Variables'!$B$98,+'5.Variables'!$I108,0))))))</f>
        <v>96.7</v>
      </c>
      <c r="N112" s="267">
        <f>IF(N$8='5.Variables'!$B$10,+'5.Variables'!$I29,+IF(N$8='5.Variables'!$B$33,+'5.Variables'!$I52,+IF(N$8='5.Variables'!$B$56,+'5.Variables'!$I66,+IF(N$8='5.Variables'!$B$70,+'5.Variables'!$I80,+IF(N$8='5.Variables'!$B$84,+'5.Variables'!$I94,+IF(N$8='5.Variables'!$B$98,+'5.Variables'!$I108,0))))))</f>
        <v>0</v>
      </c>
      <c r="O112" s="267">
        <f>IF(O$8='5.Variables'!$B$10,+'5.Variables'!$I29,+IF(O$8='5.Variables'!$B$33,+'5.Variables'!$I52,+IF(O$8='5.Variables'!$B$56,+'5.Variables'!$I66,+IF(O$8='5.Variables'!$B$70,+'5.Variables'!$I80,+IF(O$8='5.Variables'!$B$84,+'5.Variables'!$I94,+IF(O$8='5.Variables'!$B$98,+'5.Variables'!$I108,0))))))</f>
        <v>-20.121400000000001</v>
      </c>
      <c r="P112" s="267">
        <f>IF(P$8='5.Variables'!$B$10,+'5.Variables'!$I29,+IF(P$8='5.Variables'!$B$33,+'5.Variables'!$I52,+IF(P$8='5.Variables'!$B$56,+'5.Variables'!$I66,+IF(P$8='5.Variables'!$B$70,+'5.Variables'!$I80,+IF(P$8='5.Variables'!$B$84,+'5.Variables'!$I94,+IF(P$8='5.Variables'!$B$98,+'5.Variables'!$I108,0))))))</f>
        <v>31</v>
      </c>
      <c r="Q112" s="240"/>
      <c r="R112" s="268">
        <f t="shared" si="16"/>
        <v>12586015.715524338</v>
      </c>
      <c r="S112" s="272"/>
      <c r="T112" s="240"/>
      <c r="U112" s="240"/>
      <c r="V112" s="240"/>
      <c r="W112" s="240"/>
      <c r="X112" s="240"/>
      <c r="Y112" s="240"/>
      <c r="Z112" s="240"/>
      <c r="AA112" s="240"/>
      <c r="AB112" s="240"/>
      <c r="AC112" s="240"/>
      <c r="AD112" s="240"/>
      <c r="AE112" s="240"/>
      <c r="AF112" s="240"/>
      <c r="AG112" s="240"/>
      <c r="AH112" s="240"/>
      <c r="AI112" s="240"/>
      <c r="AJ112" s="240"/>
      <c r="AK112" s="240"/>
      <c r="AL112" s="240"/>
      <c r="AM112" s="240"/>
    </row>
    <row r="113" spans="1:39" x14ac:dyDescent="0.2">
      <c r="A113" s="675">
        <f t="shared" si="15"/>
        <v>104</v>
      </c>
      <c r="B113" s="266" t="str">
        <f>CONCATENATE('3. Consumption by Rate Class'!B119,"-",'3. Consumption by Rate Class'!C119)</f>
        <v>2013-August</v>
      </c>
      <c r="C113" s="252">
        <v>11481797.800000001</v>
      </c>
      <c r="D113" s="252">
        <f>+'X.1.CDM Calculation'!H110</f>
        <v>252049.72614862508</v>
      </c>
      <c r="E113" s="731">
        <v>370016.53856999998</v>
      </c>
      <c r="F113" s="252">
        <v>26338.820000000003</v>
      </c>
      <c r="G113" s="252"/>
      <c r="H113" s="731"/>
      <c r="I113" s="731"/>
      <c r="J113" s="268">
        <f t="shared" si="14"/>
        <v>12130202.884718627</v>
      </c>
      <c r="K113" s="445">
        <f>IF(K$8='5.Variables'!$B$10,+'5.Variables'!$J29,+IF(K$8='5.Variables'!$B$33,+'5.Variables'!$J52,+IF(K$8='5.Variables'!$B$56,+'5.Variables'!$J66,+IF(K$8='5.Variables'!$B$70,+'5.Variables'!$J80,+IF(K$8='5.Variables'!$B$84,+'5.Variables'!$J94,+IF(K$8='5.Variables'!$B$98,+'5.Variables'!$J108,0))))))</f>
        <v>12731</v>
      </c>
      <c r="L113" s="267">
        <f>IF(L$8='5.Variables'!$B$10,+'5.Variables'!$J29,+IF(L$8='5.Variables'!$B$33,+'5.Variables'!$J52,+IF(L$8='5.Variables'!$B$56,+'5.Variables'!$J66,+IF(L$8='5.Variables'!$B$70,+'5.Variables'!$J80,+IF(L$8='5.Variables'!$B$84,+'5.Variables'!$J94,+IF(L$8='5.Variables'!$B$98,+'5.Variables'!$J108,0))))))</f>
        <v>13.8</v>
      </c>
      <c r="M113" s="267">
        <f>IF(M$8='5.Variables'!$B$10,+'5.Variables'!$J29,+IF(M$8='5.Variables'!$B$33,+'5.Variables'!$J52,+IF(M$8='5.Variables'!$B$56,+'5.Variables'!$J66,+IF(M$8='5.Variables'!$B$70,+'5.Variables'!$J80,+IF(M$8='5.Variables'!$B$84,+'5.Variables'!$J94,+IF(M$8='5.Variables'!$B$98,+'5.Variables'!$J108,0))))))</f>
        <v>63.9</v>
      </c>
      <c r="N113" s="267">
        <f>IF(N$8='5.Variables'!$B$10,+'5.Variables'!$J29,+IF(N$8='5.Variables'!$B$33,+'5.Variables'!$J52,+IF(N$8='5.Variables'!$B$56,+'5.Variables'!$J66,+IF(N$8='5.Variables'!$B$70,+'5.Variables'!$J80,+IF(N$8='5.Variables'!$B$84,+'5.Variables'!$J94,+IF(N$8='5.Variables'!$B$98,+'5.Variables'!$J108,0))))))</f>
        <v>0</v>
      </c>
      <c r="O113" s="267">
        <f>IF(O$8='5.Variables'!$B$10,+'5.Variables'!$J29,+IF(O$8='5.Variables'!$B$33,+'5.Variables'!$J52,+IF(O$8='5.Variables'!$B$56,+'5.Variables'!$J66,+IF(O$8='5.Variables'!$B$70,+'5.Variables'!$J80,+IF(O$8='5.Variables'!$B$84,+'5.Variables'!$J94,+IF(O$8='5.Variables'!$B$98,+'5.Variables'!$J108,0))))))</f>
        <v>-20.340899999999998</v>
      </c>
      <c r="P113" s="267">
        <f>IF(P$8='5.Variables'!$B$10,+'5.Variables'!$J29,+IF(P$8='5.Variables'!$B$33,+'5.Variables'!$J52,+IF(P$8='5.Variables'!$B$56,+'5.Variables'!$J66,+IF(P$8='5.Variables'!$B$70,+'5.Variables'!$J80,+IF(P$8='5.Variables'!$B$84,+'5.Variables'!$J94,+IF(P$8='5.Variables'!$B$98,+'5.Variables'!$J108,0))))))</f>
        <v>31</v>
      </c>
      <c r="Q113" s="240"/>
      <c r="R113" s="268">
        <f t="shared" si="16"/>
        <v>11783318.961481137</v>
      </c>
      <c r="S113" s="272"/>
      <c r="T113" s="240"/>
      <c r="U113" s="240"/>
      <c r="V113" s="240"/>
      <c r="W113" s="240"/>
      <c r="X113" s="240"/>
      <c r="Y113" s="240"/>
      <c r="Z113" s="240"/>
      <c r="AA113" s="240"/>
      <c r="AB113" s="240"/>
      <c r="AC113" s="240"/>
      <c r="AD113" s="240"/>
      <c r="AE113" s="240"/>
      <c r="AF113" s="240"/>
      <c r="AG113" s="240"/>
      <c r="AH113" s="240"/>
      <c r="AI113" s="240"/>
      <c r="AJ113" s="240"/>
      <c r="AK113" s="240"/>
      <c r="AL113" s="240"/>
      <c r="AM113" s="240"/>
    </row>
    <row r="114" spans="1:39" x14ac:dyDescent="0.2">
      <c r="A114" s="675">
        <f t="shared" si="15"/>
        <v>105</v>
      </c>
      <c r="B114" s="266" t="str">
        <f>CONCATENATE('3. Consumption by Rate Class'!B120,"-",'3. Consumption by Rate Class'!C120)</f>
        <v>2013-September</v>
      </c>
      <c r="C114" s="252">
        <v>9549656.1400000006</v>
      </c>
      <c r="D114" s="252">
        <f>+'X.1.CDM Calculation'!H111</f>
        <v>249018.45613945409</v>
      </c>
      <c r="E114" s="731">
        <v>339083.15064000001</v>
      </c>
      <c r="F114" s="252">
        <v>20249.390000000003</v>
      </c>
      <c r="G114" s="252"/>
      <c r="H114" s="731"/>
      <c r="I114" s="731"/>
      <c r="J114" s="268">
        <f t="shared" si="14"/>
        <v>10158007.136779455</v>
      </c>
      <c r="K114" s="445">
        <f>IF(K$8='5.Variables'!$B$10,+'5.Variables'!$K29,+IF(K$8='5.Variables'!$B$33,+'5.Variables'!$K52,+IF(K$8='5.Variables'!$B$56,+'5.Variables'!$K66,+IF(K$8='5.Variables'!$B$70,+'5.Variables'!$K80,+IF(K$8='5.Variables'!$B$84,+'5.Variables'!$K94,+IF(K$8='5.Variables'!$B$98,+'5.Variables'!$K108,0))))))</f>
        <v>12749</v>
      </c>
      <c r="L114" s="267">
        <f>IF(L$8='5.Variables'!$B$10,+'5.Variables'!$K29,+IF(L$8='5.Variables'!$B$33,+'5.Variables'!$K52,+IF(L$8='5.Variables'!$B$56,+'5.Variables'!$K66,+IF(L$8='5.Variables'!$B$70,+'5.Variables'!$K80,+IF(L$8='5.Variables'!$B$84,+'5.Variables'!$K94,+IF(L$8='5.Variables'!$B$98,+'5.Variables'!$K108,0))))))</f>
        <v>103.5</v>
      </c>
      <c r="M114" s="267">
        <f>IF(M$8='5.Variables'!$B$10,+'5.Variables'!$K29,+IF(M$8='5.Variables'!$B$33,+'5.Variables'!$K52,+IF(M$8='5.Variables'!$B$56,+'5.Variables'!$K66,+IF(M$8='5.Variables'!$B$70,+'5.Variables'!$K80,+IF(M$8='5.Variables'!$B$84,+'5.Variables'!$K94,+IF(M$8='5.Variables'!$B$98,+'5.Variables'!$K108,0))))))</f>
        <v>24.1</v>
      </c>
      <c r="N114" s="267">
        <f>IF(N$8='5.Variables'!$B$10,+'5.Variables'!$K29,+IF(N$8='5.Variables'!$B$33,+'5.Variables'!$K52,+IF(N$8='5.Variables'!$B$56,+'5.Variables'!$K66,+IF(N$8='5.Variables'!$B$70,+'5.Variables'!$K80,+IF(N$8='5.Variables'!$B$84,+'5.Variables'!$K94,+IF(N$8='5.Variables'!$B$98,+'5.Variables'!$K108,0))))))</f>
        <v>1</v>
      </c>
      <c r="O114" s="267">
        <f>IF(O$8='5.Variables'!$B$10,+'5.Variables'!$K29,+IF(O$8='5.Variables'!$B$33,+'5.Variables'!$K52,+IF(O$8='5.Variables'!$B$56,+'5.Variables'!$K66,+IF(O$8='5.Variables'!$B$70,+'5.Variables'!$K80,+IF(O$8='5.Variables'!$B$84,+'5.Variables'!$K94,+IF(O$8='5.Variables'!$B$98,+'5.Variables'!$K108,0))))))</f>
        <v>-20.560400000000001</v>
      </c>
      <c r="P114" s="267">
        <f>IF(P$8='5.Variables'!$B$10,+'5.Variables'!$K29,+IF(P$8='5.Variables'!$B$33,+'5.Variables'!$K52,+IF(P$8='5.Variables'!$B$56,+'5.Variables'!$K66,+IF(P$8='5.Variables'!$B$70,+'5.Variables'!$K80,+IF(P$8='5.Variables'!$B$84,+'5.Variables'!$K94,+IF(P$8='5.Variables'!$B$98,+'5.Variables'!$K108,0))))))</f>
        <v>30</v>
      </c>
      <c r="Q114" s="240"/>
      <c r="R114" s="268">
        <f t="shared" si="16"/>
        <v>9864442.6205992438</v>
      </c>
      <c r="S114" s="272"/>
      <c r="T114" s="240"/>
      <c r="U114" s="240"/>
      <c r="V114" s="240"/>
      <c r="W114" s="240"/>
      <c r="X114" s="240"/>
      <c r="Y114" s="240"/>
      <c r="Z114" s="240"/>
      <c r="AA114" s="240"/>
      <c r="AB114" s="240"/>
      <c r="AC114" s="240"/>
      <c r="AD114" s="240"/>
      <c r="AE114" s="240"/>
      <c r="AF114" s="240"/>
      <c r="AG114" s="240"/>
      <c r="AH114" s="240"/>
      <c r="AI114" s="240"/>
      <c r="AJ114" s="240"/>
      <c r="AK114" s="240"/>
      <c r="AL114" s="240"/>
      <c r="AM114" s="240"/>
    </row>
    <row r="115" spans="1:39" x14ac:dyDescent="0.2">
      <c r="A115" s="675">
        <f t="shared" si="15"/>
        <v>106</v>
      </c>
      <c r="B115" s="266" t="str">
        <f>CONCATENATE('3. Consumption by Rate Class'!B121,"-",'3. Consumption by Rate Class'!C121)</f>
        <v>2013-October</v>
      </c>
      <c r="C115" s="252">
        <v>9762325.4000000004</v>
      </c>
      <c r="D115" s="252">
        <f>+'X.1.CDM Calculation'!H112</f>
        <v>245987.18613028308</v>
      </c>
      <c r="E115" s="731">
        <v>327403.92934999999</v>
      </c>
      <c r="F115" s="252">
        <v>13494.43</v>
      </c>
      <c r="G115" s="252"/>
      <c r="H115" s="731"/>
      <c r="I115" s="731"/>
      <c r="J115" s="268">
        <f t="shared" si="14"/>
        <v>10349210.945480283</v>
      </c>
      <c r="K115" s="445">
        <f>IF(K$8='5.Variables'!$B$10,+'5.Variables'!$L29,+IF(K$8='5.Variables'!$B$33,+'5.Variables'!$L52,+IF(K$8='5.Variables'!$B$56,+'5.Variables'!$L66,+IF(K$8='5.Variables'!$B$70,+'5.Variables'!$L80,+IF(K$8='5.Variables'!$B$84,+'5.Variables'!$L94,+IF(K$8='5.Variables'!$B$98,+'5.Variables'!$L108,0))))))</f>
        <v>12817</v>
      </c>
      <c r="L115" s="267">
        <f>IF(L$8='5.Variables'!$B$10,+'5.Variables'!$L29,+IF(L$8='5.Variables'!$B$33,+'5.Variables'!$L52,+IF(L$8='5.Variables'!$B$56,+'5.Variables'!$L66,+IF(L$8='5.Variables'!$B$70,+'5.Variables'!$L80,+IF(L$8='5.Variables'!$B$84,+'5.Variables'!$L94,+IF(L$8='5.Variables'!$B$98,+'5.Variables'!$L108,0))))))</f>
        <v>189.8</v>
      </c>
      <c r="M115" s="267">
        <f>IF(M$8='5.Variables'!$B$10,+'5.Variables'!$L29,+IF(M$8='5.Variables'!$B$33,+'5.Variables'!$L52,+IF(M$8='5.Variables'!$B$56,+'5.Variables'!$L66,+IF(M$8='5.Variables'!$B$70,+'5.Variables'!$L80,+IF(M$8='5.Variables'!$B$84,+'5.Variables'!$L94,+IF(M$8='5.Variables'!$B$98,+'5.Variables'!$L108,0))))))</f>
        <v>0.1</v>
      </c>
      <c r="N115" s="267">
        <f>IF(N$8='5.Variables'!$B$10,+'5.Variables'!$L29,+IF(N$8='5.Variables'!$B$33,+'5.Variables'!$L52,+IF(N$8='5.Variables'!$B$56,+'5.Variables'!$L66,+IF(N$8='5.Variables'!$B$70,+'5.Variables'!$L80,+IF(N$8='5.Variables'!$B$84,+'5.Variables'!$L94,+IF(N$8='5.Variables'!$B$98,+'5.Variables'!$L108,0))))))</f>
        <v>1</v>
      </c>
      <c r="O115" s="267">
        <f>IF(O$8='5.Variables'!$B$10,+'5.Variables'!$L29,+IF(O$8='5.Variables'!$B$33,+'5.Variables'!$L52,+IF(O$8='5.Variables'!$B$56,+'5.Variables'!$L66,+IF(O$8='5.Variables'!$B$70,+'5.Variables'!$L80,+IF(O$8='5.Variables'!$B$84,+'5.Variables'!$L94,+IF(O$8='5.Variables'!$B$98,+'5.Variables'!$L108,0))))))</f>
        <v>-20.779899999999998</v>
      </c>
      <c r="P115" s="267">
        <f>IF(P$8='5.Variables'!$B$10,+'5.Variables'!$L29,+IF(P$8='5.Variables'!$B$33,+'5.Variables'!$L52,+IF(P$8='5.Variables'!$B$56,+'5.Variables'!$L66,+IF(P$8='5.Variables'!$B$70,+'5.Variables'!$L80,+IF(P$8='5.Variables'!$B$84,+'5.Variables'!$L94,+IF(P$8='5.Variables'!$B$98,+'5.Variables'!$L108,0))))))</f>
        <v>31</v>
      </c>
      <c r="Q115" s="240"/>
      <c r="R115" s="268">
        <f t="shared" si="16"/>
        <v>10202399.846011609</v>
      </c>
      <c r="S115" s="272"/>
      <c r="T115" s="240"/>
      <c r="U115" s="240"/>
      <c r="V115" s="240"/>
      <c r="W115" s="240"/>
      <c r="X115" s="240"/>
      <c r="Y115" s="240"/>
      <c r="Z115" s="240"/>
      <c r="AA115" s="240"/>
      <c r="AB115" s="240"/>
      <c r="AC115" s="240"/>
      <c r="AD115" s="240"/>
      <c r="AE115" s="240"/>
      <c r="AF115" s="240"/>
      <c r="AG115" s="240"/>
      <c r="AH115" s="240"/>
      <c r="AI115" s="240"/>
      <c r="AJ115" s="240"/>
      <c r="AK115" s="240"/>
      <c r="AL115" s="240"/>
      <c r="AM115" s="240"/>
    </row>
    <row r="116" spans="1:39" x14ac:dyDescent="0.2">
      <c r="A116" s="675">
        <f t="shared" si="15"/>
        <v>107</v>
      </c>
      <c r="B116" s="266" t="str">
        <f>CONCATENATE('3. Consumption by Rate Class'!B122,"-",'3. Consumption by Rate Class'!C122)</f>
        <v>2013-November</v>
      </c>
      <c r="C116" s="252">
        <v>11051534.07</v>
      </c>
      <c r="D116" s="252">
        <f>+'X.1.CDM Calculation'!H113</f>
        <v>242955.91612111207</v>
      </c>
      <c r="E116" s="731">
        <v>293879.49251999997</v>
      </c>
      <c r="F116" s="252">
        <v>5211.4599999999991</v>
      </c>
      <c r="G116" s="252"/>
      <c r="H116" s="731"/>
      <c r="I116" s="731"/>
      <c r="J116" s="268">
        <f t="shared" si="14"/>
        <v>11593580.938641114</v>
      </c>
      <c r="K116" s="445">
        <f>IF(K$8='5.Variables'!$B$10,+'5.Variables'!$M29,+IF(K$8='5.Variables'!$B$33,+'5.Variables'!$M52,+IF(K$8='5.Variables'!$B$56,+'5.Variables'!$M66,+IF(K$8='5.Variables'!$B$70,+'5.Variables'!$M80,+IF(K$8='5.Variables'!$B$84,+'5.Variables'!$M94,+IF(K$8='5.Variables'!$B$98,+'5.Variables'!$M108,0))))))</f>
        <v>12853</v>
      </c>
      <c r="L116" s="267">
        <f>IF(L$8='5.Variables'!$B$10,+'5.Variables'!$M29,+IF(L$8='5.Variables'!$B$33,+'5.Variables'!$M52,+IF(L$8='5.Variables'!$B$56,+'5.Variables'!$M66,+IF(L$8='5.Variables'!$B$70,+'5.Variables'!$M80,+IF(L$8='5.Variables'!$B$84,+'5.Variables'!$M94,+IF(L$8='5.Variables'!$B$98,+'5.Variables'!$M108,0))))))</f>
        <v>476.7</v>
      </c>
      <c r="M116" s="267">
        <f>IF(M$8='5.Variables'!$B$10,+'5.Variables'!$M29,+IF(M$8='5.Variables'!$B$33,+'5.Variables'!$M52,+IF(M$8='5.Variables'!$B$56,+'5.Variables'!$M66,+IF(M$8='5.Variables'!$B$70,+'5.Variables'!$M80,+IF(M$8='5.Variables'!$B$84,+'5.Variables'!$M94,+IF(M$8='5.Variables'!$B$98,+'5.Variables'!$M108,0))))))</f>
        <v>0</v>
      </c>
      <c r="N116" s="267">
        <f>IF(N$8='5.Variables'!$B$10,+'5.Variables'!$M29,+IF(N$8='5.Variables'!$B$33,+'5.Variables'!$M52,+IF(N$8='5.Variables'!$B$56,+'5.Variables'!$M66,+IF(N$8='5.Variables'!$B$70,+'5.Variables'!$M80,+IF(N$8='5.Variables'!$B$84,+'5.Variables'!$M94,+IF(N$8='5.Variables'!$B$98,+'5.Variables'!$M108,0))))))</f>
        <v>1</v>
      </c>
      <c r="O116" s="267">
        <f>IF(O$8='5.Variables'!$B$10,+'5.Variables'!$M29,+IF(O$8='5.Variables'!$B$33,+'5.Variables'!$M52,+IF(O$8='5.Variables'!$B$56,+'5.Variables'!$M66,+IF(O$8='5.Variables'!$B$70,+'5.Variables'!$M80,+IF(O$8='5.Variables'!$B$84,+'5.Variables'!$M94,+IF(O$8='5.Variables'!$B$98,+'5.Variables'!$M108,0))))))</f>
        <v>-20.999400000000001</v>
      </c>
      <c r="P116" s="267">
        <f>IF(P$8='5.Variables'!$B$10,+'5.Variables'!$M29,+IF(P$8='5.Variables'!$B$33,+'5.Variables'!$M52,+IF(P$8='5.Variables'!$B$56,+'5.Variables'!$M66,+IF(P$8='5.Variables'!$B$70,+'5.Variables'!$M80,+IF(P$8='5.Variables'!$B$84,+'5.Variables'!$M94,+IF(P$8='5.Variables'!$B$98,+'5.Variables'!$M108,0))))))</f>
        <v>30</v>
      </c>
      <c r="Q116" s="240"/>
      <c r="R116" s="268">
        <f t="shared" si="16"/>
        <v>11380282.090535792</v>
      </c>
      <c r="S116" s="272"/>
      <c r="T116" s="240"/>
      <c r="U116" s="240"/>
      <c r="V116" s="240"/>
      <c r="W116" s="240"/>
      <c r="X116" s="240"/>
      <c r="Y116" s="240"/>
      <c r="Z116" s="240"/>
      <c r="AA116" s="240"/>
      <c r="AB116" s="240"/>
      <c r="AC116" s="240"/>
      <c r="AD116" s="240"/>
      <c r="AE116" s="240"/>
      <c r="AF116" s="240"/>
      <c r="AG116" s="240"/>
      <c r="AH116" s="240"/>
      <c r="AI116" s="240"/>
      <c r="AJ116" s="240"/>
      <c r="AK116" s="240"/>
      <c r="AL116" s="240"/>
      <c r="AM116" s="240"/>
    </row>
    <row r="117" spans="1:39" x14ac:dyDescent="0.2">
      <c r="A117" s="675">
        <f t="shared" si="15"/>
        <v>108</v>
      </c>
      <c r="B117" s="266" t="str">
        <f>CONCATENATE('3. Consumption by Rate Class'!B123,"-",'3. Consumption by Rate Class'!C123)</f>
        <v>2013-December</v>
      </c>
      <c r="C117" s="252">
        <v>13539376.789999999</v>
      </c>
      <c r="D117" s="252">
        <f>+'X.1.CDM Calculation'!H114</f>
        <v>239924.64611194105</v>
      </c>
      <c r="E117" s="731">
        <v>315996.59036999999</v>
      </c>
      <c r="F117" s="252">
        <v>1504.3799999999999</v>
      </c>
      <c r="G117" s="252"/>
      <c r="H117" s="731"/>
      <c r="I117" s="731"/>
      <c r="J117" s="268">
        <f t="shared" si="14"/>
        <v>14096802.40648194</v>
      </c>
      <c r="K117" s="445">
        <f>IF(K$8='5.Variables'!$B$10,+'5.Variables'!$N29,+IF(K$8='5.Variables'!$B$33,+'5.Variables'!$N52,+IF(K$8='5.Variables'!$B$56,+'5.Variables'!$N66,+IF(K$8='5.Variables'!$B$70,+'5.Variables'!$N80,+IF(K$8='5.Variables'!$B$84,+'5.Variables'!$N94,+IF(K$8='5.Variables'!$B$98,+'5.Variables'!$N108,0))))))</f>
        <v>12873</v>
      </c>
      <c r="L117" s="267">
        <f>IF(L$8='5.Variables'!$B$10,+'5.Variables'!$N29,+IF(L$8='5.Variables'!$B$33,+'5.Variables'!$N52,+IF(L$8='5.Variables'!$B$56,+'5.Variables'!$N66,+IF(L$8='5.Variables'!$B$70,+'5.Variables'!$N80,+IF(L$8='5.Variables'!$B$84,+'5.Variables'!$N94,+IF(L$8='5.Variables'!$B$98,+'5.Variables'!$N108,0))))))</f>
        <v>717.5</v>
      </c>
      <c r="M117" s="267">
        <f>IF(M$8='5.Variables'!$B$10,+'5.Variables'!$N29,+IF(M$8='5.Variables'!$B$33,+'5.Variables'!$N52,+IF(M$8='5.Variables'!$B$56,+'5.Variables'!$N66,+IF(M$8='5.Variables'!$B$70,+'5.Variables'!$N80,+IF(M$8='5.Variables'!$B$84,+'5.Variables'!$N94,+IF(M$8='5.Variables'!$B$98,+'5.Variables'!$N108,0))))))</f>
        <v>0</v>
      </c>
      <c r="N117" s="267">
        <f>IF(N$8='5.Variables'!$B$10,+'5.Variables'!$N29,+IF(N$8='5.Variables'!$B$33,+'5.Variables'!$N52,+IF(N$8='5.Variables'!$B$56,+'5.Variables'!$N66,+IF(N$8='5.Variables'!$B$70,+'5.Variables'!$N80,+IF(N$8='5.Variables'!$B$84,+'5.Variables'!$N94,+IF(N$8='5.Variables'!$B$98,+'5.Variables'!$N108,0))))))</f>
        <v>0</v>
      </c>
      <c r="O117" s="267">
        <f>IF(O$8='5.Variables'!$B$10,+'5.Variables'!$N29,+IF(O$8='5.Variables'!$B$33,+'5.Variables'!$N52,+IF(O$8='5.Variables'!$B$56,+'5.Variables'!$N66,+IF(O$8='5.Variables'!$B$70,+'5.Variables'!$N80,+IF(O$8='5.Variables'!$B$84,+'5.Variables'!$N94,+IF(O$8='5.Variables'!$B$98,+'5.Variables'!$N108,0))))))</f>
        <v>-21.218899999999998</v>
      </c>
      <c r="P117" s="267">
        <f>IF(P$8='5.Variables'!$B$10,+'5.Variables'!$N29,+IF(P$8='5.Variables'!$B$33,+'5.Variables'!$N52,+IF(P$8='5.Variables'!$B$56,+'5.Variables'!$N66,+IF(P$8='5.Variables'!$B$70,+'5.Variables'!$N80,+IF(P$8='5.Variables'!$B$84,+'5.Variables'!$N94,+IF(P$8='5.Variables'!$B$98,+'5.Variables'!$N108,0))))))</f>
        <v>31</v>
      </c>
      <c r="Q117" s="240"/>
      <c r="R117" s="268">
        <f t="shared" si="16"/>
        <v>14021055.811121685</v>
      </c>
      <c r="S117" s="272">
        <f>SUM(R106:R117)</f>
        <v>139097908.02772683</v>
      </c>
      <c r="T117" s="240"/>
      <c r="U117" s="240"/>
      <c r="V117" s="240"/>
      <c r="W117" s="240"/>
      <c r="X117" s="240"/>
      <c r="Y117" s="240"/>
      <c r="Z117" s="240"/>
      <c r="AA117" s="240"/>
      <c r="AB117" s="240"/>
      <c r="AC117" s="240"/>
      <c r="AD117" s="240"/>
      <c r="AE117" s="240"/>
      <c r="AF117" s="240"/>
      <c r="AG117" s="240"/>
      <c r="AH117" s="240"/>
      <c r="AI117" s="240"/>
      <c r="AJ117" s="240"/>
      <c r="AK117" s="240"/>
      <c r="AL117" s="240"/>
      <c r="AM117" s="240"/>
    </row>
    <row r="118" spans="1:39" x14ac:dyDescent="0.2">
      <c r="A118" s="675">
        <f t="shared" si="15"/>
        <v>109</v>
      </c>
      <c r="B118" s="266" t="str">
        <f>CONCATENATE('3. Consumption by Rate Class'!B124,"-",'3. Consumption by Rate Class'!C124)</f>
        <v>2014-January</v>
      </c>
      <c r="C118" s="252">
        <v>14009823.02</v>
      </c>
      <c r="D118" s="252">
        <f>+'X.1.CDM Calculation'!H115</f>
        <v>260656.90350142098</v>
      </c>
      <c r="E118" s="252">
        <v>303233.54767</v>
      </c>
      <c r="F118" s="252">
        <v>1528.6899999999996</v>
      </c>
      <c r="G118" s="252"/>
      <c r="H118" s="731"/>
      <c r="I118" s="731"/>
      <c r="J118" s="268">
        <f>SUM(C118:I118)</f>
        <v>14575242.16117142</v>
      </c>
      <c r="K118" s="445">
        <f>IF(K$8='5.Variables'!$B$10,+'5.Variables'!$C30,+IF(K$8='5.Variables'!$B$33,+'5.Variables'!$C53,+IF(K$8='5.Variables'!$B$56,+'5.Variables'!$C67,+IF(K$8='5.Variables'!$B$70,+'5.Variables'!$C81,+IF(K$8='5.Variables'!$B$84,+'5.Variables'!$C95,+IF(K$8='5.Variables'!$B$98,+'5.Variables'!$C109,0))))))</f>
        <v>12874</v>
      </c>
      <c r="L118" s="267">
        <f>IF(L$8='5.Variables'!$B$10,+'5.Variables'!$C30,+IF(L$8='5.Variables'!$B$33,+'5.Variables'!$C53,+IF(L$8='5.Variables'!$B$56,+'5.Variables'!$C67,+IF(L$8='5.Variables'!$B$70,+'5.Variables'!$C81,+IF(L$8='5.Variables'!$B$84,+'5.Variables'!$C95,+IF(L$8='5.Variables'!$B$98,+'5.Variables'!$C109,0))))))</f>
        <v>826.1</v>
      </c>
      <c r="M118" s="267">
        <f>IF(M$8='5.Variables'!$B$10,+'5.Variables'!$C30,+IF(M$8='5.Variables'!$B$33,+'5.Variables'!$C53,+IF(M$8='5.Variables'!$B$56,+'5.Variables'!$C67,+IF(M$8='5.Variables'!$B$70,+'5.Variables'!$C81,+IF(M$8='5.Variables'!$B$84,+'5.Variables'!$C95,+IF(M$8='5.Variables'!$B$98,+'5.Variables'!$C109,0))))))</f>
        <v>0</v>
      </c>
      <c r="N118" s="267">
        <f>IF(N$8='5.Variables'!$B$10,+'5.Variables'!$C30,+IF(N$8='5.Variables'!$B$33,+'5.Variables'!$C53,+IF(N$8='5.Variables'!$B$56,+'5.Variables'!$C67,+IF(N$8='5.Variables'!$B$70,+'5.Variables'!$C81,+IF(N$8='5.Variables'!$B$84,+'5.Variables'!$C95,+IF(N$8='5.Variables'!$B$98,+'5.Variables'!$C109,0))))))</f>
        <v>0</v>
      </c>
      <c r="O118" s="267">
        <f>IF(O$8='5.Variables'!$B$10,+'5.Variables'!$C30,+IF(O$8='5.Variables'!$B$33,+'5.Variables'!$C53,+IF(O$8='5.Variables'!$B$56,+'5.Variables'!$C67,+IF(O$8='5.Variables'!$B$70,+'5.Variables'!$C81,+IF(O$8='5.Variables'!$B$84,+'5.Variables'!$C95,+IF(O$8='5.Variables'!$B$98,+'5.Variables'!$C109,0))))))</f>
        <v>-21.438400000000001</v>
      </c>
      <c r="P118" s="267">
        <f>IF(P$8='5.Variables'!$B$10,+'5.Variables'!$C30,+IF(P$8='5.Variables'!$B$33,+'5.Variables'!$C53,+IF(P$8='5.Variables'!$B$56,+'5.Variables'!$C67,+IF(P$8='5.Variables'!$B$70,+'5.Variables'!$C81,+IF(P$8='5.Variables'!$B$84,+'5.Variables'!$C95,+IF(P$8='5.Variables'!$B$98,+'5.Variables'!$C109,0))))))</f>
        <v>31</v>
      </c>
      <c r="Q118" s="240"/>
      <c r="R118" s="268">
        <f t="shared" si="16"/>
        <v>14590937.358956631</v>
      </c>
      <c r="S118" s="272"/>
      <c r="T118" s="240"/>
      <c r="U118" s="240"/>
      <c r="V118" s="240"/>
      <c r="W118" s="240"/>
      <c r="X118" s="240"/>
      <c r="Y118" s="240"/>
      <c r="Z118" s="240"/>
      <c r="AA118" s="240"/>
      <c r="AB118" s="240"/>
      <c r="AC118" s="240"/>
      <c r="AD118" s="240"/>
      <c r="AE118" s="240"/>
      <c r="AF118" s="240"/>
      <c r="AG118" s="240"/>
      <c r="AH118" s="240"/>
      <c r="AI118" s="240"/>
      <c r="AJ118" s="240"/>
      <c r="AK118" s="240"/>
      <c r="AL118" s="240"/>
      <c r="AM118" s="240"/>
    </row>
    <row r="119" spans="1:39" x14ac:dyDescent="0.2">
      <c r="A119" s="675">
        <f t="shared" si="15"/>
        <v>110</v>
      </c>
      <c r="B119" s="266" t="str">
        <f>CONCATENATE('3. Consumption by Rate Class'!B125,"-",'3. Consumption by Rate Class'!C125)</f>
        <v>2014-February</v>
      </c>
      <c r="C119" s="252">
        <v>12185867.460000001</v>
      </c>
      <c r="D119" s="252">
        <f>+'X.1.CDM Calculation'!H116</f>
        <v>264914.6997799325</v>
      </c>
      <c r="E119" s="252">
        <v>268666.46471999999</v>
      </c>
      <c r="F119" s="252">
        <v>3679.3500000000008</v>
      </c>
      <c r="G119" s="252"/>
      <c r="H119" s="731"/>
      <c r="I119" s="731"/>
      <c r="J119" s="268">
        <f t="shared" si="14"/>
        <v>12723127.974499933</v>
      </c>
      <c r="K119" s="445">
        <f>IF(K$8='5.Variables'!$B$10,+'5.Variables'!$D30,+IF(K$8='5.Variables'!$B$33,+'5.Variables'!$D53,+IF(K$8='5.Variables'!$B$56,+'5.Variables'!$D67,+IF(K$8='5.Variables'!$B$70,+'5.Variables'!$D81,+IF(K$8='5.Variables'!$B$84,+'5.Variables'!$D95,+IF(K$8='5.Variables'!$B$98,+'5.Variables'!$D109,0))))))</f>
        <v>12904</v>
      </c>
      <c r="L119" s="267">
        <f>IF(L$8='5.Variables'!$B$10,+'5.Variables'!$D30,+IF(L$8='5.Variables'!$B$33,+'5.Variables'!$D53,+IF(L$8='5.Variables'!$B$56,+'5.Variables'!$D67,+IF(L$8='5.Variables'!$B$70,+'5.Variables'!$D81,+IF(L$8='5.Variables'!$B$84,+'5.Variables'!$D95,+IF(L$8='5.Variables'!$B$98,+'5.Variables'!$D109,0))))))</f>
        <v>740.1</v>
      </c>
      <c r="M119" s="267">
        <f>IF(M$8='5.Variables'!$B$10,+'5.Variables'!$D30,+IF(M$8='5.Variables'!$B$33,+'5.Variables'!$D53,+IF(M$8='5.Variables'!$B$56,+'5.Variables'!$D67,+IF(M$8='5.Variables'!$B$70,+'5.Variables'!$D81,+IF(M$8='5.Variables'!$B$84,+'5.Variables'!$D95,+IF(M$8='5.Variables'!$B$98,+'5.Variables'!$D109,0))))))</f>
        <v>0</v>
      </c>
      <c r="N119" s="267">
        <f>IF(N$8='5.Variables'!$B$10,+'5.Variables'!$D30,+IF(N$8='5.Variables'!$B$33,+'5.Variables'!$D53,+IF(N$8='5.Variables'!$B$56,+'5.Variables'!$D67,+IF(N$8='5.Variables'!$B$70,+'5.Variables'!$D81,+IF(N$8='5.Variables'!$B$84,+'5.Variables'!$D95,+IF(N$8='5.Variables'!$B$98,+'5.Variables'!$D109,0))))))</f>
        <v>0</v>
      </c>
      <c r="O119" s="267">
        <f>IF(O$8='5.Variables'!$B$10,+'5.Variables'!$D30,+IF(O$8='5.Variables'!$B$33,+'5.Variables'!$D53,+IF(O$8='5.Variables'!$B$56,+'5.Variables'!$D67,+IF(O$8='5.Variables'!$B$70,+'5.Variables'!$D81,+IF(O$8='5.Variables'!$B$84,+'5.Variables'!$D95,+IF(O$8='5.Variables'!$B$98,+'5.Variables'!$D109,0))))))</f>
        <v>-21.657899999999998</v>
      </c>
      <c r="P119" s="267">
        <f>IF(P$8='5.Variables'!$B$10,+'5.Variables'!$D30,+IF(P$8='5.Variables'!$B$33,+'5.Variables'!$D53,+IF(P$8='5.Variables'!$B$56,+'5.Variables'!$D67,+IF(P$8='5.Variables'!$B$70,+'5.Variables'!$D81,+IF(P$8='5.Variables'!$B$84,+'5.Variables'!$D95,+IF(P$8='5.Variables'!$B$98,+'5.Variables'!$D109,0))))))</f>
        <v>28</v>
      </c>
      <c r="Q119" s="240"/>
      <c r="R119" s="268">
        <f t="shared" si="16"/>
        <v>12874245.720633168</v>
      </c>
      <c r="S119" s="272"/>
      <c r="T119" s="240"/>
      <c r="U119" s="240"/>
      <c r="V119" s="240"/>
      <c r="W119" s="240"/>
      <c r="X119" s="240"/>
      <c r="Y119" s="240"/>
      <c r="Z119" s="240"/>
      <c r="AA119" s="240"/>
      <c r="AB119" s="240"/>
      <c r="AC119" s="240"/>
      <c r="AD119" s="240"/>
      <c r="AE119" s="240"/>
      <c r="AF119" s="240"/>
      <c r="AG119" s="240"/>
      <c r="AH119" s="240"/>
      <c r="AI119" s="240"/>
      <c r="AJ119" s="240"/>
      <c r="AK119" s="240"/>
      <c r="AL119" s="240"/>
      <c r="AM119" s="240"/>
    </row>
    <row r="120" spans="1:39" x14ac:dyDescent="0.2">
      <c r="A120" s="675">
        <f t="shared" si="15"/>
        <v>111</v>
      </c>
      <c r="B120" s="266" t="str">
        <f>CONCATENATE('3. Consumption by Rate Class'!B126,"-",'3. Consumption by Rate Class'!C126)</f>
        <v>2014-March</v>
      </c>
      <c r="C120" s="252">
        <v>12555380.390000001</v>
      </c>
      <c r="D120" s="252">
        <f>+'X.1.CDM Calculation'!H117</f>
        <v>269172.49605844409</v>
      </c>
      <c r="E120" s="252">
        <v>295672.02834000002</v>
      </c>
      <c r="F120" s="252">
        <v>13600.77</v>
      </c>
      <c r="G120" s="252"/>
      <c r="H120" s="731"/>
      <c r="I120" s="731"/>
      <c r="J120" s="268">
        <f t="shared" si="14"/>
        <v>13133825.684398444</v>
      </c>
      <c r="K120" s="445">
        <f>IF(K$8='5.Variables'!$B$10,+'5.Variables'!$E30,+IF(K$8='5.Variables'!$B$33,+'5.Variables'!$E53,+IF(K$8='5.Variables'!$B$56,+'5.Variables'!$E67,+IF(K$8='5.Variables'!$B$70,+'5.Variables'!$E81,+IF(K$8='5.Variables'!$B$84,+'5.Variables'!$E95,+IF(K$8='5.Variables'!$B$98,+'5.Variables'!$E109,0))))))</f>
        <v>12843</v>
      </c>
      <c r="L120" s="267">
        <f>IF(L$8='5.Variables'!$B$10,+'5.Variables'!$E30,+IF(L$8='5.Variables'!$B$33,+'5.Variables'!$E53,+IF(L$8='5.Variables'!$B$56,+'5.Variables'!$E67,+IF(L$8='5.Variables'!$B$70,+'5.Variables'!$E81,+IF(L$8='5.Variables'!$B$84,+'5.Variables'!$E95,+IF(L$8='5.Variables'!$B$98,+'5.Variables'!$E109,0))))))</f>
        <v>730</v>
      </c>
      <c r="M120" s="267">
        <f>IF(M$8='5.Variables'!$B$10,+'5.Variables'!$E30,+IF(M$8='5.Variables'!$B$33,+'5.Variables'!$E53,+IF(M$8='5.Variables'!$B$56,+'5.Variables'!$E67,+IF(M$8='5.Variables'!$B$70,+'5.Variables'!$E81,+IF(M$8='5.Variables'!$B$84,+'5.Variables'!$E95,+IF(M$8='5.Variables'!$B$98,+'5.Variables'!$E109,0))))))</f>
        <v>0</v>
      </c>
      <c r="N120" s="267">
        <f>IF(N$8='5.Variables'!$B$10,+'5.Variables'!$E30,+IF(N$8='5.Variables'!$B$33,+'5.Variables'!$E53,+IF(N$8='5.Variables'!$B$56,+'5.Variables'!$E67,+IF(N$8='5.Variables'!$B$70,+'5.Variables'!$E81,+IF(N$8='5.Variables'!$B$84,+'5.Variables'!$E95,+IF(N$8='5.Variables'!$B$98,+'5.Variables'!$E109,0))))))</f>
        <v>1</v>
      </c>
      <c r="O120" s="267">
        <f>IF(O$8='5.Variables'!$B$10,+'5.Variables'!$E30,+IF(O$8='5.Variables'!$B$33,+'5.Variables'!$E53,+IF(O$8='5.Variables'!$B$56,+'5.Variables'!$E67,+IF(O$8='5.Variables'!$B$70,+'5.Variables'!$E81,+IF(O$8='5.Variables'!$B$84,+'5.Variables'!$E95,+IF(O$8='5.Variables'!$B$98,+'5.Variables'!$E109,0))))))</f>
        <v>-21.877400000000002</v>
      </c>
      <c r="P120" s="267">
        <f>IF(P$8='5.Variables'!$B$10,+'5.Variables'!$E30,+IF(P$8='5.Variables'!$B$33,+'5.Variables'!$E53,+IF(P$8='5.Variables'!$B$56,+'5.Variables'!$E67,+IF(P$8='5.Variables'!$B$70,+'5.Variables'!$E81,+IF(P$8='5.Variables'!$B$84,+'5.Variables'!$E95,+IF(P$8='5.Variables'!$B$98,+'5.Variables'!$E109,0))))))</f>
        <v>31</v>
      </c>
      <c r="Q120" s="240"/>
      <c r="R120" s="268">
        <f t="shared" si="16"/>
        <v>13073853.33831862</v>
      </c>
      <c r="S120" s="272"/>
      <c r="T120" s="240"/>
      <c r="U120" s="240"/>
      <c r="V120" s="240"/>
      <c r="W120" s="240"/>
      <c r="X120" s="240"/>
      <c r="Y120" s="240"/>
      <c r="Z120" s="240"/>
      <c r="AA120" s="240"/>
      <c r="AB120" s="240"/>
      <c r="AC120" s="240"/>
      <c r="AD120" s="240"/>
      <c r="AE120" s="240"/>
      <c r="AF120" s="240"/>
      <c r="AG120" s="240"/>
      <c r="AH120" s="240"/>
      <c r="AI120" s="240"/>
      <c r="AJ120" s="240"/>
      <c r="AK120" s="240"/>
      <c r="AL120" s="240"/>
      <c r="AM120" s="240"/>
    </row>
    <row r="121" spans="1:39" x14ac:dyDescent="0.2">
      <c r="A121" s="675">
        <f t="shared" si="15"/>
        <v>112</v>
      </c>
      <c r="B121" s="266" t="str">
        <f>CONCATENATE('3. Consumption by Rate Class'!B127,"-",'3. Consumption by Rate Class'!C127)</f>
        <v>2014-April</v>
      </c>
      <c r="C121" s="252">
        <v>10082468.890000001</v>
      </c>
      <c r="D121" s="252">
        <f>+'X.1.CDM Calculation'!H118</f>
        <v>273430.29233695561</v>
      </c>
      <c r="E121" s="252">
        <v>288781.68028999999</v>
      </c>
      <c r="F121" s="252">
        <v>23341.349999999995</v>
      </c>
      <c r="G121" s="252"/>
      <c r="H121" s="731"/>
      <c r="I121" s="731"/>
      <c r="J121" s="268">
        <f t="shared" si="14"/>
        <v>10668022.212626956</v>
      </c>
      <c r="K121" s="445">
        <f>IF(K$8='5.Variables'!$B$10,+'5.Variables'!$F30,+IF(K$8='5.Variables'!$B$33,+'5.Variables'!$F53,+IF(K$8='5.Variables'!$B$56,+'5.Variables'!$F67,+IF(K$8='5.Variables'!$B$70,+'5.Variables'!$F81,+IF(K$8='5.Variables'!$B$84,+'5.Variables'!$F95,+IF(K$8='5.Variables'!$B$98,+'5.Variables'!$F109,0))))))</f>
        <v>12851</v>
      </c>
      <c r="L121" s="267">
        <f>IF(L$8='5.Variables'!$B$10,+'5.Variables'!$F30,+IF(L$8='5.Variables'!$B$33,+'5.Variables'!$F53,+IF(L$8='5.Variables'!$B$56,+'5.Variables'!$F67,+IF(L$8='5.Variables'!$B$70,+'5.Variables'!$F81,+IF(L$8='5.Variables'!$B$84,+'5.Variables'!$F95,+IF(L$8='5.Variables'!$B$98,+'5.Variables'!$F109,0))))))</f>
        <v>389.7</v>
      </c>
      <c r="M121" s="267">
        <f>IF(M$8='5.Variables'!$B$10,+'5.Variables'!$F30,+IF(M$8='5.Variables'!$B$33,+'5.Variables'!$F53,+IF(M$8='5.Variables'!$B$56,+'5.Variables'!$F67,+IF(M$8='5.Variables'!$B$70,+'5.Variables'!$F81,+IF(M$8='5.Variables'!$B$84,+'5.Variables'!$F95,+IF(M$8='5.Variables'!$B$98,+'5.Variables'!$F109,0))))))</f>
        <v>0</v>
      </c>
      <c r="N121" s="267">
        <f>IF(N$8='5.Variables'!$B$10,+'5.Variables'!$F30,+IF(N$8='5.Variables'!$B$33,+'5.Variables'!$F53,+IF(N$8='5.Variables'!$B$56,+'5.Variables'!$F67,+IF(N$8='5.Variables'!$B$70,+'5.Variables'!$F81,+IF(N$8='5.Variables'!$B$84,+'5.Variables'!$F95,+IF(N$8='5.Variables'!$B$98,+'5.Variables'!$F109,0))))))</f>
        <v>1</v>
      </c>
      <c r="O121" s="267">
        <f>IF(O$8='5.Variables'!$B$10,+'5.Variables'!$F30,+IF(O$8='5.Variables'!$B$33,+'5.Variables'!$F53,+IF(O$8='5.Variables'!$B$56,+'5.Variables'!$F67,+IF(O$8='5.Variables'!$B$70,+'5.Variables'!$F81,+IF(O$8='5.Variables'!$B$84,+'5.Variables'!$F95,+IF(O$8='5.Variables'!$B$98,+'5.Variables'!$F109,0))))))</f>
        <v>-22.096899999999998</v>
      </c>
      <c r="P121" s="267">
        <f>IF(P$8='5.Variables'!$B$10,+'5.Variables'!$F30,+IF(P$8='5.Variables'!$B$33,+'5.Variables'!$F53,+IF(P$8='5.Variables'!$B$56,+'5.Variables'!$F67,+IF(P$8='5.Variables'!$B$70,+'5.Variables'!$F81,+IF(P$8='5.Variables'!$B$84,+'5.Variables'!$F95,+IF(P$8='5.Variables'!$B$98,+'5.Variables'!$F109,0))))))</f>
        <v>30</v>
      </c>
      <c r="Q121" s="240"/>
      <c r="R121" s="268">
        <f t="shared" si="16"/>
        <v>10784474.637012541</v>
      </c>
      <c r="S121" s="272"/>
      <c r="T121" s="240"/>
      <c r="U121" s="240"/>
      <c r="V121" s="240"/>
      <c r="W121" s="240"/>
      <c r="X121" s="240"/>
      <c r="Y121" s="240"/>
      <c r="Z121" s="240"/>
      <c r="AA121" s="240"/>
      <c r="AB121" s="240"/>
      <c r="AC121" s="240"/>
      <c r="AD121" s="240"/>
      <c r="AE121" s="240"/>
      <c r="AF121" s="240"/>
      <c r="AG121" s="240"/>
      <c r="AH121" s="240"/>
      <c r="AI121" s="240"/>
      <c r="AJ121" s="240"/>
      <c r="AK121" s="240"/>
      <c r="AL121" s="240"/>
      <c r="AM121" s="240"/>
    </row>
    <row r="122" spans="1:39" x14ac:dyDescent="0.2">
      <c r="A122" s="675">
        <f t="shared" si="15"/>
        <v>113</v>
      </c>
      <c r="B122" s="266" t="str">
        <f>CONCATENATE('3. Consumption by Rate Class'!B128,"-",'3. Consumption by Rate Class'!C128)</f>
        <v>2014-May</v>
      </c>
      <c r="C122" s="252">
        <v>9562255.6600000001</v>
      </c>
      <c r="D122" s="252">
        <f>+'X.1.CDM Calculation'!H119</f>
        <v>277688.08861546719</v>
      </c>
      <c r="E122" s="252">
        <v>315007.90776999999</v>
      </c>
      <c r="F122" s="252">
        <v>30231.269999999993</v>
      </c>
      <c r="G122" s="252"/>
      <c r="H122" s="731"/>
      <c r="I122" s="731"/>
      <c r="J122" s="268">
        <f t="shared" si="14"/>
        <v>10185182.926385468</v>
      </c>
      <c r="K122" s="445">
        <f>IF(K$8='5.Variables'!$B$10,+'5.Variables'!$G30,+IF(K$8='5.Variables'!$B$33,+'5.Variables'!$G53,+IF(K$8='5.Variables'!$B$56,+'5.Variables'!$G67,+IF(K$8='5.Variables'!$B$70,+'5.Variables'!$G81,+IF(K$8='5.Variables'!$B$84,+'5.Variables'!$G95,+IF(K$8='5.Variables'!$B$98,+'5.Variables'!$G109,0))))))</f>
        <v>12850</v>
      </c>
      <c r="L122" s="267">
        <f>IF(L$8='5.Variables'!$B$10,+'5.Variables'!$G30,+IF(L$8='5.Variables'!$B$33,+'5.Variables'!$G53,+IF(L$8='5.Variables'!$B$56,+'5.Variables'!$G67,+IF(L$8='5.Variables'!$B$70,+'5.Variables'!$G81,+IF(L$8='5.Variables'!$B$84,+'5.Variables'!$G95,+IF(L$8='5.Variables'!$B$98,+'5.Variables'!$G109,0))))))</f>
        <v>174.6</v>
      </c>
      <c r="M122" s="267">
        <f>IF(M$8='5.Variables'!$B$10,+'5.Variables'!$G30,+IF(M$8='5.Variables'!$B$33,+'5.Variables'!$G53,+IF(M$8='5.Variables'!$B$56,+'5.Variables'!$G67,+IF(M$8='5.Variables'!$B$70,+'5.Variables'!$G81,+IF(M$8='5.Variables'!$B$84,+'5.Variables'!$G95,+IF(M$8='5.Variables'!$B$98,+'5.Variables'!$G109,0))))))</f>
        <v>4.0999999999999996</v>
      </c>
      <c r="N122" s="267">
        <f>IF(N$8='5.Variables'!$B$10,+'5.Variables'!$G30,+IF(N$8='5.Variables'!$B$33,+'5.Variables'!$G53,+IF(N$8='5.Variables'!$B$56,+'5.Variables'!$G67,+IF(N$8='5.Variables'!$B$70,+'5.Variables'!$G81,+IF(N$8='5.Variables'!$B$84,+'5.Variables'!$G95,+IF(N$8='5.Variables'!$B$98,+'5.Variables'!$G109,0))))))</f>
        <v>1</v>
      </c>
      <c r="O122" s="267">
        <f>IF(O$8='5.Variables'!$B$10,+'5.Variables'!$G30,+IF(O$8='5.Variables'!$B$33,+'5.Variables'!$G53,+IF(O$8='5.Variables'!$B$56,+'5.Variables'!$G67,+IF(O$8='5.Variables'!$B$70,+'5.Variables'!$G81,+IF(O$8='5.Variables'!$B$84,+'5.Variables'!$G95,+IF(O$8='5.Variables'!$B$98,+'5.Variables'!$G109,0))))))</f>
        <v>-22.316400000000002</v>
      </c>
      <c r="P122" s="267">
        <f>IF(P$8='5.Variables'!$B$10,+'5.Variables'!$G30,+IF(P$8='5.Variables'!$B$33,+'5.Variables'!$G53,+IF(P$8='5.Variables'!$B$56,+'5.Variables'!$G67,+IF(P$8='5.Variables'!$B$70,+'5.Variables'!$G81,+IF(P$8='5.Variables'!$B$84,+'5.Variables'!$G95,+IF(P$8='5.Variables'!$B$98,+'5.Variables'!$G109,0))))))</f>
        <v>31</v>
      </c>
      <c r="Q122" s="240"/>
      <c r="R122" s="268">
        <f t="shared" si="16"/>
        <v>10128203.890608879</v>
      </c>
      <c r="S122" s="272"/>
      <c r="T122" s="240"/>
      <c r="U122" s="240"/>
      <c r="V122" s="240"/>
      <c r="W122" s="240"/>
      <c r="X122" s="240"/>
      <c r="Y122" s="240"/>
      <c r="Z122" s="240"/>
      <c r="AA122" s="240"/>
      <c r="AB122" s="240"/>
      <c r="AC122" s="240"/>
      <c r="AD122" s="240"/>
      <c r="AE122" s="240"/>
      <c r="AF122" s="240"/>
      <c r="AG122" s="240"/>
      <c r="AH122" s="240"/>
      <c r="AI122" s="240"/>
      <c r="AJ122" s="240"/>
      <c r="AK122" s="240"/>
      <c r="AL122" s="240"/>
      <c r="AM122" s="240"/>
    </row>
    <row r="123" spans="1:39" x14ac:dyDescent="0.2">
      <c r="A123" s="675">
        <f t="shared" si="15"/>
        <v>114</v>
      </c>
      <c r="B123" s="266" t="str">
        <f>CONCATENATE('3. Consumption by Rate Class'!B129,"-",'3. Consumption by Rate Class'!C129)</f>
        <v>2014-June</v>
      </c>
      <c r="C123" s="252">
        <v>9968997.2799999993</v>
      </c>
      <c r="D123" s="252">
        <f>+'X.1.CDM Calculation'!H120</f>
        <v>281945.88489397877</v>
      </c>
      <c r="E123" s="252">
        <v>331978.39704999997</v>
      </c>
      <c r="F123" s="252">
        <v>29666.250000000007</v>
      </c>
      <c r="G123" s="252"/>
      <c r="H123" s="731"/>
      <c r="I123" s="731"/>
      <c r="J123" s="268">
        <f t="shared" si="14"/>
        <v>10612587.811943978</v>
      </c>
      <c r="K123" s="445">
        <f>IF(K$8='5.Variables'!$B$10,+'5.Variables'!$H30,+IF(K$8='5.Variables'!$B$33,+'5.Variables'!$H53,+IF(K$8='5.Variables'!$B$56,+'5.Variables'!$H67,+IF(K$8='5.Variables'!$B$70,+'5.Variables'!$H81,+IF(K$8='5.Variables'!$B$84,+'5.Variables'!$H95,+IF(K$8='5.Variables'!$B$98,+'5.Variables'!$H109,0))))))</f>
        <v>12862</v>
      </c>
      <c r="L123" s="267">
        <f>IF(L$8='5.Variables'!$B$10,+'5.Variables'!$H30,+IF(L$8='5.Variables'!$B$33,+'5.Variables'!$H53,+IF(L$8='5.Variables'!$B$56,+'5.Variables'!$H67,+IF(L$8='5.Variables'!$B$70,+'5.Variables'!$H81,+IF(L$8='5.Variables'!$B$84,+'5.Variables'!$H95,+IF(L$8='5.Variables'!$B$98,+'5.Variables'!$H109,0))))))</f>
        <v>57.2</v>
      </c>
      <c r="M123" s="267">
        <f>IF(M$8='5.Variables'!$B$10,+'5.Variables'!$H30,+IF(M$8='5.Variables'!$B$33,+'5.Variables'!$H53,+IF(M$8='5.Variables'!$B$56,+'5.Variables'!$H67,+IF(M$8='5.Variables'!$B$70,+'5.Variables'!$H81,+IF(M$8='5.Variables'!$B$84,+'5.Variables'!$H95,+IF(M$8='5.Variables'!$B$98,+'5.Variables'!$H109,0))))))</f>
        <v>41.5</v>
      </c>
      <c r="N123" s="267">
        <f>IF(N$8='5.Variables'!$B$10,+'5.Variables'!$H30,+IF(N$8='5.Variables'!$B$33,+'5.Variables'!$H53,+IF(N$8='5.Variables'!$B$56,+'5.Variables'!$H67,+IF(N$8='5.Variables'!$B$70,+'5.Variables'!$H81,+IF(N$8='5.Variables'!$B$84,+'5.Variables'!$H95,+IF(N$8='5.Variables'!$B$98,+'5.Variables'!$H109,0))))))</f>
        <v>0</v>
      </c>
      <c r="O123" s="267">
        <f>IF(O$8='5.Variables'!$B$10,+'5.Variables'!$H30,+IF(O$8='5.Variables'!$B$33,+'5.Variables'!$H53,+IF(O$8='5.Variables'!$B$56,+'5.Variables'!$H67,+IF(O$8='5.Variables'!$B$70,+'5.Variables'!$H81,+IF(O$8='5.Variables'!$B$84,+'5.Variables'!$H95,+IF(O$8='5.Variables'!$B$98,+'5.Variables'!$H109,0))))))</f>
        <v>-22.535899999999998</v>
      </c>
      <c r="P123" s="267">
        <f>IF(P$8='5.Variables'!$B$10,+'5.Variables'!$H30,+IF(P$8='5.Variables'!$B$33,+'5.Variables'!$H53,+IF(P$8='5.Variables'!$B$56,+'5.Variables'!$H67,+IF(P$8='5.Variables'!$B$70,+'5.Variables'!$H81,+IF(P$8='5.Variables'!$B$84,+'5.Variables'!$H95,+IF(P$8='5.Variables'!$B$98,+'5.Variables'!$H109,0))))))</f>
        <v>30</v>
      </c>
      <c r="Q123" s="240"/>
      <c r="R123" s="268">
        <f t="shared" si="16"/>
        <v>10985082.793094907</v>
      </c>
      <c r="S123" s="272"/>
      <c r="T123" s="240"/>
      <c r="U123" s="240"/>
      <c r="V123" s="240"/>
      <c r="W123" s="240"/>
      <c r="X123" s="240"/>
      <c r="Y123" s="240"/>
      <c r="Z123" s="240"/>
      <c r="AA123" s="240"/>
      <c r="AB123" s="240"/>
      <c r="AC123" s="240"/>
      <c r="AD123" s="240"/>
      <c r="AE123" s="240"/>
      <c r="AF123" s="240"/>
      <c r="AG123" s="240"/>
      <c r="AH123" s="240"/>
      <c r="AI123" s="240"/>
      <c r="AJ123" s="240"/>
      <c r="AK123" s="240"/>
      <c r="AL123" s="240"/>
      <c r="AM123" s="240"/>
    </row>
    <row r="124" spans="1:39" x14ac:dyDescent="0.2">
      <c r="A124" s="675">
        <f t="shared" si="15"/>
        <v>115</v>
      </c>
      <c r="B124" s="266" t="str">
        <f>CONCATENATE('3. Consumption by Rate Class'!B130,"-",'3. Consumption by Rate Class'!C130)</f>
        <v>2014-July</v>
      </c>
      <c r="C124" s="252">
        <v>11153255.460000001</v>
      </c>
      <c r="D124" s="252">
        <f>+'X.1.CDM Calculation'!H121</f>
        <v>286203.68117249029</v>
      </c>
      <c r="E124" s="252">
        <v>351349.84</v>
      </c>
      <c r="F124" s="252">
        <v>31087.749999999996</v>
      </c>
      <c r="G124" s="252"/>
      <c r="H124" s="731"/>
      <c r="I124" s="731"/>
      <c r="J124" s="268">
        <f t="shared" si="14"/>
        <v>11821896.731172491</v>
      </c>
      <c r="K124" s="445">
        <f>IF(K$8='5.Variables'!$B$10,+'5.Variables'!$I30,+IF(K$8='5.Variables'!$B$33,+'5.Variables'!$I53,+IF(K$8='5.Variables'!$B$56,+'5.Variables'!$I67,+IF(K$8='5.Variables'!$B$70,+'5.Variables'!$I81,+IF(K$8='5.Variables'!$B$84,+'5.Variables'!$I95,+IF(K$8='5.Variables'!$B$98,+'5.Variables'!$I109,0))))))</f>
        <v>12873</v>
      </c>
      <c r="L124" s="267">
        <f>IF(L$8='5.Variables'!$B$10,+'5.Variables'!$I30,+IF(L$8='5.Variables'!$B$33,+'5.Variables'!$I53,+IF(L$8='5.Variables'!$B$56,+'5.Variables'!$I67,+IF(L$8='5.Variables'!$B$70,+'5.Variables'!$I81,+IF(L$8='5.Variables'!$B$84,+'5.Variables'!$I95,+IF(L$8='5.Variables'!$B$98,+'5.Variables'!$I109,0))))))</f>
        <v>29.7</v>
      </c>
      <c r="M124" s="267">
        <f>IF(M$8='5.Variables'!$B$10,+'5.Variables'!$I30,+IF(M$8='5.Variables'!$B$33,+'5.Variables'!$I53,+IF(M$8='5.Variables'!$B$56,+'5.Variables'!$I67,+IF(M$8='5.Variables'!$B$70,+'5.Variables'!$I81,+IF(M$8='5.Variables'!$B$84,+'5.Variables'!$I95,+IF(M$8='5.Variables'!$B$98,+'5.Variables'!$I109,0))))))</f>
        <v>50.3</v>
      </c>
      <c r="N124" s="267">
        <f>IF(N$8='5.Variables'!$B$10,+'5.Variables'!$I30,+IF(N$8='5.Variables'!$B$33,+'5.Variables'!$I53,+IF(N$8='5.Variables'!$B$56,+'5.Variables'!$I67,+IF(N$8='5.Variables'!$B$70,+'5.Variables'!$I81,+IF(N$8='5.Variables'!$B$84,+'5.Variables'!$I95,+IF(N$8='5.Variables'!$B$98,+'5.Variables'!$I109,0))))))</f>
        <v>0</v>
      </c>
      <c r="O124" s="267">
        <f>IF(O$8='5.Variables'!$B$10,+'5.Variables'!$I30,+IF(O$8='5.Variables'!$B$33,+'5.Variables'!$I53,+IF(O$8='5.Variables'!$B$56,+'5.Variables'!$I67,+IF(O$8='5.Variables'!$B$70,+'5.Variables'!$I81,+IF(O$8='5.Variables'!$B$84,+'5.Variables'!$I95,+IF(O$8='5.Variables'!$B$98,+'5.Variables'!$I109,0))))))</f>
        <v>-22.755400000000002</v>
      </c>
      <c r="P124" s="267">
        <f>IF(P$8='5.Variables'!$B$10,+'5.Variables'!$I30,+IF(P$8='5.Variables'!$B$33,+'5.Variables'!$I53,+IF(P$8='5.Variables'!$B$56,+'5.Variables'!$I67,+IF(P$8='5.Variables'!$B$70,+'5.Variables'!$I81,+IF(P$8='5.Variables'!$B$84,+'5.Variables'!$I95,+IF(P$8='5.Variables'!$B$98,+'5.Variables'!$I109,0))))))</f>
        <v>31</v>
      </c>
      <c r="Q124" s="240"/>
      <c r="R124" s="268">
        <f t="shared" si="16"/>
        <v>11503983.502340453</v>
      </c>
      <c r="S124" s="272"/>
      <c r="T124" s="240"/>
      <c r="U124" s="240"/>
      <c r="V124" s="240"/>
      <c r="W124" s="240"/>
      <c r="X124" s="240"/>
      <c r="Y124" s="240"/>
      <c r="Z124" s="240"/>
      <c r="AA124" s="240"/>
      <c r="AB124" s="240"/>
      <c r="AC124" s="240"/>
      <c r="AD124" s="240"/>
      <c r="AE124" s="240"/>
      <c r="AF124" s="240"/>
      <c r="AG124" s="240"/>
      <c r="AH124" s="240"/>
      <c r="AI124" s="240"/>
      <c r="AJ124" s="240"/>
      <c r="AK124" s="240"/>
      <c r="AL124" s="240"/>
      <c r="AM124" s="240"/>
    </row>
    <row r="125" spans="1:39" x14ac:dyDescent="0.2">
      <c r="A125" s="675">
        <f t="shared" si="15"/>
        <v>116</v>
      </c>
      <c r="B125" s="266" t="str">
        <f>CONCATENATE('3. Consumption by Rate Class'!B131,"-",'3. Consumption by Rate Class'!C131)</f>
        <v>2014-August</v>
      </c>
      <c r="C125" s="252">
        <v>11362433.77</v>
      </c>
      <c r="D125" s="252">
        <f>+'X.1.CDM Calculation'!H122</f>
        <v>290461.47745100188</v>
      </c>
      <c r="E125" s="252">
        <v>367425.27</v>
      </c>
      <c r="F125" s="252">
        <v>26763.999999999996</v>
      </c>
      <c r="G125" s="252"/>
      <c r="H125" s="731"/>
      <c r="I125" s="731"/>
      <c r="J125" s="268">
        <f t="shared" si="14"/>
        <v>12047084.517451001</v>
      </c>
      <c r="K125" s="445">
        <f>IF(K$8='5.Variables'!$B$10,+'5.Variables'!$J30,+IF(K$8='5.Variables'!$B$33,+'5.Variables'!$J53,+IF(K$8='5.Variables'!$B$56,+'5.Variables'!$J67,+IF(K$8='5.Variables'!$B$70,+'5.Variables'!$J81,+IF(K$8='5.Variables'!$B$84,+'5.Variables'!$J95,+IF(K$8='5.Variables'!$B$98,+'5.Variables'!$J109,0))))))</f>
        <v>12937</v>
      </c>
      <c r="L125" s="267">
        <f>IF(L$8='5.Variables'!$B$10,+'5.Variables'!$J30,+IF(L$8='5.Variables'!$B$33,+'5.Variables'!$J53,+IF(L$8='5.Variables'!$B$56,+'5.Variables'!$J67,+IF(L$8='5.Variables'!$B$70,+'5.Variables'!$J81,+IF(L$8='5.Variables'!$B$84,+'5.Variables'!$J95,+IF(L$8='5.Variables'!$B$98,+'5.Variables'!$J109,0))))))</f>
        <v>24.1</v>
      </c>
      <c r="M125" s="267">
        <f>IF(M$8='5.Variables'!$B$10,+'5.Variables'!$J30,+IF(M$8='5.Variables'!$B$33,+'5.Variables'!$J53,+IF(M$8='5.Variables'!$B$56,+'5.Variables'!$J67,+IF(M$8='5.Variables'!$B$70,+'5.Variables'!$J81,+IF(M$8='5.Variables'!$B$84,+'5.Variables'!$J95,+IF(M$8='5.Variables'!$B$98,+'5.Variables'!$J109,0))))))</f>
        <v>45.9</v>
      </c>
      <c r="N125" s="267">
        <f>IF(N$8='5.Variables'!$B$10,+'5.Variables'!$J30,+IF(N$8='5.Variables'!$B$33,+'5.Variables'!$J53,+IF(N$8='5.Variables'!$B$56,+'5.Variables'!$J67,+IF(N$8='5.Variables'!$B$70,+'5.Variables'!$J81,+IF(N$8='5.Variables'!$B$84,+'5.Variables'!$J95,+IF(N$8='5.Variables'!$B$98,+'5.Variables'!$J109,0))))))</f>
        <v>0</v>
      </c>
      <c r="O125" s="267">
        <f>IF(O$8='5.Variables'!$B$10,+'5.Variables'!$J30,+IF(O$8='5.Variables'!$B$33,+'5.Variables'!$J53,+IF(O$8='5.Variables'!$B$56,+'5.Variables'!$J67,+IF(O$8='5.Variables'!$B$70,+'5.Variables'!$J81,+IF(O$8='5.Variables'!$B$84,+'5.Variables'!$J95,+IF(O$8='5.Variables'!$B$98,+'5.Variables'!$J109,0))))))</f>
        <v>-22.974899999999998</v>
      </c>
      <c r="P125" s="267">
        <f>IF(P$8='5.Variables'!$B$10,+'5.Variables'!$J30,+IF(P$8='5.Variables'!$B$33,+'5.Variables'!$J53,+IF(P$8='5.Variables'!$B$56,+'5.Variables'!$J67,+IF(P$8='5.Variables'!$B$70,+'5.Variables'!$J81,+IF(P$8='5.Variables'!$B$84,+'5.Variables'!$J95,+IF(P$8='5.Variables'!$B$98,+'5.Variables'!$J109,0))))))</f>
        <v>31</v>
      </c>
      <c r="Q125" s="240"/>
      <c r="R125" s="268">
        <f t="shared" si="16"/>
        <v>11449965.204714393</v>
      </c>
      <c r="S125" s="272"/>
      <c r="T125" s="240"/>
      <c r="U125" s="240"/>
      <c r="V125" s="240"/>
      <c r="W125" s="240"/>
      <c r="X125" s="240"/>
      <c r="Y125" s="240"/>
      <c r="Z125" s="240"/>
      <c r="AA125" s="240"/>
      <c r="AB125" s="240"/>
      <c r="AC125" s="240"/>
      <c r="AD125" s="240"/>
      <c r="AE125" s="240"/>
      <c r="AF125" s="240"/>
      <c r="AG125" s="240"/>
      <c r="AH125" s="240"/>
      <c r="AI125" s="240"/>
      <c r="AJ125" s="240"/>
      <c r="AK125" s="240"/>
      <c r="AL125" s="240"/>
      <c r="AM125" s="240"/>
    </row>
    <row r="126" spans="1:39" x14ac:dyDescent="0.2">
      <c r="A126" s="675">
        <f t="shared" si="15"/>
        <v>117</v>
      </c>
      <c r="B126" s="266" t="str">
        <f>CONCATENATE('3. Consumption by Rate Class'!B132,"-",'3. Consumption by Rate Class'!C132)</f>
        <v>2014-September</v>
      </c>
      <c r="C126" s="252">
        <v>9514380.7899999991</v>
      </c>
      <c r="D126" s="252">
        <f>+'X.1.CDM Calculation'!H123</f>
        <v>294719.27372951334</v>
      </c>
      <c r="E126" s="252">
        <v>324982.57</v>
      </c>
      <c r="F126" s="252">
        <v>21496.390000000003</v>
      </c>
      <c r="G126" s="252"/>
      <c r="H126" s="731"/>
      <c r="I126" s="731"/>
      <c r="J126" s="268">
        <f t="shared" si="14"/>
        <v>10155579.023729512</v>
      </c>
      <c r="K126" s="445">
        <f>IF(K$8='5.Variables'!$B$10,+'5.Variables'!$K30,+IF(K$8='5.Variables'!$B$33,+'5.Variables'!$K53,+IF(K$8='5.Variables'!$B$56,+'5.Variables'!$K67,+IF(K$8='5.Variables'!$B$70,+'5.Variables'!$K81,+IF(K$8='5.Variables'!$B$84,+'5.Variables'!$K95,+IF(K$8='5.Variables'!$B$98,+'5.Variables'!$K109,0))))))</f>
        <v>12915</v>
      </c>
      <c r="L126" s="267">
        <f>IF(L$8='5.Variables'!$B$10,+'5.Variables'!$K30,+IF(L$8='5.Variables'!$B$33,+'5.Variables'!$K53,+IF(L$8='5.Variables'!$B$56,+'5.Variables'!$K67,+IF(L$8='5.Variables'!$B$70,+'5.Variables'!$K81,+IF(L$8='5.Variables'!$B$84,+'5.Variables'!$K95,+IF(L$8='5.Variables'!$B$98,+'5.Variables'!$K109,0))))))</f>
        <v>86.3</v>
      </c>
      <c r="M126" s="267">
        <f>IF(M$8='5.Variables'!$B$10,+'5.Variables'!$K30,+IF(M$8='5.Variables'!$B$33,+'5.Variables'!$K53,+IF(M$8='5.Variables'!$B$56,+'5.Variables'!$K67,+IF(M$8='5.Variables'!$B$70,+'5.Variables'!$K81,+IF(M$8='5.Variables'!$B$84,+'5.Variables'!$K95,+IF(M$8='5.Variables'!$B$98,+'5.Variables'!$K109,0))))))</f>
        <v>21.4</v>
      </c>
      <c r="N126" s="267">
        <f>IF(N$8='5.Variables'!$B$10,+'5.Variables'!$K30,+IF(N$8='5.Variables'!$B$33,+'5.Variables'!$K53,+IF(N$8='5.Variables'!$B$56,+'5.Variables'!$K67,+IF(N$8='5.Variables'!$B$70,+'5.Variables'!$K81,+IF(N$8='5.Variables'!$B$84,+'5.Variables'!$K95,+IF(N$8='5.Variables'!$B$98,+'5.Variables'!$K109,0))))))</f>
        <v>1</v>
      </c>
      <c r="O126" s="267">
        <f>IF(O$8='5.Variables'!$B$10,+'5.Variables'!$K30,+IF(O$8='5.Variables'!$B$33,+'5.Variables'!$K53,+IF(O$8='5.Variables'!$B$56,+'5.Variables'!$K67,+IF(O$8='5.Variables'!$B$70,+'5.Variables'!$K81,+IF(O$8='5.Variables'!$B$84,+'5.Variables'!$K95,+IF(O$8='5.Variables'!$B$98,+'5.Variables'!$K109,0))))))</f>
        <v>-23.194400000000002</v>
      </c>
      <c r="P126" s="267">
        <f>IF(P$8='5.Variables'!$B$10,+'5.Variables'!$K30,+IF(P$8='5.Variables'!$B$33,+'5.Variables'!$K53,+IF(P$8='5.Variables'!$B$56,+'5.Variables'!$K67,+IF(P$8='5.Variables'!$B$70,+'5.Variables'!$K81,+IF(P$8='5.Variables'!$B$84,+'5.Variables'!$K95,+IF(P$8='5.Variables'!$B$98,+'5.Variables'!$K109,0))))))</f>
        <v>30</v>
      </c>
      <c r="Q126" s="240"/>
      <c r="R126" s="268">
        <f t="shared" si="16"/>
        <v>9729264.3071697839</v>
      </c>
      <c r="S126" s="272"/>
      <c r="T126" s="240"/>
      <c r="U126" s="240"/>
      <c r="V126" s="240"/>
      <c r="W126" s="240"/>
      <c r="X126" s="240"/>
      <c r="Y126" s="240"/>
      <c r="Z126" s="240"/>
      <c r="AA126" s="240"/>
      <c r="AB126" s="240"/>
      <c r="AC126" s="240"/>
      <c r="AD126" s="240"/>
      <c r="AE126" s="240"/>
      <c r="AF126" s="240"/>
      <c r="AG126" s="240"/>
      <c r="AH126" s="240"/>
      <c r="AI126" s="240"/>
      <c r="AJ126" s="240"/>
      <c r="AK126" s="240"/>
      <c r="AL126" s="240"/>
      <c r="AM126" s="240"/>
    </row>
    <row r="127" spans="1:39" x14ac:dyDescent="0.2">
      <c r="A127" s="675">
        <f t="shared" si="15"/>
        <v>118</v>
      </c>
      <c r="B127" s="266" t="str">
        <f>CONCATENATE('3. Consumption by Rate Class'!B133,"-",'3. Consumption by Rate Class'!C133)</f>
        <v>2014-October</v>
      </c>
      <c r="C127" s="252">
        <v>9761646.9700000007</v>
      </c>
      <c r="D127" s="252">
        <f>+'X.1.CDM Calculation'!H124</f>
        <v>298977.07000802492</v>
      </c>
      <c r="E127" s="252">
        <v>309083.98</v>
      </c>
      <c r="F127" s="252">
        <v>12807.599999999999</v>
      </c>
      <c r="G127" s="252"/>
      <c r="H127" s="731"/>
      <c r="I127" s="731"/>
      <c r="J127" s="268">
        <f t="shared" si="14"/>
        <v>10382515.620008025</v>
      </c>
      <c r="K127" s="445">
        <f>IF(K$8='5.Variables'!$B$10,+'5.Variables'!$L30,+IF(K$8='5.Variables'!$B$33,+'5.Variables'!$L53,+IF(K$8='5.Variables'!$B$56,+'5.Variables'!$L67,+IF(K$8='5.Variables'!$B$70,+'5.Variables'!$L81,+IF(K$8='5.Variables'!$B$84,+'5.Variables'!$L95,+IF(K$8='5.Variables'!$B$98,+'5.Variables'!$L109,0))))))</f>
        <v>12961</v>
      </c>
      <c r="L127" s="267">
        <f>IF(L$8='5.Variables'!$B$10,+'5.Variables'!$L30,+IF(L$8='5.Variables'!$B$33,+'5.Variables'!$L53,+IF(L$8='5.Variables'!$B$56,+'5.Variables'!$L67,+IF(L$8='5.Variables'!$B$70,+'5.Variables'!$L81,+IF(L$8='5.Variables'!$B$84,+'5.Variables'!$L95,+IF(L$8='5.Variables'!$B$98,+'5.Variables'!$L109,0))))))</f>
        <v>238.8</v>
      </c>
      <c r="M127" s="267">
        <f>IF(M$8='5.Variables'!$B$10,+'5.Variables'!$L30,+IF(M$8='5.Variables'!$B$33,+'5.Variables'!$L53,+IF(M$8='5.Variables'!$B$56,+'5.Variables'!$L67,+IF(M$8='5.Variables'!$B$70,+'5.Variables'!$L81,+IF(M$8='5.Variables'!$B$84,+'5.Variables'!$L95,+IF(M$8='5.Variables'!$B$98,+'5.Variables'!$L109,0))))))</f>
        <v>1.2</v>
      </c>
      <c r="N127" s="267">
        <f>IF(N$8='5.Variables'!$B$10,+'5.Variables'!$L30,+IF(N$8='5.Variables'!$B$33,+'5.Variables'!$L53,+IF(N$8='5.Variables'!$B$56,+'5.Variables'!$L67,+IF(N$8='5.Variables'!$B$70,+'5.Variables'!$L81,+IF(N$8='5.Variables'!$B$84,+'5.Variables'!$L95,+IF(N$8='5.Variables'!$B$98,+'5.Variables'!$L109,0))))))</f>
        <v>1</v>
      </c>
      <c r="O127" s="267">
        <f>IF(O$8='5.Variables'!$B$10,+'5.Variables'!$L30,+IF(O$8='5.Variables'!$B$33,+'5.Variables'!$L53,+IF(O$8='5.Variables'!$B$56,+'5.Variables'!$L67,+IF(O$8='5.Variables'!$B$70,+'5.Variables'!$L81,+IF(O$8='5.Variables'!$B$84,+'5.Variables'!$L95,+IF(O$8='5.Variables'!$B$98,+'5.Variables'!$L109,0))))))</f>
        <v>-23.413899999999998</v>
      </c>
      <c r="P127" s="267">
        <f>IF(P$8='5.Variables'!$B$10,+'5.Variables'!$L30,+IF(P$8='5.Variables'!$B$33,+'5.Variables'!$L53,+IF(P$8='5.Variables'!$B$56,+'5.Variables'!$L67,+IF(P$8='5.Variables'!$B$70,+'5.Variables'!$L81,+IF(P$8='5.Variables'!$B$84,+'5.Variables'!$L95,+IF(P$8='5.Variables'!$B$98,+'5.Variables'!$L109,0))))))</f>
        <v>31</v>
      </c>
      <c r="Q127" s="240"/>
      <c r="R127" s="268">
        <f t="shared" si="16"/>
        <v>10491242.257903149</v>
      </c>
      <c r="S127" s="272"/>
      <c r="T127" s="240"/>
      <c r="U127" s="240"/>
      <c r="V127" s="240"/>
      <c r="W127" s="240"/>
      <c r="X127" s="240"/>
      <c r="Y127" s="240"/>
      <c r="Z127" s="240"/>
      <c r="AA127" s="240"/>
      <c r="AB127" s="240"/>
      <c r="AC127" s="240"/>
      <c r="AD127" s="240"/>
      <c r="AE127" s="240"/>
      <c r="AF127" s="240"/>
      <c r="AG127" s="240"/>
      <c r="AH127" s="240"/>
      <c r="AI127" s="240"/>
      <c r="AJ127" s="240"/>
      <c r="AK127" s="240"/>
      <c r="AL127" s="240"/>
      <c r="AM127" s="240"/>
    </row>
    <row r="128" spans="1:39" x14ac:dyDescent="0.2">
      <c r="A128" s="675">
        <f t="shared" si="15"/>
        <v>119</v>
      </c>
      <c r="B128" s="266" t="str">
        <f>CONCATENATE('3. Consumption by Rate Class'!B134,"-",'3. Consumption by Rate Class'!C134)</f>
        <v>2014-November</v>
      </c>
      <c r="C128" s="252">
        <v>11117966.66</v>
      </c>
      <c r="D128" s="252">
        <f>+'X.1.CDM Calculation'!H125</f>
        <v>303234.86628653645</v>
      </c>
      <c r="E128" s="252">
        <v>285215.23</v>
      </c>
      <c r="F128" s="252">
        <v>4238.3</v>
      </c>
      <c r="G128" s="252"/>
      <c r="H128" s="731"/>
      <c r="I128" s="731"/>
      <c r="J128" s="268">
        <f t="shared" si="14"/>
        <v>11710655.056286538</v>
      </c>
      <c r="K128" s="445">
        <f>IF(K$8='5.Variables'!$B$10,+'5.Variables'!$M30,+IF(K$8='5.Variables'!$B$33,+'5.Variables'!$M53,+IF(K$8='5.Variables'!$B$56,+'5.Variables'!$M67,+IF(K$8='5.Variables'!$B$70,+'5.Variables'!$M81,+IF(K$8='5.Variables'!$B$84,+'5.Variables'!$M95,+IF(K$8='5.Variables'!$B$98,+'5.Variables'!$M109,0))))))</f>
        <v>12976</v>
      </c>
      <c r="L128" s="267">
        <f>IF(L$8='5.Variables'!$B$10,+'5.Variables'!$M30,+IF(L$8='5.Variables'!$B$33,+'5.Variables'!$M53,+IF(L$8='5.Variables'!$B$56,+'5.Variables'!$M67,+IF(L$8='5.Variables'!$B$70,+'5.Variables'!$M81,+IF(L$8='5.Variables'!$B$84,+'5.Variables'!$M95,+IF(L$8='5.Variables'!$B$98,+'5.Variables'!$M109,0))))))</f>
        <v>460.7</v>
      </c>
      <c r="M128" s="267">
        <f>IF(M$8='5.Variables'!$B$10,+'5.Variables'!$M30,+IF(M$8='5.Variables'!$B$33,+'5.Variables'!$M53,+IF(M$8='5.Variables'!$B$56,+'5.Variables'!$M67,+IF(M$8='5.Variables'!$B$70,+'5.Variables'!$M81,+IF(M$8='5.Variables'!$B$84,+'5.Variables'!$M95,+IF(M$8='5.Variables'!$B$98,+'5.Variables'!$M109,0))))))</f>
        <v>0</v>
      </c>
      <c r="N128" s="267">
        <f>IF(N$8='5.Variables'!$B$10,+'5.Variables'!$M30,+IF(N$8='5.Variables'!$B$33,+'5.Variables'!$M53,+IF(N$8='5.Variables'!$B$56,+'5.Variables'!$M67,+IF(N$8='5.Variables'!$B$70,+'5.Variables'!$M81,+IF(N$8='5.Variables'!$B$84,+'5.Variables'!$M95,+IF(N$8='5.Variables'!$B$98,+'5.Variables'!$M109,0))))))</f>
        <v>1</v>
      </c>
      <c r="O128" s="267">
        <f>IF(O$8='5.Variables'!$B$10,+'5.Variables'!$M30,+IF(O$8='5.Variables'!$B$33,+'5.Variables'!$M53,+IF(O$8='5.Variables'!$B$56,+'5.Variables'!$M67,+IF(O$8='5.Variables'!$B$70,+'5.Variables'!$M81,+IF(O$8='5.Variables'!$B$84,+'5.Variables'!$M95,+IF(O$8='5.Variables'!$B$98,+'5.Variables'!$M109,0))))))</f>
        <v>-23.633400000000002</v>
      </c>
      <c r="P128" s="267">
        <f>IF(P$8='5.Variables'!$B$10,+'5.Variables'!$M30,+IF(P$8='5.Variables'!$B$33,+'5.Variables'!$M53,+IF(P$8='5.Variables'!$B$56,+'5.Variables'!$M67,+IF(P$8='5.Variables'!$B$70,+'5.Variables'!$M81,+IF(P$8='5.Variables'!$B$84,+'5.Variables'!$M95,+IF(P$8='5.Variables'!$B$98,+'5.Variables'!$M109,0))))))</f>
        <v>30</v>
      </c>
      <c r="Q128" s="240"/>
      <c r="R128" s="268">
        <f t="shared" si="16"/>
        <v>11244466.577204457</v>
      </c>
      <c r="S128" s="272"/>
      <c r="T128" s="240"/>
      <c r="U128" s="240"/>
      <c r="V128" s="240"/>
      <c r="W128" s="240"/>
      <c r="X128" s="240"/>
      <c r="Y128" s="240"/>
      <c r="Z128" s="240"/>
      <c r="AA128" s="240"/>
      <c r="AB128" s="240"/>
      <c r="AC128" s="240"/>
      <c r="AD128" s="240"/>
      <c r="AE128" s="240"/>
      <c r="AF128" s="240"/>
      <c r="AG128" s="240"/>
      <c r="AH128" s="240"/>
      <c r="AI128" s="240"/>
      <c r="AJ128" s="240"/>
      <c r="AK128" s="240"/>
      <c r="AL128" s="240"/>
      <c r="AM128" s="240"/>
    </row>
    <row r="129" spans="1:39" x14ac:dyDescent="0.2">
      <c r="A129" s="675">
        <f t="shared" si="15"/>
        <v>120</v>
      </c>
      <c r="B129" s="266" t="str">
        <f>CONCATENATE('3. Consumption by Rate Class'!B135,"-",'3. Consumption by Rate Class'!C135)</f>
        <v>2014-December</v>
      </c>
      <c r="C129" s="252">
        <v>12637824.1</v>
      </c>
      <c r="D129" s="252">
        <f>+'X.1.CDM Calculation'!H126</f>
        <v>307492.66256504803</v>
      </c>
      <c r="E129" s="252">
        <v>291510.82</v>
      </c>
      <c r="F129" s="252">
        <v>3728.16</v>
      </c>
      <c r="G129" s="252"/>
      <c r="H129" s="731"/>
      <c r="I129" s="731"/>
      <c r="J129" s="268">
        <f>SUM(C129:I129)</f>
        <v>13240555.742565049</v>
      </c>
      <c r="K129" s="445">
        <f>IF(K$8='5.Variables'!$B$10,+'5.Variables'!$N30,+IF(K$8='5.Variables'!$B$33,+'5.Variables'!$N53,+IF(K$8='5.Variables'!$B$56,+'5.Variables'!$N67,+IF(K$8='5.Variables'!$B$70,+'5.Variables'!$N81,+IF(K$8='5.Variables'!$B$84,+'5.Variables'!$N95,+IF(K$8='5.Variables'!$B$98,+'5.Variables'!$N109,0))))))</f>
        <v>13021</v>
      </c>
      <c r="L129" s="267">
        <f>IF(L$8='5.Variables'!$B$10,+'5.Variables'!$N30,+IF(L$8='5.Variables'!$B$33,+'5.Variables'!$N53,+IF(L$8='5.Variables'!$B$56,+'5.Variables'!$N67,+IF(L$8='5.Variables'!$B$70,+'5.Variables'!$N81,+IF(L$8='5.Variables'!$B$84,+'5.Variables'!$N95,+IF(L$8='5.Variables'!$B$98,+'5.Variables'!$N109,0))))))</f>
        <v>537.70000000000005</v>
      </c>
      <c r="M129" s="267">
        <f>IF(M$8='5.Variables'!$B$10,+'5.Variables'!$N30,+IF(M$8='5.Variables'!$B$33,+'5.Variables'!$N53,+IF(M$8='5.Variables'!$B$56,+'5.Variables'!$N67,+IF(M$8='5.Variables'!$B$70,+'5.Variables'!$N81,+IF(M$8='5.Variables'!$B$84,+'5.Variables'!$N95,+IF(M$8='5.Variables'!$B$98,+'5.Variables'!$N109,0))))))</f>
        <v>0</v>
      </c>
      <c r="N129" s="267">
        <f>IF(N$8='5.Variables'!$B$10,+'5.Variables'!$N30,+IF(N$8='5.Variables'!$B$33,+'5.Variables'!$N53,+IF(N$8='5.Variables'!$B$56,+'5.Variables'!$N67,+IF(N$8='5.Variables'!$B$70,+'5.Variables'!$N81,+IF(N$8='5.Variables'!$B$84,+'5.Variables'!$N95,+IF(N$8='5.Variables'!$B$98,+'5.Variables'!$N109,0))))))</f>
        <v>0</v>
      </c>
      <c r="O129" s="267">
        <f>IF(O$8='5.Variables'!$B$10,+'5.Variables'!$N30,+IF(O$8='5.Variables'!$B$33,+'5.Variables'!$N53,+IF(O$8='5.Variables'!$B$56,+'5.Variables'!$N67,+IF(O$8='5.Variables'!$B$70,+'5.Variables'!$N81,+IF(O$8='5.Variables'!$B$84,+'5.Variables'!$N95,+IF(O$8='5.Variables'!$B$98,+'5.Variables'!$N109,0))))))</f>
        <v>-23.852899999999998</v>
      </c>
      <c r="P129" s="267">
        <f>IF(P$8='5.Variables'!$B$10,+'5.Variables'!$N30,+IF(P$8='5.Variables'!$B$33,+'5.Variables'!$N53,+IF(P$8='5.Variables'!$B$56,+'5.Variables'!$N67,+IF(P$8='5.Variables'!$B$70,+'5.Variables'!$N81,+IF(P$8='5.Variables'!$B$84,+'5.Variables'!$N95,+IF(P$8='5.Variables'!$B$98,+'5.Variables'!$N109,0))))))</f>
        <v>31</v>
      </c>
      <c r="Q129" s="240"/>
      <c r="R129" s="268">
        <f t="shared" si="16"/>
        <v>13040661.627684265</v>
      </c>
      <c r="S129" s="272">
        <f>SUM(R118:R129)</f>
        <v>139896381.2156412</v>
      </c>
      <c r="T129" s="240"/>
      <c r="U129" s="240"/>
      <c r="V129" s="240"/>
      <c r="W129" s="240"/>
      <c r="X129" s="240"/>
      <c r="Y129" s="240"/>
      <c r="Z129" s="240"/>
      <c r="AA129" s="240"/>
      <c r="AB129" s="240"/>
      <c r="AC129" s="240"/>
      <c r="AD129" s="240"/>
      <c r="AE129" s="240"/>
      <c r="AF129" s="240"/>
      <c r="AG129" s="240"/>
      <c r="AH129" s="240"/>
      <c r="AI129" s="240"/>
      <c r="AJ129" s="240"/>
      <c r="AK129" s="240"/>
      <c r="AL129" s="240"/>
      <c r="AM129" s="240"/>
    </row>
    <row r="130" spans="1:39" x14ac:dyDescent="0.2">
      <c r="A130" s="675">
        <f t="shared" si="15"/>
        <v>121</v>
      </c>
      <c r="B130" s="266" t="str">
        <f>CONCATENATE('3. Consumption by Rate Class'!B136,"-",'3. Consumption by Rate Class'!C136)</f>
        <v>2015-January</v>
      </c>
      <c r="C130" s="282"/>
      <c r="D130" s="282"/>
      <c r="E130" s="732"/>
      <c r="F130" s="282"/>
      <c r="G130" s="282"/>
      <c r="H130" s="282"/>
      <c r="I130" s="282"/>
      <c r="J130" s="241"/>
      <c r="K130" s="1179">
        <f>IF(K$9=$B$159,+AVERAGE(K10,K22,K34,K46,K58,K70,K82,K94,K106,K118),+IF(K$9=$B$160,+(EXP((LN(+'4. Customer Growth'!$Y$34)/12))*$K129),IF($K$9=$B$161,+$A130*$C$166+$D$166,0)))</f>
        <v>13036.631844667425</v>
      </c>
      <c r="L130" s="1180">
        <v>716.1</v>
      </c>
      <c r="M130" s="1181">
        <v>0</v>
      </c>
      <c r="N130" s="1182">
        <f>IF(N$9=$B$159,+AVERAGE(N10,N22,N34,N46,N58,N70,N82,N94,N106,N118),+IF(N$9=$B$160,+(EXP((LN(+'4. Customer Growth'!$Y$34)/12))*$K129),IF($N$9=$B$161,+$A130*$C$169+$D$169,0)))</f>
        <v>0</v>
      </c>
      <c r="O130" s="1182">
        <f>IF(O$9=$B$159,+AVERAGE(O10,O22,O34,O46,O58,O70,O82,O94,O106,O118),+IF(O$9=$B$160,+(EXP((LN(+'4. Customer Growth'!$Y$34)/12))*$O129),IF($O$9=$B$161,+$A130*$C$170+$D$170,0)))</f>
        <v>-24.072400000000005</v>
      </c>
      <c r="P130" s="1182">
        <f>IF(P$9=$B$159,+AVERAGE(P10,P22,P34,P46,P58,P70,P82,P94,P106,P118),+IF(P$9=$B$160,+(EXP((LN(+'4. Customer Growth'!$Y$34)/12))*$P129),IF($P$9=$B$161,+$A130*$C$171+$D$171,0)))</f>
        <v>31</v>
      </c>
      <c r="Q130" s="240"/>
      <c r="R130" s="268">
        <f t="shared" si="16"/>
        <v>14018691.382652592</v>
      </c>
      <c r="S130" s="1243"/>
      <c r="T130" s="240"/>
      <c r="U130" s="240"/>
      <c r="V130" s="240"/>
      <c r="W130" s="240"/>
      <c r="X130" s="240"/>
      <c r="Y130" s="240"/>
      <c r="Z130" s="240"/>
      <c r="AA130" s="240"/>
      <c r="AB130" s="240"/>
      <c r="AC130" s="240"/>
      <c r="AD130" s="240"/>
      <c r="AE130" s="240"/>
      <c r="AF130" s="240"/>
      <c r="AG130" s="240"/>
      <c r="AH130" s="240"/>
      <c r="AI130" s="240"/>
      <c r="AJ130" s="240"/>
      <c r="AK130" s="240"/>
      <c r="AL130" s="240"/>
      <c r="AM130" s="240"/>
    </row>
    <row r="131" spans="1:39" x14ac:dyDescent="0.2">
      <c r="A131" s="675">
        <f t="shared" si="15"/>
        <v>122</v>
      </c>
      <c r="B131" s="266" t="str">
        <f>CONCATENATE('3. Consumption by Rate Class'!B137,"-",'3. Consumption by Rate Class'!C137)</f>
        <v>2015-February</v>
      </c>
      <c r="C131" s="282"/>
      <c r="D131" s="907"/>
      <c r="E131" s="282"/>
      <c r="F131" s="282"/>
      <c r="G131" s="282"/>
      <c r="H131" s="282"/>
      <c r="I131" s="282"/>
      <c r="J131" s="241"/>
      <c r="K131" s="1179">
        <f>IF(K$9=$B$159,+AVERAGE(K11,K23,K35,K47,K59,K71,K83,K95,K107,K119),+IF(K$9=$B$160,+(EXP((LN(+'4. Customer Growth'!$Y$34)/12))*$K130),IF($K$9=$B$161,+$A131*$C$166+$D$166,0)))</f>
        <v>13052.282455525443</v>
      </c>
      <c r="L131" s="1180">
        <v>630.80526315789473</v>
      </c>
      <c r="M131" s="1181">
        <v>0</v>
      </c>
      <c r="N131" s="1182">
        <f>IF(N$9=$B$159,+AVERAGE(N11,N23,N35,N47,N59,N71,N83,N95,N107,N119),+IF(N$9=$B$160,+(EXP((LN(+'4. Customer Growth'!$Y$34)/12))*$K130),IF($N$9=$B$161,+$A131*$C$169+$D$169,0)))</f>
        <v>0</v>
      </c>
      <c r="O131" s="1182">
        <f>IF(O$9=$B$159,+AVERAGE(O11,O23,O35,O47,O59,O71,O83,O95,O107,O119),+IF(O$9=$B$160,+(EXP((LN(+'4. Customer Growth'!$Y$34)/12))*$O130),IF($O$9=$B$161,+$A131*$C$170+$D$170,0)))</f>
        <v>-24.291900000000005</v>
      </c>
      <c r="P131" s="1181">
        <v>28.25</v>
      </c>
      <c r="Q131" s="240"/>
      <c r="R131" s="268">
        <f t="shared" si="16"/>
        <v>12385281.055321695</v>
      </c>
      <c r="S131" s="1243"/>
      <c r="T131" s="240"/>
      <c r="U131" s="240"/>
      <c r="V131" s="240"/>
      <c r="W131" s="240"/>
      <c r="X131" s="240"/>
      <c r="Y131" s="240"/>
      <c r="Z131" s="240"/>
      <c r="AA131" s="240"/>
      <c r="AB131" s="240"/>
      <c r="AC131" s="240"/>
      <c r="AD131" s="240"/>
      <c r="AE131" s="240"/>
      <c r="AF131" s="240"/>
      <c r="AG131" s="240"/>
      <c r="AH131" s="240"/>
      <c r="AI131" s="240"/>
      <c r="AJ131" s="240"/>
      <c r="AK131" s="240"/>
      <c r="AL131" s="240"/>
      <c r="AM131" s="240"/>
    </row>
    <row r="132" spans="1:39" x14ac:dyDescent="0.2">
      <c r="A132" s="675">
        <f t="shared" si="15"/>
        <v>123</v>
      </c>
      <c r="B132" s="266" t="str">
        <f>CONCATENATE('3. Consumption by Rate Class'!B138,"-",'3. Consumption by Rate Class'!C138)</f>
        <v>2015-March</v>
      </c>
      <c r="C132" s="283"/>
      <c r="D132" s="282"/>
      <c r="E132" s="907"/>
      <c r="F132" s="282"/>
      <c r="G132" s="282"/>
      <c r="H132" s="282"/>
      <c r="I132" s="282"/>
      <c r="J132" s="241"/>
      <c r="K132" s="1179">
        <f>IF(K$9=$B$159,+AVERAGE(K12,K24,K36,K48,K60,K72,K84,K96,K108,K120),+IF(K$9=$B$160,+(EXP((LN(+'4. Customer Growth'!$Y$34)/12))*$K131),IF($K$9=$B$161,+$A132*$C$166+$D$166,0)))</f>
        <v>13067.951855103058</v>
      </c>
      <c r="L132" s="1180">
        <v>566.09473684210525</v>
      </c>
      <c r="M132" s="1181">
        <v>0.14736842105263157</v>
      </c>
      <c r="N132" s="1182">
        <f>IF(N$9=$B$159,+AVERAGE(N12,N24,N36,N48,N60,N72,N84,N96,N108,N120),+IF(N$9=$B$160,+(EXP((LN(+'4. Customer Growth'!$Y$34)/12))*$K131),IF($N$9=$B$161,+$A132*$C$169+$D$169,0)))</f>
        <v>1</v>
      </c>
      <c r="O132" s="1182">
        <f>IF(O$9=$B$159,+AVERAGE(O12,O24,O36,O48,O60,O72,O84,O96,O108,O120),+IF(O$9=$B$160,+(EXP((LN(+'4. Customer Growth'!$Y$34)/12))*$O131),IF($O$9=$B$161,+$A132*$C$170+$D$170,0)))</f>
        <v>-24.511400000000005</v>
      </c>
      <c r="P132" s="1182">
        <f>IF(P$9=$B$159,+AVERAGE(P12,P24,P36,P48,P60,P72,P84,P96,P108,P120),+IF(P$9=$B$160,+(EXP((LN(+'4. Customer Growth'!$Y$34)/12))*$P131),IF($P$9=$B$161,+$A132*$C$171+$D$171,0)))</f>
        <v>31</v>
      </c>
      <c r="Q132" s="240"/>
      <c r="R132" s="268">
        <f t="shared" si="16"/>
        <v>12330968.605411764</v>
      </c>
      <c r="S132" s="1243"/>
      <c r="T132" s="240"/>
      <c r="U132" s="240"/>
      <c r="V132" s="240"/>
      <c r="W132" s="240"/>
      <c r="X132" s="240"/>
      <c r="Y132" s="240"/>
      <c r="Z132" s="240"/>
      <c r="AA132" s="240"/>
      <c r="AB132" s="240"/>
      <c r="AC132" s="240"/>
      <c r="AD132" s="240"/>
      <c r="AE132" s="240"/>
      <c r="AF132" s="240"/>
      <c r="AG132" s="240"/>
      <c r="AH132" s="240"/>
      <c r="AI132" s="240"/>
      <c r="AJ132" s="240"/>
      <c r="AK132" s="240"/>
      <c r="AL132" s="240"/>
      <c r="AM132" s="240"/>
    </row>
    <row r="133" spans="1:39" x14ac:dyDescent="0.2">
      <c r="A133" s="675">
        <f t="shared" si="15"/>
        <v>124</v>
      </c>
      <c r="B133" s="266" t="str">
        <f>CONCATENATE('3. Consumption by Rate Class'!B139,"-",'3. Consumption by Rate Class'!C139)</f>
        <v>2015-April</v>
      </c>
      <c r="C133" s="282"/>
      <c r="D133" s="282"/>
      <c r="E133" s="907"/>
      <c r="F133" s="282"/>
      <c r="G133" s="282"/>
      <c r="H133" s="282"/>
      <c r="I133" s="282"/>
      <c r="J133" s="241"/>
      <c r="K133" s="1179">
        <f>IF(K$9=$B$159,+AVERAGE(K13,K25,K37,K49,K61,K73,K85,K97,K109,K121),+IF(K$9=$B$160,+(EXP((LN(+'4. Customer Growth'!$Y$34)/12))*$K132),IF($K$9=$B$161,+$A133*$C$166+$D$166,0)))</f>
        <v>13083.640065956322</v>
      </c>
      <c r="L133" s="1180">
        <v>353.21578947368414</v>
      </c>
      <c r="M133" s="1181">
        <v>1.1052631578947369</v>
      </c>
      <c r="N133" s="1182">
        <f>IF(N$9=$B$159,+AVERAGE(N13,N25,N37,N49,N61,N73,N85,N97,N109,N121),+IF(N$9=$B$160,+(EXP((LN(+'4. Customer Growth'!$Y$34)/12))*$K132),IF($N$9=$B$161,+$A133*$C$169+$D$169,0)))</f>
        <v>1</v>
      </c>
      <c r="O133" s="1182">
        <f>IF(O$9=$B$159,+AVERAGE(O13,O25,O37,O49,O61,O73,O85,O97,O109,O121),+IF(O$9=$B$160,+(EXP((LN(+'4. Customer Growth'!$Y$34)/12))*$O132),IF($O$9=$B$161,+$A133*$C$170+$D$170,0)))</f>
        <v>-24.730900000000005</v>
      </c>
      <c r="P133" s="1182">
        <f>IF(P$9=$B$159,+AVERAGE(P13,P25,P37,P49,P61,P73,P85,P97,P109,P121),+IF(P$9=$B$160,+(EXP((LN(+'4. Customer Growth'!$Y$34)/12))*$P132),IF($P$9=$B$161,+$A133*$C$171+$D$171,0)))</f>
        <v>30</v>
      </c>
      <c r="Q133" s="240"/>
      <c r="R133" s="268">
        <f t="shared" si="16"/>
        <v>10776937.714014489</v>
      </c>
      <c r="S133" s="1243"/>
      <c r="T133" s="240"/>
      <c r="U133" s="240"/>
      <c r="V133" s="240"/>
      <c r="W133" s="240"/>
      <c r="X133" s="240"/>
      <c r="Y133" s="240"/>
      <c r="Z133" s="240"/>
      <c r="AA133" s="240"/>
      <c r="AB133" s="240"/>
      <c r="AC133" s="240"/>
      <c r="AD133" s="240"/>
      <c r="AE133" s="240"/>
      <c r="AF133" s="240"/>
      <c r="AG133" s="240"/>
      <c r="AH133" s="240"/>
      <c r="AI133" s="240"/>
      <c r="AJ133" s="240"/>
      <c r="AK133" s="240"/>
      <c r="AL133" s="240"/>
      <c r="AM133" s="240"/>
    </row>
    <row r="134" spans="1:39" x14ac:dyDescent="0.2">
      <c r="A134" s="675">
        <f t="shared" si="15"/>
        <v>125</v>
      </c>
      <c r="B134" s="266" t="str">
        <f>CONCATENATE('3. Consumption by Rate Class'!B140,"-",'3. Consumption by Rate Class'!C140)</f>
        <v>2015-May</v>
      </c>
      <c r="C134" s="282"/>
      <c r="D134" s="282"/>
      <c r="E134" s="282"/>
      <c r="F134" s="282"/>
      <c r="G134" s="282"/>
      <c r="H134" s="284"/>
      <c r="I134" s="282"/>
      <c r="J134" s="241"/>
      <c r="K134" s="1179">
        <f>IF(K$9=$B$159,+AVERAGE(K14,K26,K38,K50,K62,K74,K86,K98,K110,K122),+IF(K$9=$B$160,+(EXP((LN(+'4. Customer Growth'!$Y$34)/12))*$K133),IF($K$9=$B$161,+$A134*$C$166+$D$166,0)))</f>
        <v>13099.347110668366</v>
      </c>
      <c r="L134" s="1180">
        <v>185.71052631578945</v>
      </c>
      <c r="M134" s="1181">
        <v>10.584210526315788</v>
      </c>
      <c r="N134" s="1182">
        <f>IF(N$9=$B$159,+AVERAGE(N14,N26,N38,N50,N62,N74,N86,N98,N110,N122),+IF(N$9=$B$160,+(EXP((LN(+'4. Customer Growth'!$Y$34)/12))*$K133),IF($N$9=$B$161,+$A134*$C$169+$D$169,0)))</f>
        <v>1</v>
      </c>
      <c r="O134" s="1182">
        <f>IF(O$9=$B$159,+AVERAGE(O14,O26,O38,O50,O62,O74,O86,O98,O110,O122),+IF(O$9=$B$160,+(EXP((LN(+'4. Customer Growth'!$Y$34)/12))*$O133),IF($O$9=$B$161,+$A134*$C$170+$D$170,0)))</f>
        <v>-24.950400000000005</v>
      </c>
      <c r="P134" s="1182">
        <f>IF(P$9=$B$159,+AVERAGE(P14,P26,P38,P50,P62,P74,P86,P98,P110,P122),+IF(P$9=$B$160,+(EXP((LN(+'4. Customer Growth'!$Y$34)/12))*$P133),IF($P$9=$B$161,+$A134*$C$171+$D$171,0)))</f>
        <v>31</v>
      </c>
      <c r="Q134" s="240"/>
      <c r="R134" s="268">
        <f t="shared" si="16"/>
        <v>10560985.363904975</v>
      </c>
      <c r="S134" s="1243"/>
      <c r="T134" s="240"/>
      <c r="U134" s="240"/>
      <c r="V134" s="240"/>
      <c r="W134" s="240"/>
      <c r="X134" s="285"/>
      <c r="Y134" s="240"/>
      <c r="Z134" s="240"/>
      <c r="AA134" s="240"/>
      <c r="AB134" s="240"/>
      <c r="AC134" s="240"/>
      <c r="AD134" s="240"/>
      <c r="AE134" s="240"/>
      <c r="AF134" s="240"/>
      <c r="AG134" s="240"/>
      <c r="AH134" s="240"/>
      <c r="AI134" s="240"/>
      <c r="AJ134" s="240"/>
      <c r="AK134" s="240"/>
      <c r="AL134" s="240"/>
      <c r="AM134" s="240"/>
    </row>
    <row r="135" spans="1:39" x14ac:dyDescent="0.2">
      <c r="A135" s="675">
        <f t="shared" si="15"/>
        <v>126</v>
      </c>
      <c r="B135" s="266" t="str">
        <f>CONCATENATE('3. Consumption by Rate Class'!B141,"-",'3. Consumption by Rate Class'!C141)</f>
        <v>2015-June</v>
      </c>
      <c r="C135" s="282"/>
      <c r="D135" s="282"/>
      <c r="E135" s="282"/>
      <c r="F135" s="282"/>
      <c r="G135" s="282"/>
      <c r="H135" s="282"/>
      <c r="I135" s="282"/>
      <c r="J135" s="241"/>
      <c r="K135" s="1179">
        <f>IF(K$9=$B$159,+AVERAGE(K15,K27,K39,K51,K63,K75,K87,K99,K111,K123),+IF(K$9=$B$160,+(EXP((LN(+'4. Customer Growth'!$Y$34)/12))*$K134),IF($K$9=$B$161,+$A135*$C$166+$D$166,0)))</f>
        <v>13115.073011849432</v>
      </c>
      <c r="L135" s="1180">
        <v>54.10526315789474</v>
      </c>
      <c r="M135" s="1181">
        <v>47.815789473684205</v>
      </c>
      <c r="N135" s="1182">
        <f>IF(N$9=$B$159,+AVERAGE(N15,N27,N39,N51,N63,N75,N87,N99,N111,N123),+IF(N$9=$B$160,+(EXP((LN(+'4. Customer Growth'!$Y$34)/12))*$K134),IF($N$9=$B$161,+$A135*$C$169+$D$169,0)))</f>
        <v>0</v>
      </c>
      <c r="O135" s="1182">
        <f>IF(O$9=$B$159,+AVERAGE(O15,O27,O39,O51,O63,O75,O87,O99,O111,O123),+IF(O$9=$B$160,+(EXP((LN(+'4. Customer Growth'!$Y$34)/12))*$O134),IF($O$9=$B$161,+$A135*$C$170+$D$170,0)))</f>
        <v>-25.169900000000005</v>
      </c>
      <c r="P135" s="1182">
        <f>IF(P$9=$B$159,+AVERAGE(P15,P27,P39,P51,P63,P75,P87,P99,P111,P123),+IF(P$9=$B$160,+(EXP((LN(+'4. Customer Growth'!$Y$34)/12))*$P134),IF($P$9=$B$161,+$A135*$C$171+$D$171,0)))</f>
        <v>30</v>
      </c>
      <c r="Q135" s="240"/>
      <c r="R135" s="268">
        <f t="shared" si="16"/>
        <v>11342921.561155489</v>
      </c>
      <c r="S135" s="1243"/>
      <c r="T135" s="240"/>
      <c r="U135" s="240"/>
      <c r="V135" s="240"/>
      <c r="W135" s="240"/>
      <c r="X135" s="240"/>
      <c r="Y135" s="240"/>
      <c r="Z135" s="240"/>
      <c r="AA135" s="240"/>
      <c r="AB135" s="240"/>
      <c r="AC135" s="240"/>
      <c r="AD135" s="240"/>
      <c r="AE135" s="240"/>
      <c r="AF135" s="240"/>
      <c r="AG135" s="240"/>
      <c r="AH135" s="240"/>
      <c r="AI135" s="240"/>
      <c r="AJ135" s="240"/>
      <c r="AK135" s="240"/>
      <c r="AL135" s="240"/>
      <c r="AM135" s="240"/>
    </row>
    <row r="136" spans="1:39" x14ac:dyDescent="0.2">
      <c r="A136" s="675">
        <f t="shared" si="15"/>
        <v>127</v>
      </c>
      <c r="B136" s="266" t="str">
        <f>CONCATENATE('3. Consumption by Rate Class'!B142,"-",'3. Consumption by Rate Class'!C142)</f>
        <v>2015-July</v>
      </c>
      <c r="C136" s="282"/>
      <c r="D136" s="282"/>
      <c r="E136" s="282"/>
      <c r="F136" s="282"/>
      <c r="G136" s="282"/>
      <c r="H136" s="282"/>
      <c r="I136" s="282"/>
      <c r="J136" s="241"/>
      <c r="K136" s="1179">
        <f>IF(K$9=$B$159,+AVERAGE(K16,K28,K40,K52,K64,K76,K88,K100,K112,K124),+IF(K$9=$B$160,+(EXP((LN(+'4. Customer Growth'!$Y$34)/12))*$K135),IF($K$9=$B$161,+$A136*$C$166+$D$166,0)))</f>
        <v>13130.817792136902</v>
      </c>
      <c r="L136" s="1180">
        <v>11.07894736842105</v>
      </c>
      <c r="M136" s="1181">
        <v>94.857894736842113</v>
      </c>
      <c r="N136" s="1182">
        <f>IF(N$9=$B$159,+AVERAGE(N16,N28,N40,N52,N64,N76,N88,N100,N112,N124),+IF(N$9=$B$160,+(EXP((LN(+'4. Customer Growth'!$Y$34)/12))*$K135),IF($N$9=$B$161,+$A136*$C$169+$D$169,0)))</f>
        <v>0</v>
      </c>
      <c r="O136" s="1182">
        <f>IF(O$9=$B$159,+AVERAGE(O16,O28,O40,O52,O64,O76,O88,O100,O112,O124),+IF(O$9=$B$160,+(EXP((LN(+'4. Customer Growth'!$Y$34)/12))*$O135),IF($O$9=$B$161,+$A136*$C$170+$D$170,0)))</f>
        <v>-25.389400000000006</v>
      </c>
      <c r="P136" s="1182">
        <f>IF(P$9=$B$159,+AVERAGE(P16,P28,P40,P52,P64,P76,P88,P100,P112,P124),+IF(P$9=$B$160,+(EXP((LN(+'4. Customer Growth'!$Y$34)/12))*$P135),IF($P$9=$B$161,+$A136*$C$171+$D$171,0)))</f>
        <v>31</v>
      </c>
      <c r="Q136" s="240"/>
      <c r="R136" s="268">
        <f t="shared" si="16"/>
        <v>12846843.769428758</v>
      </c>
      <c r="S136" s="1243"/>
      <c r="T136" s="240"/>
      <c r="U136" s="240"/>
      <c r="V136" s="240"/>
      <c r="W136" s="240"/>
      <c r="X136" s="240"/>
      <c r="Y136" s="240"/>
      <c r="Z136" s="240"/>
      <c r="AA136" s="240"/>
      <c r="AB136" s="240"/>
      <c r="AC136" s="240"/>
      <c r="AD136" s="240"/>
      <c r="AE136" s="240"/>
      <c r="AF136" s="240"/>
      <c r="AG136" s="240"/>
      <c r="AH136" s="240"/>
      <c r="AI136" s="240"/>
      <c r="AJ136" s="240"/>
      <c r="AK136" s="240"/>
      <c r="AL136" s="240"/>
      <c r="AM136" s="240"/>
    </row>
    <row r="137" spans="1:39" x14ac:dyDescent="0.2">
      <c r="A137" s="675">
        <f t="shared" si="15"/>
        <v>128</v>
      </c>
      <c r="B137" s="266" t="str">
        <f>CONCATENATE('3. Consumption by Rate Class'!B143,"-",'3. Consumption by Rate Class'!C143)</f>
        <v>2015-August</v>
      </c>
      <c r="C137" s="282"/>
      <c r="D137" s="282"/>
      <c r="E137" s="282"/>
      <c r="F137" s="282"/>
      <c r="G137" s="282"/>
      <c r="H137" s="282"/>
      <c r="I137" s="282"/>
      <c r="J137" s="241"/>
      <c r="K137" s="1179">
        <f>IF(K$9=$B$159,+AVERAGE(K17,K29,K41,K53,K65,K77,K89,K101,K113,K125),+IF(K$9=$B$160,+(EXP((LN(+'4. Customer Growth'!$Y$34)/12))*$K136),IF($K$9=$B$161,+$A137*$C$166+$D$166,0)))</f>
        <v>13146.581474195342</v>
      </c>
      <c r="L137" s="1180">
        <v>11.942105263157893</v>
      </c>
      <c r="M137" s="1181">
        <v>76.842105263157904</v>
      </c>
      <c r="N137" s="1182">
        <f>IF(N$9=$B$159,+AVERAGE(N17,N29,N41,N53,N65,N77,N89,N101,N113,N125),+IF(N$9=$B$160,+(EXP((LN(+'4. Customer Growth'!$Y$34)/12))*$K136),IF($N$9=$B$161,+$A137*$C$169+$D$169,0)))</f>
        <v>0</v>
      </c>
      <c r="O137" s="1182">
        <f>IF(O$9=$B$159,+AVERAGE(O17,O29,O41,O53,O65,O77,O89,O101,O113,O125),+IF(O$9=$B$160,+(EXP((LN(+'4. Customer Growth'!$Y$34)/12))*$O136),IF($O$9=$B$161,+$A137*$C$170+$D$170,0)))</f>
        <v>-25.608900000000006</v>
      </c>
      <c r="P137" s="1182">
        <f>IF(P$9=$B$159,+AVERAGE(P17,P29,P41,P53,P65,P77,P89,P101,P113,P125),+IF(P$9=$B$160,+(EXP((LN(+'4. Customer Growth'!$Y$34)/12))*$P136),IF($P$9=$B$161,+$A137*$C$171+$D$171,0)))</f>
        <v>31</v>
      </c>
      <c r="Q137" s="240"/>
      <c r="R137" s="268">
        <f t="shared" si="16"/>
        <v>12358390.856027532</v>
      </c>
      <c r="S137" s="1243"/>
      <c r="T137" s="240"/>
      <c r="U137" s="240"/>
      <c r="V137" s="240"/>
      <c r="W137" s="240"/>
      <c r="X137" s="240"/>
      <c r="Y137" s="240"/>
      <c r="Z137" s="240"/>
      <c r="AA137" s="240"/>
      <c r="AB137" s="240"/>
      <c r="AC137" s="240"/>
      <c r="AD137" s="240"/>
      <c r="AE137" s="240"/>
      <c r="AF137" s="240"/>
      <c r="AG137" s="240"/>
      <c r="AH137" s="240"/>
      <c r="AI137" s="240"/>
      <c r="AJ137" s="240"/>
      <c r="AK137" s="240"/>
      <c r="AL137" s="240"/>
      <c r="AM137" s="240"/>
    </row>
    <row r="138" spans="1:39" x14ac:dyDescent="0.2">
      <c r="A138" s="675">
        <f t="shared" si="15"/>
        <v>129</v>
      </c>
      <c r="B138" s="266" t="str">
        <f>CONCATENATE('3. Consumption by Rate Class'!B144,"-",'3. Consumption by Rate Class'!C144)</f>
        <v>2015-September</v>
      </c>
      <c r="C138" s="282"/>
      <c r="D138" s="282"/>
      <c r="E138" s="282"/>
      <c r="F138" s="282"/>
      <c r="G138" s="282"/>
      <c r="H138" s="282"/>
      <c r="I138" s="282"/>
      <c r="J138" s="241"/>
      <c r="K138" s="1179">
        <f>IF(K$9=$B$159,+AVERAGE(K18,K30,K42,K54,K66,K78,K90,K102,K114,K126),+IF(K$9=$B$160,+(EXP((LN(+'4. Customer Growth'!$Y$34)/12))*$K137),IF($K$9=$B$161,+$A138*$C$166+$D$166,0)))</f>
        <v>13162.364080716519</v>
      </c>
      <c r="L138" s="1180">
        <v>70.726315789473688</v>
      </c>
      <c r="M138" s="1181">
        <v>29.826315789473682</v>
      </c>
      <c r="N138" s="1182">
        <f>IF(N$9=$B$159,+AVERAGE(N18,N30,N42,N54,N66,N78,N90,N102,N114,N126),+IF(N$9=$B$160,+(EXP((LN(+'4. Customer Growth'!$Y$34)/12))*$K137),IF($N$9=$B$161,+$A138*$C$169+$D$169,0)))</f>
        <v>1</v>
      </c>
      <c r="O138" s="1182">
        <f>IF(O$9=$B$159,+AVERAGE(O18,O30,O42,O54,O66,O78,O90,O102,O114,O126),+IF(O$9=$B$160,+(EXP((LN(+'4. Customer Growth'!$Y$34)/12))*$O137),IF($O$9=$B$161,+$A138*$C$170+$D$170,0)))</f>
        <v>-25.828400000000006</v>
      </c>
      <c r="P138" s="1182">
        <f>IF(P$9=$B$159,+AVERAGE(P18,P30,P42,P54,P66,P78,P90,P102,P114,P126),+IF(P$9=$B$160,+(EXP((LN(+'4. Customer Growth'!$Y$34)/12))*$P137),IF($P$9=$B$161,+$A138*$C$171+$D$171,0)))</f>
        <v>30</v>
      </c>
      <c r="Q138" s="240"/>
      <c r="R138" s="268">
        <f t="shared" ref="R138:R153" si="17">$V$24+(K138*$V$25)+(L138*$V$26)+(M138*$V$27)+(N138*$V$28)+(O138*$V$29)+(P138*$V$30)</f>
        <v>10066761.663976789</v>
      </c>
      <c r="S138" s="1243"/>
      <c r="T138" s="240"/>
      <c r="U138" s="240"/>
      <c r="V138" s="240"/>
      <c r="W138" s="240"/>
      <c r="X138" s="240"/>
      <c r="Y138" s="240"/>
      <c r="Z138" s="240"/>
      <c r="AA138" s="240"/>
      <c r="AB138" s="240"/>
      <c r="AC138" s="240"/>
      <c r="AD138" s="240"/>
      <c r="AE138" s="240"/>
      <c r="AF138" s="240"/>
      <c r="AG138" s="240"/>
      <c r="AH138" s="240"/>
      <c r="AI138" s="240"/>
      <c r="AJ138" s="240"/>
      <c r="AK138" s="240"/>
      <c r="AL138" s="240"/>
      <c r="AM138" s="240"/>
    </row>
    <row r="139" spans="1:39" x14ac:dyDescent="0.2">
      <c r="A139" s="675">
        <f t="shared" si="15"/>
        <v>130</v>
      </c>
      <c r="B139" s="266" t="str">
        <f>CONCATENATE('3. Consumption by Rate Class'!B145,"-",'3. Consumption by Rate Class'!C145)</f>
        <v>2015-October</v>
      </c>
      <c r="C139" s="282"/>
      <c r="D139" s="282"/>
      <c r="E139" s="282"/>
      <c r="F139" s="282"/>
      <c r="G139" s="282"/>
      <c r="H139" s="282"/>
      <c r="I139" s="282"/>
      <c r="J139" s="241"/>
      <c r="K139" s="1179">
        <f>IF(K$9=$B$159,+AVERAGE(K19,K31,K43,K55,K67,K79,K91,K103,K115,K127),+IF(K$9=$B$160,+(EXP((LN(+'4. Customer Growth'!$Y$34)/12))*$K138),IF($K$9=$B$161,+$A139*$C$166+$D$166,0)))</f>
        <v>13178.165634419449</v>
      </c>
      <c r="L139" s="1180">
        <v>236.98947368421054</v>
      </c>
      <c r="M139" s="1181">
        <v>4.1789473684210519</v>
      </c>
      <c r="N139" s="1182">
        <f>IF(N$9=$B$159,+AVERAGE(N19,N31,N43,N55,N67,N79,N91,N103,N115,N127),+IF(N$9=$B$160,+(EXP((LN(+'4. Customer Growth'!$Y$34)/12))*$K138),IF($N$9=$B$161,+$A139*$C$169+$D$169,0)))</f>
        <v>1</v>
      </c>
      <c r="O139" s="1182">
        <f>IF(O$9=$B$159,+AVERAGE(O19,O31,O43,O55,O67,O79,O91,O103,O115,O127),+IF(O$9=$B$160,+(EXP((LN(+'4. Customer Growth'!$Y$34)/12))*$O138),IF($O$9=$B$161,+$A139*$C$170+$D$170,0)))</f>
        <v>-26.047900000000006</v>
      </c>
      <c r="P139" s="1182">
        <f>IF(P$9=$B$159,+AVERAGE(P19,P31,P43,P55,P67,P79,P91,P103,P115,P127),+IF(P$9=$B$160,+(EXP((LN(+'4. Customer Growth'!$Y$34)/12))*$P138),IF($P$9=$B$161,+$A139*$C$171+$D$171,0)))</f>
        <v>31</v>
      </c>
      <c r="Q139" s="240"/>
      <c r="R139" s="268">
        <f t="shared" si="17"/>
        <v>10695020.371877426</v>
      </c>
      <c r="S139" s="1243"/>
      <c r="T139" s="240"/>
      <c r="U139" s="240"/>
      <c r="V139" s="240"/>
      <c r="W139" s="240"/>
      <c r="X139" s="240"/>
      <c r="Y139" s="240"/>
      <c r="Z139" s="240"/>
      <c r="AA139" s="240"/>
      <c r="AB139" s="240"/>
      <c r="AC139" s="240"/>
      <c r="AD139" s="240"/>
      <c r="AE139" s="240"/>
      <c r="AF139" s="240"/>
      <c r="AG139" s="240"/>
      <c r="AH139" s="240"/>
      <c r="AI139" s="240"/>
      <c r="AJ139" s="240"/>
      <c r="AK139" s="240"/>
      <c r="AL139" s="240"/>
      <c r="AM139" s="240"/>
    </row>
    <row r="140" spans="1:39" x14ac:dyDescent="0.2">
      <c r="A140" s="675">
        <f t="shared" ref="A140:A153" si="18">+A139+1</f>
        <v>131</v>
      </c>
      <c r="B140" s="266" t="str">
        <f>CONCATENATE('3. Consumption by Rate Class'!B146,"-",'3. Consumption by Rate Class'!C146)</f>
        <v>2015-November</v>
      </c>
      <c r="C140" s="282"/>
      <c r="D140" s="282"/>
      <c r="E140" s="282"/>
      <c r="F140" s="282"/>
      <c r="G140" s="282"/>
      <c r="H140" s="282"/>
      <c r="I140" s="282"/>
      <c r="J140" s="241"/>
      <c r="K140" s="1179">
        <f>IF(K$9=$B$159,+AVERAGE(K20,K32,K44,K56,K68,K80,K92,K104,K116,K128),+IF(K$9=$B$160,+(EXP((LN(+'4. Customer Growth'!$Y$34)/12))*$K139),IF($K$9=$B$161,+$A140*$C$166+$D$166,0)))</f>
        <v>13193.986158050417</v>
      </c>
      <c r="L140" s="1180">
        <v>395.07368421052632</v>
      </c>
      <c r="M140" s="1181">
        <v>0</v>
      </c>
      <c r="N140" s="1182">
        <f>IF(N$9=$B$159,+AVERAGE(N20,N32,N44,N56,N68,N80,N92,N104,N116,N128),+IF(N$9=$B$160,+(EXP((LN(+'4. Customer Growth'!$Y$34)/12))*$K139),IF($N$9=$B$161,+$A140*$C$169+$D$169,0)))</f>
        <v>1</v>
      </c>
      <c r="O140" s="1182">
        <f>IF(O$9=$B$159,+AVERAGE(O20,O32,O44,O56,O68,O80,O92,O104,O116,O128),+IF(O$9=$B$160,+(EXP((LN(+'4. Customer Growth'!$Y$34)/12))*$O139),IF($O$9=$B$161,+$A140*$C$170+$D$170,0)))</f>
        <v>-26.267400000000006</v>
      </c>
      <c r="P140" s="1182">
        <f>IF(P$9=$B$159,+AVERAGE(P20,P32,P44,P56,P68,P80,P92,P104,P116,P128),+IF(P$9=$B$160,+(EXP((LN(+'4. Customer Growth'!$Y$34)/12))*$P139),IF($P$9=$B$161,+$A140*$C$171+$D$171,0)))</f>
        <v>30</v>
      </c>
      <c r="Q140" s="240"/>
      <c r="R140" s="268">
        <f t="shared" si="17"/>
        <v>11019567.295392849</v>
      </c>
      <c r="S140" s="1243"/>
      <c r="T140" s="240"/>
      <c r="U140" s="240"/>
      <c r="V140" s="240"/>
      <c r="W140" s="240"/>
      <c r="X140" s="240"/>
      <c r="Y140" s="240"/>
      <c r="Z140" s="240"/>
      <c r="AA140" s="240"/>
      <c r="AB140" s="240"/>
      <c r="AC140" s="240"/>
      <c r="AD140" s="240"/>
      <c r="AE140" s="240"/>
      <c r="AF140" s="240"/>
      <c r="AG140" s="240"/>
      <c r="AH140" s="240"/>
      <c r="AI140" s="240"/>
      <c r="AJ140" s="240"/>
      <c r="AK140" s="240"/>
      <c r="AL140" s="240"/>
      <c r="AM140" s="240"/>
    </row>
    <row r="141" spans="1:39" x14ac:dyDescent="0.2">
      <c r="A141" s="675">
        <f t="shared" si="18"/>
        <v>132</v>
      </c>
      <c r="B141" s="266" t="str">
        <f>CONCATENATE('3. Consumption by Rate Class'!B147,"-",'3. Consumption by Rate Class'!C147)</f>
        <v>2015-December</v>
      </c>
      <c r="C141" s="282"/>
      <c r="D141" s="282"/>
      <c r="E141" s="282"/>
      <c r="F141" s="282"/>
      <c r="G141" s="282"/>
      <c r="H141" s="282"/>
      <c r="I141" s="282"/>
      <c r="J141" s="241"/>
      <c r="K141" s="1179">
        <f>IF(K$9=$B$159,+AVERAGE(K21,K33,K45,K57,K69,K81,K93,K105,K117,K129),+IF(K$9=$B$160,+(EXP((LN(+'4. Customer Growth'!$Y$34)/12))*$K140),IF($K$9=$B$161,+$A141*$C$166+$D$166,0)))</f>
        <v>13209.825674383017</v>
      </c>
      <c r="L141" s="1180">
        <v>602.45263157894749</v>
      </c>
      <c r="M141" s="1181">
        <v>0</v>
      </c>
      <c r="N141" s="1182">
        <f>IF(N$9=$B$159,+AVERAGE(N21,N33,N45,N57,N69,N81,N93,N105,N117,N129),+IF(N$9=$B$160,+(EXP((LN(+'4. Customer Growth'!$Y$34)/12))*$K140),IF($N$9=$B$161,+$A141*$C$169+$D$169,0)))</f>
        <v>0</v>
      </c>
      <c r="O141" s="1182">
        <f>IF(O$9=$B$159,+AVERAGE(O21,O33,O45,O57,O69,O81,O93,O105,O117,O129),+IF(O$9=$B$160,+(EXP((LN(+'4. Customer Growth'!$Y$34)/12))*$O140),IF($O$9=$B$161,+$A141*$C$170+$D$170,0)))</f>
        <v>-26.486900000000006</v>
      </c>
      <c r="P141" s="1182">
        <f>IF(P$9=$B$159,+AVERAGE(P21,P33,P45,P57,P69,P81,P93,P105,P117,P129),+IF(P$9=$B$160,+(EXP((LN(+'4. Customer Growth'!$Y$34)/12))*$P140),IF($P$9=$B$161,+$A141*$C$171+$D$171,0)))</f>
        <v>31</v>
      </c>
      <c r="Q141" s="240"/>
      <c r="R141" s="268">
        <f t="shared" si="17"/>
        <v>13470344.453118917</v>
      </c>
      <c r="S141" s="272">
        <f>SUM(R130:R141)</f>
        <v>141872714.09228328</v>
      </c>
      <c r="T141" s="240"/>
      <c r="U141" s="240"/>
      <c r="V141" s="240"/>
      <c r="W141" s="240"/>
      <c r="X141" s="240"/>
      <c r="Y141" s="240"/>
      <c r="Z141" s="240"/>
      <c r="AA141" s="240"/>
      <c r="AB141" s="240"/>
      <c r="AC141" s="240"/>
      <c r="AD141" s="240"/>
      <c r="AE141" s="240"/>
      <c r="AF141" s="240"/>
      <c r="AG141" s="240"/>
      <c r="AH141" s="240"/>
      <c r="AI141" s="240"/>
      <c r="AJ141" s="240"/>
      <c r="AK141" s="240"/>
      <c r="AL141" s="240"/>
      <c r="AM141" s="240"/>
    </row>
    <row r="142" spans="1:39" x14ac:dyDescent="0.2">
      <c r="A142" s="675">
        <f t="shared" si="18"/>
        <v>133</v>
      </c>
      <c r="B142" s="266" t="str">
        <f>CONCATENATE('3. Consumption by Rate Class'!B148,"-",'3. Consumption by Rate Class'!C148)</f>
        <v>2016-January</v>
      </c>
      <c r="C142" s="282"/>
      <c r="D142" s="282"/>
      <c r="E142" s="282"/>
      <c r="F142" s="282"/>
      <c r="G142" s="282"/>
      <c r="H142" s="282"/>
      <c r="I142" s="282"/>
      <c r="J142" s="241"/>
      <c r="K142" s="1179">
        <f>IF(K$9=$B$159,+AVERAGE(K10,K22,K34,K46,K58,K70,K82,K94,K106,K118),+IF(K$9=$B$160,+(EXP((LN(+'4. Customer Growth'!$Y$35)/12))*$K141),IF($K$9=$B$161,+$A142*$C$166+$D$166,0)))</f>
        <v>13226.964730103569</v>
      </c>
      <c r="L142" s="1181">
        <v>716.1</v>
      </c>
      <c r="M142" s="1181">
        <v>0</v>
      </c>
      <c r="N142" s="1182">
        <f>IF(N$9=$B$159,+AVERAGE(N10,N22,N34,N46,N58,N70,N82,N94,N106,N118),+IF(N$9=$B$160,+(EXP((LN(+'4. Customer Growth'!$Y$35)/12))*$K141),IF($N$9=$B$161,+$A142*$C$169+$D$169,0)))</f>
        <v>0</v>
      </c>
      <c r="O142" s="1182">
        <f>IF(O$9=$B$159,+AVERAGE(O10,O22,O34,O46,O58,O70,O82,O94,O106,O118),+IF(O$9=$B$160,+(EXP((LN(+'4. Customer Growth'!$Y$35)/12))*$O141),IF($O$9=$B$161,+$A142*$C$170+$D$170,0)))</f>
        <v>-26.706400000000006</v>
      </c>
      <c r="P142" s="1182">
        <f>IF(P$9=$B$159,+AVERAGE(P10,P22,P34,P46,P58,P70,P82,P94,P106,P118),+IF(P$9=$B$160,+(EXP((LN(+'4. Customer Growth'!$Y$35)/12))*$P141),IF($P$9=$B$161,+$A142*$C$171+$D$171,0)))</f>
        <v>31</v>
      </c>
      <c r="Q142" s="240"/>
      <c r="R142" s="268">
        <f t="shared" si="17"/>
        <v>14098517.161923006</v>
      </c>
      <c r="S142" s="1243"/>
      <c r="T142" s="240"/>
      <c r="U142" s="240"/>
      <c r="V142" s="240"/>
      <c r="W142" s="240"/>
      <c r="X142" s="240"/>
      <c r="Y142" s="240"/>
      <c r="Z142" s="240"/>
      <c r="AA142" s="240"/>
      <c r="AB142" s="240"/>
      <c r="AC142" s="240"/>
      <c r="AD142" s="240"/>
      <c r="AE142" s="240"/>
      <c r="AF142" s="240"/>
      <c r="AG142" s="240"/>
      <c r="AH142" s="240"/>
      <c r="AI142" s="240"/>
      <c r="AJ142" s="240"/>
      <c r="AK142" s="240"/>
      <c r="AL142" s="240"/>
      <c r="AM142" s="240"/>
    </row>
    <row r="143" spans="1:39" x14ac:dyDescent="0.2">
      <c r="A143" s="675">
        <f t="shared" si="18"/>
        <v>134</v>
      </c>
      <c r="B143" s="266" t="str">
        <f>CONCATENATE('3. Consumption by Rate Class'!B149,"-",'3. Consumption by Rate Class'!C149)</f>
        <v>2016-February</v>
      </c>
      <c r="C143" s="282"/>
      <c r="D143" s="282"/>
      <c r="E143" s="282"/>
      <c r="F143" s="282"/>
      <c r="G143" s="282"/>
      <c r="H143" s="282"/>
      <c r="I143" s="282"/>
      <c r="J143" s="241"/>
      <c r="K143" s="1179">
        <f>IF(K$9=$B$159,+AVERAGE(K11,K23,K35,K47,K59,K71,K83,K95,K107,K119),+IF(K$9=$B$160,+(EXP((LN(+'4. Customer Growth'!$Y$35)/12))*$K142),IF($K$9=$B$161,+$A143*$C$166+$D$166,0)))</f>
        <v>13244.126022849669</v>
      </c>
      <c r="L143" s="1181">
        <v>630.80526315789473</v>
      </c>
      <c r="M143" s="1181">
        <v>0</v>
      </c>
      <c r="N143" s="1182">
        <f>IF(N$9=$B$159,+AVERAGE(N11,N23,N35,N47,N59,N71,N83,N95,N107,N119),+IF(N$9=$B$160,+(EXP((LN(+'4. Customer Growth'!$Y$35)/12))*$K142),IF($N$9=$B$161,+$A143*$C$169+$D$169,0)))</f>
        <v>0</v>
      </c>
      <c r="O143" s="1182">
        <f>IF(O$9=$B$159,+AVERAGE(O11,O23,O35,O47,O59,O71,O83,O95,O107,O119),+IF(O$9=$B$160,+(EXP((LN(+'4. Customer Growth'!$Y$35)/12))*$O142),IF($O$9=$B$161,+$A143*$C$170+$D$170,0)))</f>
        <v>-26.925900000000006</v>
      </c>
      <c r="P143" s="1181">
        <v>28.25</v>
      </c>
      <c r="Q143" s="240"/>
      <c r="R143" s="268">
        <f t="shared" si="17"/>
        <v>12467989.481496295</v>
      </c>
      <c r="S143" s="1243"/>
      <c r="T143" s="240"/>
      <c r="U143" s="240"/>
      <c r="V143" s="240"/>
      <c r="W143" s="240"/>
      <c r="X143" s="240"/>
      <c r="Y143" s="240"/>
      <c r="Z143" s="240"/>
      <c r="AA143" s="240"/>
      <c r="AB143" s="240"/>
      <c r="AC143" s="240"/>
      <c r="AD143" s="240"/>
      <c r="AE143" s="240"/>
      <c r="AF143" s="240"/>
      <c r="AG143" s="240"/>
      <c r="AH143" s="240"/>
      <c r="AI143" s="240"/>
      <c r="AJ143" s="240"/>
      <c r="AK143" s="240"/>
      <c r="AL143" s="240"/>
      <c r="AM143" s="240"/>
    </row>
    <row r="144" spans="1:39" x14ac:dyDescent="0.2">
      <c r="A144" s="675">
        <f t="shared" si="18"/>
        <v>135</v>
      </c>
      <c r="B144" s="266" t="str">
        <f>CONCATENATE('3. Consumption by Rate Class'!B150,"-",'3. Consumption by Rate Class'!C150)</f>
        <v>2016-March</v>
      </c>
      <c r="C144" s="282"/>
      <c r="D144" s="282"/>
      <c r="E144" s="282"/>
      <c r="F144" s="282"/>
      <c r="G144" s="282"/>
      <c r="H144" s="282"/>
      <c r="I144" s="282"/>
      <c r="J144" s="241"/>
      <c r="K144" s="1179">
        <f>IF(K$9=$B$159,+AVERAGE(K12,K24,K36,K48,K60,K72,K84,K96,K108,K120),+IF(K$9=$B$160,+(EXP((LN(+'4. Customer Growth'!$Y$35)/12))*$K143),IF($K$9=$B$161,+$A144*$C$166+$D$166,0)))</f>
        <v>13261.309581472688</v>
      </c>
      <c r="L144" s="1181">
        <v>566.09473684210525</v>
      </c>
      <c r="M144" s="1181">
        <v>0.14736842105263157</v>
      </c>
      <c r="N144" s="1182">
        <f>IF(N$9=$B$159,+AVERAGE(N12,N24,N36,N48,N60,N72,N84,N96,N108,N120),+IF(N$9=$B$160,+(EXP((LN(+'4. Customer Growth'!$Y$35)/12))*$K143),IF($N$9=$B$161,+$A144*$C$169+$D$169,0)))</f>
        <v>1</v>
      </c>
      <c r="O144" s="1182">
        <f>IF(O$9=$B$159,+AVERAGE(O12,O24,O36,O48,O60,O72,O84,O96,O108,O120),+IF(O$9=$B$160,+(EXP((LN(+'4. Customer Growth'!$Y$35)/12))*$O143),IF($O$9=$B$161,+$A144*$C$170+$D$170,0)))</f>
        <v>-27.145400000000006</v>
      </c>
      <c r="P144" s="1182">
        <f>IF(P$9=$B$159,+AVERAGE(P12,P24,P36,P48,P60,P72,P84,P96,P108,P120),+IF(P$9=$B$160,+(EXP((LN(+'4. Customer Growth'!$Y$35)/12))*$P143),IF($P$9=$B$161,+$A144*$C$171+$D$171,0)))</f>
        <v>31</v>
      </c>
      <c r="Q144" s="240"/>
      <c r="R144" s="268">
        <f t="shared" si="17"/>
        <v>12416566.313518666</v>
      </c>
      <c r="S144" s="1243"/>
      <c r="T144" s="240"/>
      <c r="U144" s="240"/>
      <c r="V144" s="240"/>
      <c r="W144" s="240"/>
      <c r="X144" s="240"/>
      <c r="Y144" s="240"/>
      <c r="Z144" s="240"/>
      <c r="AA144" s="240"/>
      <c r="AB144" s="240"/>
      <c r="AC144" s="240"/>
      <c r="AD144" s="240"/>
      <c r="AE144" s="240"/>
      <c r="AF144" s="240"/>
      <c r="AG144" s="240"/>
      <c r="AH144" s="240"/>
      <c r="AI144" s="240"/>
      <c r="AJ144" s="240"/>
      <c r="AK144" s="240"/>
      <c r="AL144" s="240"/>
      <c r="AM144" s="240"/>
    </row>
    <row r="145" spans="1:39" x14ac:dyDescent="0.2">
      <c r="A145" s="675">
        <f t="shared" si="18"/>
        <v>136</v>
      </c>
      <c r="B145" s="266" t="str">
        <f>CONCATENATE('3. Consumption by Rate Class'!B151,"-",'3. Consumption by Rate Class'!C151)</f>
        <v>2016-April</v>
      </c>
      <c r="C145" s="282"/>
      <c r="D145" s="282"/>
      <c r="E145" s="282"/>
      <c r="F145" s="282"/>
      <c r="G145" s="282"/>
      <c r="H145" s="282"/>
      <c r="I145" s="282"/>
      <c r="J145" s="241"/>
      <c r="K145" s="1179">
        <f>IF(K$9=$B$159,+AVERAGE(K13,K25,K37,K49,K61,K73,K85,K97,K109,K121),+IF(K$9=$B$160,+(EXP((LN(+'4. Customer Growth'!$Y$35)/12))*$K144),IF($K$9=$B$161,+$A145*$C$166+$D$166,0)))</f>
        <v>13278.515434861436</v>
      </c>
      <c r="L145" s="1181">
        <v>353.21578947368414</v>
      </c>
      <c r="M145" s="1181">
        <v>1.1052631578947369</v>
      </c>
      <c r="N145" s="1182">
        <f>IF(N$9=$B$159,+AVERAGE(N13,N25,N37,N49,N61,N73,N85,N97,N109,N121),+IF(N$9=$B$160,+(EXP((LN(+'4. Customer Growth'!$Y$35)/12))*$K144),IF($N$9=$B$161,+$A145*$C$169+$D$169,0)))</f>
        <v>1</v>
      </c>
      <c r="O145" s="1182">
        <f>IF(O$9=$B$159,+AVERAGE(O13,O25,O37,O49,O61,O73,O85,O97,O109,O121),+IF(O$9=$B$160,+(EXP((LN(+'4. Customer Growth'!$Y$35)/12))*$O144),IF($O$9=$B$161,+$A145*$C$170+$D$170,0)))</f>
        <v>-27.364900000000006</v>
      </c>
      <c r="P145" s="1182">
        <f>IF(P$9=$B$159,+AVERAGE(P13,P25,P37,P49,P61,P73,P85,P97,P109,P121),+IF(P$9=$B$160,+(EXP((LN(+'4. Customer Growth'!$Y$35)/12))*$P144),IF($P$9=$B$161,+$A145*$C$171+$D$171,0)))</f>
        <v>30</v>
      </c>
      <c r="Q145" s="240"/>
      <c r="R145" s="268">
        <f t="shared" si="17"/>
        <v>10865431.351165809</v>
      </c>
      <c r="S145" s="1243"/>
      <c r="T145" s="240"/>
      <c r="U145" s="240"/>
      <c r="V145" s="240"/>
      <c r="W145" s="240"/>
      <c r="X145" s="240"/>
      <c r="Y145" s="240"/>
      <c r="Z145" s="240"/>
      <c r="AA145" s="240"/>
      <c r="AB145" s="240"/>
      <c r="AC145" s="240"/>
      <c r="AD145" s="240"/>
      <c r="AE145" s="240"/>
      <c r="AF145" s="240"/>
      <c r="AG145" s="240"/>
      <c r="AH145" s="240"/>
      <c r="AI145" s="240"/>
      <c r="AJ145" s="240"/>
      <c r="AK145" s="240"/>
      <c r="AL145" s="240"/>
      <c r="AM145" s="240"/>
    </row>
    <row r="146" spans="1:39" x14ac:dyDescent="0.2">
      <c r="A146" s="675">
        <f t="shared" si="18"/>
        <v>137</v>
      </c>
      <c r="B146" s="266" t="str">
        <f>CONCATENATE('3. Consumption by Rate Class'!B152,"-",'3. Consumption by Rate Class'!C152)</f>
        <v>2016-May</v>
      </c>
      <c r="C146" s="282"/>
      <c r="D146" s="282"/>
      <c r="E146" s="282"/>
      <c r="F146" s="282"/>
      <c r="G146" s="282"/>
      <c r="H146" s="282"/>
      <c r="I146" s="282"/>
      <c r="J146" s="241"/>
      <c r="K146" s="1179">
        <f>IF(K$9=$B$159,+AVERAGE(K14,K26,K38,K50,K62,K74,K86,K98,K110,K122),+IF(K$9=$B$160,+(EXP((LN(+'4. Customer Growth'!$Y$35)/12))*$K145),IF($K$9=$B$161,+$A146*$C$166+$D$166,0)))</f>
        <v>13295.7436119422</v>
      </c>
      <c r="L146" s="1181">
        <v>185.71052631578945</v>
      </c>
      <c r="M146" s="1181">
        <v>10.584210526315788</v>
      </c>
      <c r="N146" s="1182">
        <f>IF(N$9=$B$159,+AVERAGE(N14,N26,N38,N50,N62,N74,N86,N98,N110,N122),+IF(N$9=$B$160,+(EXP((LN(+'4. Customer Growth'!$Y$35)/12))*$K145),IF($N$9=$B$161,+$A146*$C$169+$D$169,0)))</f>
        <v>1</v>
      </c>
      <c r="O146" s="1182">
        <f>IF(O$9=$B$159,+AVERAGE(O14,O26,O38,O50,O62,O74,O86,O98,O110,O122),+IF(O$9=$B$160,+(EXP((LN(+'4. Customer Growth'!$Y$35)/12))*$O145),IF($O$9=$B$161,+$A146*$C$170+$D$170,0)))</f>
        <v>-27.584400000000006</v>
      </c>
      <c r="P146" s="1182">
        <f>IF(P$9=$B$159,+AVERAGE(P14,P26,P38,P50,P62,P74,P86,P98,P110,P122),+IF(P$9=$B$160,+(EXP((LN(+'4. Customer Growth'!$Y$35)/12))*$P145),IF($P$9=$B$161,+$A146*$C$171+$D$171,0)))</f>
        <v>31</v>
      </c>
      <c r="Q146" s="240"/>
      <c r="R146" s="268">
        <f t="shared" si="17"/>
        <v>10652381.5893167</v>
      </c>
      <c r="S146" s="1243"/>
      <c r="T146" s="240"/>
      <c r="U146" s="240"/>
      <c r="V146" s="240"/>
      <c r="W146" s="240"/>
      <c r="X146" s="240"/>
      <c r="Y146" s="240"/>
      <c r="Z146" s="240"/>
      <c r="AA146" s="240"/>
      <c r="AB146" s="240"/>
      <c r="AC146" s="240"/>
      <c r="AD146" s="240"/>
      <c r="AE146" s="240"/>
      <c r="AF146" s="240"/>
      <c r="AG146" s="240"/>
      <c r="AH146" s="240"/>
      <c r="AI146" s="240"/>
      <c r="AJ146" s="240"/>
      <c r="AK146" s="240"/>
      <c r="AL146" s="240"/>
      <c r="AM146" s="240"/>
    </row>
    <row r="147" spans="1:39" x14ac:dyDescent="0.2">
      <c r="A147" s="675">
        <f t="shared" si="18"/>
        <v>138</v>
      </c>
      <c r="B147" s="266" t="str">
        <f>CONCATENATE('3. Consumption by Rate Class'!B153,"-",'3. Consumption by Rate Class'!C153)</f>
        <v>2016-June</v>
      </c>
      <c r="C147" s="282"/>
      <c r="D147" s="282"/>
      <c r="E147" s="282"/>
      <c r="F147" s="282"/>
      <c r="G147" s="282"/>
      <c r="H147" s="282"/>
      <c r="I147" s="282"/>
      <c r="J147" s="241"/>
      <c r="K147" s="1179">
        <f>IF(K$9=$B$159,+AVERAGE(K15,K27,K39,K51,K63,K75,K87,K99,K111,K123),+IF(K$9=$B$160,+(EXP((LN(+'4. Customer Growth'!$Y$35)/12))*$K146),IF($K$9=$B$161,+$A147*$C$166+$D$166,0)))</f>
        <v>13312.994141678801</v>
      </c>
      <c r="L147" s="1181">
        <v>54.10526315789474</v>
      </c>
      <c r="M147" s="1181">
        <v>47.815789473684205</v>
      </c>
      <c r="N147" s="1182">
        <f>IF(N$9=$B$159,+AVERAGE(N15,N27,N39,N51,N63,N75,N87,N99,N111,N123),+IF(N$9=$B$160,+(EXP((LN(+'4. Customer Growth'!$Y$35)/12))*$K146),IF($N$9=$B$161,+$A147*$C$169+$D$169,0)))</f>
        <v>0</v>
      </c>
      <c r="O147" s="1182">
        <f>IF(O$9=$B$159,+AVERAGE(O15,O27,O39,O51,O63,O75,O87,O99,O111,O123),+IF(O$9=$B$160,+(EXP((LN(+'4. Customer Growth'!$Y$35)/12))*$O146),IF($O$9=$B$161,+$A147*$C$170+$D$170,0)))</f>
        <v>-27.803900000000006</v>
      </c>
      <c r="P147" s="1182">
        <f>IF(P$9=$B$159,+AVERAGE(P15,P27,P39,P51,P63,P75,P87,P99,P111,P123),+IF(P$9=$B$160,+(EXP((LN(+'4. Customer Growth'!$Y$35)/12))*$P146),IF($P$9=$B$161,+$A147*$C$171+$D$171,0)))</f>
        <v>30</v>
      </c>
      <c r="Q147" s="240"/>
      <c r="R147" s="268">
        <f t="shared" si="17"/>
        <v>11437227.046167346</v>
      </c>
      <c r="S147" s="1243"/>
      <c r="T147" s="240"/>
      <c r="U147" s="240"/>
      <c r="V147" s="240"/>
      <c r="W147" s="240"/>
      <c r="X147" s="240"/>
      <c r="Y147" s="240"/>
      <c r="Z147" s="240"/>
      <c r="AA147" s="240"/>
      <c r="AB147" s="240"/>
      <c r="AC147" s="240"/>
      <c r="AD147" s="240"/>
      <c r="AE147" s="240"/>
      <c r="AF147" s="240"/>
      <c r="AG147" s="240"/>
      <c r="AH147" s="240"/>
      <c r="AI147" s="240"/>
      <c r="AJ147" s="240"/>
      <c r="AK147" s="240"/>
      <c r="AL147" s="240"/>
      <c r="AM147" s="240"/>
    </row>
    <row r="148" spans="1:39" x14ac:dyDescent="0.2">
      <c r="A148" s="675">
        <f t="shared" si="18"/>
        <v>139</v>
      </c>
      <c r="B148" s="266" t="str">
        <f>CONCATENATE('3. Consumption by Rate Class'!B154,"-",'3. Consumption by Rate Class'!C154)</f>
        <v>2016-July</v>
      </c>
      <c r="C148" s="282"/>
      <c r="D148" s="282"/>
      <c r="E148" s="282"/>
      <c r="F148" s="282"/>
      <c r="G148" s="282"/>
      <c r="H148" s="282"/>
      <c r="I148" s="282"/>
      <c r="J148" s="241"/>
      <c r="K148" s="1179">
        <f>IF(K$9=$B$159,+AVERAGE(K16,K28,K40,K52,K64,K76,K88,K100,K112,K124),+IF(K$9=$B$160,+(EXP((LN(+'4. Customer Growth'!$Y$35)/12))*$K147),IF($K$9=$B$161,+$A148*$C$166+$D$166,0)))</f>
        <v>13330.267053072635</v>
      </c>
      <c r="L148" s="1181">
        <v>11.07894736842105</v>
      </c>
      <c r="M148" s="1181">
        <v>94.857894736842113</v>
      </c>
      <c r="N148" s="1182">
        <f>IF(N$9=$B$159,+AVERAGE(N16,N28,N40,N52,N64,N76,N88,N100,N112,N124),+IF(N$9=$B$160,+(EXP((LN(+'4. Customer Growth'!$Y$35)/12))*$K147),IF($N$9=$B$161,+$A148*$C$169+$D$169,0)))</f>
        <v>0</v>
      </c>
      <c r="O148" s="1182">
        <f>IF(O$9=$B$159,+AVERAGE(O16,O28,O40,O52,O64,O76,O88,O100,O112,O124),+IF(O$9=$B$160,+(EXP((LN(+'4. Customer Growth'!$Y$35)/12))*$O147),IF($O$9=$B$161,+$A148*$C$170+$D$170,0)))</f>
        <v>-28.023400000000006</v>
      </c>
      <c r="P148" s="1182">
        <f>IF(P$9=$B$159,+AVERAGE(P16,P28,P40,P52,P64,P76,P88,P100,P112,P124),+IF(P$9=$B$160,+(EXP((LN(+'4. Customer Growth'!$Y$35)/12))*$P147),IF($P$9=$B$161,+$A148*$C$171+$D$171,0)))</f>
        <v>31</v>
      </c>
      <c r="Q148" s="240"/>
      <c r="R148" s="268">
        <f t="shared" si="17"/>
        <v>12944065.197524138</v>
      </c>
      <c r="S148" s="1243"/>
      <c r="T148" s="240"/>
      <c r="U148" s="240"/>
      <c r="V148" s="240"/>
      <c r="W148" s="240"/>
      <c r="X148" s="240"/>
      <c r="Y148" s="240"/>
      <c r="Z148" s="240"/>
      <c r="AA148" s="240"/>
      <c r="AB148" s="240"/>
      <c r="AC148" s="240"/>
      <c r="AD148" s="240"/>
      <c r="AE148" s="240"/>
      <c r="AF148" s="240"/>
      <c r="AG148" s="240"/>
      <c r="AH148" s="240"/>
      <c r="AI148" s="240"/>
      <c r="AJ148" s="240"/>
      <c r="AK148" s="240"/>
      <c r="AL148" s="240"/>
      <c r="AM148" s="240"/>
    </row>
    <row r="149" spans="1:39" x14ac:dyDescent="0.2">
      <c r="A149" s="675">
        <f t="shared" si="18"/>
        <v>140</v>
      </c>
      <c r="B149" s="266" t="str">
        <f>CONCATENATE('3. Consumption by Rate Class'!B155,"-",'3. Consumption by Rate Class'!C155)</f>
        <v>2016-August</v>
      </c>
      <c r="C149" s="282"/>
      <c r="D149" s="282"/>
      <c r="E149" s="282"/>
      <c r="F149" s="282"/>
      <c r="G149" s="282"/>
      <c r="H149" s="282"/>
      <c r="I149" s="282"/>
      <c r="J149" s="241"/>
      <c r="K149" s="1179">
        <f>IF(K$9=$B$159,+AVERAGE(K17,K29,K41,K53,K65,K77,K89,K101,K113,K125),+IF(K$9=$B$160,+(EXP((LN(+'4. Customer Growth'!$Y$35)/12))*$K148),IF($K$9=$B$161,+$A149*$C$166+$D$166,0)))</f>
        <v>13347.56237516273</v>
      </c>
      <c r="L149" s="1181">
        <v>11.942105263157893</v>
      </c>
      <c r="M149" s="1181">
        <v>76.842105263157904</v>
      </c>
      <c r="N149" s="1182">
        <f>IF(N$9=$B$159,+AVERAGE(N17,N29,N41,N53,N65,N77,N89,N101,N113,N125),+IF(N$9=$B$160,+(EXP((LN(+'4. Customer Growth'!$Y$35)/12))*$K148),IF($N$9=$B$161,+$A149*$C$169+$D$169,0)))</f>
        <v>0</v>
      </c>
      <c r="O149" s="1182">
        <f>IF(O$9=$B$159,+AVERAGE(O17,O29,O41,O53,O65,O77,O89,O101,O113,O125),+IF(O$9=$B$160,+(EXP((LN(+'4. Customer Growth'!$Y$35)/12))*$O148),IF($O$9=$B$161,+$A149*$C$170+$D$170,0)))</f>
        <v>-28.242900000000006</v>
      </c>
      <c r="P149" s="1182">
        <f>IF(P$9=$B$159,+AVERAGE(P17,P29,P41,P53,P65,P77,P89,P101,P113,P125),+IF(P$9=$B$160,+(EXP((LN(+'4. Customer Growth'!$Y$35)/12))*$P148),IF($P$9=$B$161,+$A149*$C$171+$D$171,0)))</f>
        <v>31</v>
      </c>
      <c r="Q149" s="240"/>
      <c r="R149" s="268">
        <f t="shared" si="17"/>
        <v>12458534.922853414</v>
      </c>
      <c r="S149" s="1243"/>
      <c r="T149" s="240"/>
      <c r="U149" s="240"/>
      <c r="V149" s="240"/>
      <c r="W149" s="240"/>
      <c r="X149" s="240"/>
      <c r="Y149" s="240"/>
      <c r="Z149" s="240"/>
      <c r="AA149" s="240"/>
      <c r="AB149" s="240"/>
      <c r="AC149" s="240"/>
      <c r="AD149" s="240"/>
      <c r="AE149" s="240"/>
      <c r="AF149" s="240"/>
      <c r="AG149" s="240"/>
      <c r="AH149" s="240"/>
      <c r="AI149" s="240"/>
      <c r="AJ149" s="240"/>
      <c r="AK149" s="240"/>
      <c r="AL149" s="240"/>
      <c r="AM149" s="240"/>
    </row>
    <row r="150" spans="1:39" x14ac:dyDescent="0.2">
      <c r="A150" s="675">
        <f t="shared" si="18"/>
        <v>141</v>
      </c>
      <c r="B150" s="266" t="str">
        <f>CONCATENATE('3. Consumption by Rate Class'!B156,"-",'3. Consumption by Rate Class'!C156)</f>
        <v>2016-September</v>
      </c>
      <c r="C150" s="282"/>
      <c r="D150" s="282"/>
      <c r="E150" s="282"/>
      <c r="F150" s="282"/>
      <c r="G150" s="282"/>
      <c r="H150" s="282"/>
      <c r="I150" s="282"/>
      <c r="J150" s="241"/>
      <c r="K150" s="1179">
        <f>IF(K$9=$B$159,+AVERAGE(K18,K30,K42,K54,K66,K78,K90,K102,K114,K126),+IF(K$9=$B$160,+(EXP((LN(+'4. Customer Growth'!$Y$35)/12))*$K149),IF($K$9=$B$161,+$A150*$C$166+$D$166,0)))</f>
        <v>13364.880137025786</v>
      </c>
      <c r="L150" s="1181">
        <v>70.726315789473688</v>
      </c>
      <c r="M150" s="1181">
        <v>29.826315789473682</v>
      </c>
      <c r="N150" s="1182">
        <f>IF(N$9=$B$159,+AVERAGE(N18,N30,N42,N54,N66,N78,N90,N102,N114,N126),+IF(N$9=$B$160,+(EXP((LN(+'4. Customer Growth'!$Y$35)/12))*$K149),IF($N$9=$B$161,+$A150*$C$169+$D$169,0)))</f>
        <v>1</v>
      </c>
      <c r="O150" s="1182">
        <f>IF(O$9=$B$159,+AVERAGE(O18,O30,O42,O54,O66,O78,O90,O102,O114,O126),+IF(O$9=$B$160,+(EXP((LN(+'4. Customer Growth'!$Y$35)/12))*$O149),IF($O$9=$B$161,+$A150*$C$170+$D$170,0)))</f>
        <v>-28.462400000000006</v>
      </c>
      <c r="P150" s="1182">
        <f>IF(P$9=$B$159,+AVERAGE(P18,P30,P42,P54,P66,P78,P90,P102,P114,P126),+IF(P$9=$B$160,+(EXP((LN(+'4. Customer Growth'!$Y$35)/12))*$P149),IF($P$9=$B$161,+$A150*$C$171+$D$171,0)))</f>
        <v>30</v>
      </c>
      <c r="Q150" s="240"/>
      <c r="R150" s="268">
        <f t="shared" si="17"/>
        <v>10169835.077363737</v>
      </c>
      <c r="S150" s="1243"/>
      <c r="T150" s="240"/>
      <c r="U150" s="240"/>
      <c r="V150" s="240"/>
      <c r="W150" s="240"/>
      <c r="X150" s="240"/>
      <c r="Y150" s="240"/>
      <c r="Z150" s="240"/>
      <c r="AA150" s="240"/>
      <c r="AB150" s="240"/>
      <c r="AC150" s="240"/>
      <c r="AD150" s="240"/>
      <c r="AE150" s="240"/>
      <c r="AF150" s="240"/>
      <c r="AG150" s="240"/>
      <c r="AH150" s="240"/>
      <c r="AI150" s="240"/>
      <c r="AJ150" s="240"/>
      <c r="AK150" s="240"/>
      <c r="AL150" s="240"/>
      <c r="AM150" s="240"/>
    </row>
    <row r="151" spans="1:39" x14ac:dyDescent="0.2">
      <c r="A151" s="675">
        <f t="shared" si="18"/>
        <v>142</v>
      </c>
      <c r="B151" s="266" t="str">
        <f>CONCATENATE('3. Consumption by Rate Class'!B157,"-",'3. Consumption by Rate Class'!C157)</f>
        <v>2016-October</v>
      </c>
      <c r="C151" s="282"/>
      <c r="D151" s="282"/>
      <c r="E151" s="282"/>
      <c r="F151" s="282"/>
      <c r="G151" s="282"/>
      <c r="H151" s="282"/>
      <c r="I151" s="282"/>
      <c r="J151" s="241"/>
      <c r="K151" s="1179">
        <f>IF(K$9=$B$159,+AVERAGE(K19,K31,K43,K55,K67,K79,K91,K103,K115,K127),+IF(K$9=$B$160,+(EXP((LN(+'4. Customer Growth'!$Y$35)/12))*$K150),IF($K$9=$B$161,+$A151*$C$166+$D$166,0)))</f>
        <v>13382.220367776234</v>
      </c>
      <c r="L151" s="1181">
        <v>236.98947368421054</v>
      </c>
      <c r="M151" s="1181">
        <v>4.1789473684210519</v>
      </c>
      <c r="N151" s="1182">
        <f>IF(N$9=$B$159,+AVERAGE(N19,N31,N43,N55,N67,N79,N91,N103,N115,N127),+IF(N$9=$B$160,+(EXP((LN(+'4. Customer Growth'!$Y$35)/12))*$K150),IF($N$9=$B$161,+$A151*$C$169+$D$169,0)))</f>
        <v>1</v>
      </c>
      <c r="O151" s="1182">
        <f>IF(O$9=$B$159,+AVERAGE(O19,O31,O43,O55,O67,O79,O91,O103,O115,O127),+IF(O$9=$B$160,+(EXP((LN(+'4. Customer Growth'!$Y$35)/12))*$O150),IF($O$9=$B$161,+$A151*$C$170+$D$170,0)))</f>
        <v>-28.681900000000006</v>
      </c>
      <c r="P151" s="1182">
        <f>IF(P$9=$B$159,+AVERAGE(P19,P31,P43,P55,P67,P79,P91,P103,P115,P127),+IF(P$9=$B$160,+(EXP((LN(+'4. Customer Growth'!$Y$35)/12))*$P150),IF($P$9=$B$161,+$A151*$C$171+$D$171,0)))</f>
        <v>31</v>
      </c>
      <c r="Q151" s="240"/>
      <c r="R151" s="268">
        <f t="shared" si="17"/>
        <v>10801029.851859577</v>
      </c>
      <c r="S151" s="1243"/>
      <c r="T151" s="240"/>
      <c r="U151" s="240"/>
      <c r="V151" s="240"/>
      <c r="W151" s="240"/>
      <c r="X151" s="240"/>
      <c r="Y151" s="240"/>
      <c r="Z151" s="240"/>
      <c r="AA151" s="240"/>
      <c r="AB151" s="240"/>
      <c r="AC151" s="240"/>
      <c r="AD151" s="240"/>
      <c r="AE151" s="240"/>
      <c r="AF151" s="240"/>
      <c r="AG151" s="240"/>
      <c r="AH151" s="240"/>
      <c r="AI151" s="240"/>
      <c r="AJ151" s="240"/>
      <c r="AK151" s="240"/>
      <c r="AL151" s="240"/>
      <c r="AM151" s="240"/>
    </row>
    <row r="152" spans="1:39" x14ac:dyDescent="0.2">
      <c r="A152" s="675">
        <f t="shared" si="18"/>
        <v>143</v>
      </c>
      <c r="B152" s="170" t="str">
        <f>CONCATENATE('3. Consumption by Rate Class'!B158,"-",'3. Consumption by Rate Class'!C158)</f>
        <v>2016-November</v>
      </c>
      <c r="C152" s="55"/>
      <c r="D152" s="55"/>
      <c r="E152" s="55"/>
      <c r="F152" s="55"/>
      <c r="G152" s="55"/>
      <c r="H152" s="55"/>
      <c r="I152" s="55"/>
      <c r="K152" s="1179">
        <f>IF(K$9=$B$159,+AVERAGE(K20,K32,K44,K56,K68,K80,K92,K104,K116,K128),+IF(K$9=$B$160,+(EXP((LN(+'4. Customer Growth'!$Y$35)/12))*$K151),IF($K$9=$B$161,+$A152*$C$166+$D$166,0)))</f>
        <v>13399.583096566274</v>
      </c>
      <c r="L152" s="1181">
        <v>395.07368421052632</v>
      </c>
      <c r="M152" s="1181">
        <v>0</v>
      </c>
      <c r="N152" s="1182">
        <f>IF(N$9=$B$159,+AVERAGE(N20,N32,N44,N56,N68,N80,N92,N104,N116,N128),+IF(N$9=$B$160,+(EXP((LN(+'4. Customer Growth'!$Y$35)/12))*$K151),IF($N$9=$B$161,+$A152*$C$169+$D$169,0)))</f>
        <v>1</v>
      </c>
      <c r="O152" s="1182">
        <f>IF(O$9=$B$159,+AVERAGE(O20,O32,O44,O56,O68,O80,O92,O104,O116,O128),+IF(O$9=$B$160,+(EXP((LN(+'4. Customer Growth'!$Y$35)/12))*$O151),IF($O$9=$B$161,+$A152*$C$170+$D$170,0)))</f>
        <v>-28.901400000000006</v>
      </c>
      <c r="P152" s="1182">
        <f>IF(P$9=$B$159,+AVERAGE(P20,P32,P44,P56,P68,P80,P92,P104,P116,P128),+IF(P$9=$B$160,+(EXP((LN(+'4. Customer Growth'!$Y$35)/12))*$P151),IF($P$9=$B$161,+$A152*$C$171+$D$171,0)))</f>
        <v>30</v>
      </c>
      <c r="R152" s="268">
        <f t="shared" si="17"/>
        <v>11128519.574227951</v>
      </c>
      <c r="S152" s="1243"/>
    </row>
    <row r="153" spans="1:39" x14ac:dyDescent="0.2">
      <c r="A153" s="675">
        <f t="shared" si="18"/>
        <v>144</v>
      </c>
      <c r="B153" s="170" t="str">
        <f>CONCATENATE('3. Consumption by Rate Class'!B159,"-",'3. Consumption by Rate Class'!C159)</f>
        <v>2016-December</v>
      </c>
      <c r="C153" s="55"/>
      <c r="D153" s="55"/>
      <c r="E153" s="55"/>
      <c r="F153" s="55"/>
      <c r="G153" s="55"/>
      <c r="H153" s="55"/>
      <c r="I153" s="55"/>
      <c r="K153" s="1179">
        <f>IF(K$9=$B$159,+AVERAGE(K21,K33,K45,K57,K69,K81,K93,K105,K117,K129),+IF(K$9=$B$160,+(EXP((LN(+'4. Customer Growth'!$Y$35)/12))*$K152),IF($K$9=$B$161,+$A153*$C$166+$D$166,0)))</f>
        <v>13416.968352585933</v>
      </c>
      <c r="L153" s="1181">
        <v>602.45263157894749</v>
      </c>
      <c r="M153" s="1181">
        <v>0</v>
      </c>
      <c r="N153" s="1182">
        <f>IF(N$9=$B$159,+AVERAGE(N21,N33,N45,N57,N69,N81,N93,N105,N117,N129),+IF(N$9=$B$160,+(EXP((LN(+'4. Customer Growth'!$Y$35)/12))*$K152),IF($N$9=$B$161,+$A153*$C$169+$D$169,0)))</f>
        <v>0</v>
      </c>
      <c r="O153" s="1182">
        <f>IF(O$9=$B$159,+AVERAGE(O21,O33,O45,O57,O69,O81,O93,O105,O117,O129),+IF(O$9=$B$160,+(EXP((LN(+'4. Customer Growth'!$Y$35)/12))*$O152),IF($O$9=$B$161,+$A153*$C$170+$D$170,0)))</f>
        <v>-29.120900000000006</v>
      </c>
      <c r="P153" s="1182">
        <f>IF(P$9=$B$159,+AVERAGE(P21,P33,P45,P57,P69,P81,P93,P105,P117,P129),+IF(P$9=$B$160,+(EXP((LN(+'4. Customer Growth'!$Y$35)/12))*$P152),IF($P$9=$B$161,+$A153*$C$171+$D$171,0)))</f>
        <v>31</v>
      </c>
      <c r="R153" s="268">
        <f t="shared" si="17"/>
        <v>13582246.275308404</v>
      </c>
      <c r="S153" s="272">
        <f>SUM(R142:R153)</f>
        <v>143022343.84272504</v>
      </c>
    </row>
    <row r="154" spans="1:39" x14ac:dyDescent="0.2">
      <c r="B154" s="171"/>
      <c r="C154" s="55"/>
      <c r="D154" s="55"/>
      <c r="E154" s="55"/>
      <c r="F154" s="55"/>
      <c r="G154" s="55"/>
      <c r="H154" s="55"/>
      <c r="I154" s="55"/>
    </row>
    <row r="155" spans="1:39" ht="12.75" customHeight="1" x14ac:dyDescent="0.2"/>
    <row r="156" spans="1:39" ht="12.75" customHeight="1" x14ac:dyDescent="0.2"/>
    <row r="157" spans="1:39" ht="17.25" customHeight="1" x14ac:dyDescent="0.2">
      <c r="B157" s="333"/>
      <c r="C157" s="333"/>
    </row>
    <row r="158" spans="1:39" ht="12.75" customHeight="1" x14ac:dyDescent="0.2">
      <c r="A158" s="334"/>
      <c r="B158" s="335" t="s">
        <v>169</v>
      </c>
      <c r="C158" s="336"/>
      <c r="L158" s="293"/>
    </row>
    <row r="159" spans="1:39" ht="12.75" customHeight="1" x14ac:dyDescent="0.2">
      <c r="A159" s="334"/>
      <c r="B159" s="337" t="s">
        <v>167</v>
      </c>
      <c r="C159" s="338"/>
    </row>
    <row r="160" spans="1:39" ht="12.75" customHeight="1" x14ac:dyDescent="0.2">
      <c r="A160" s="334"/>
      <c r="B160" s="339" t="s">
        <v>168</v>
      </c>
      <c r="C160" s="340"/>
    </row>
    <row r="161" spans="1:18" ht="12.75" customHeight="1" x14ac:dyDescent="0.2">
      <c r="A161" s="1"/>
      <c r="B161" s="672" t="s">
        <v>232</v>
      </c>
      <c r="C161" s="416"/>
      <c r="E161" s="1"/>
      <c r="F161" s="1"/>
      <c r="G161" s="1"/>
      <c r="H161" s="1"/>
      <c r="I161" s="1"/>
      <c r="J161" s="1"/>
      <c r="K161" s="1"/>
      <c r="L161" s="1"/>
      <c r="M161" s="1"/>
      <c r="N161" s="1"/>
      <c r="O161" s="1"/>
      <c r="P161" s="1"/>
      <c r="R161" s="1"/>
    </row>
    <row r="162" spans="1:18" ht="12.75" customHeight="1" x14ac:dyDescent="0.2">
      <c r="A162" s="1"/>
      <c r="B162" s="341"/>
      <c r="C162" s="341"/>
      <c r="D162" s="341"/>
      <c r="E162" s="1"/>
      <c r="F162" s="1"/>
      <c r="G162" s="1"/>
      <c r="H162" s="1"/>
      <c r="I162" s="1"/>
      <c r="J162" s="1"/>
      <c r="K162" s="1"/>
      <c r="L162" s="1"/>
      <c r="M162" s="1"/>
      <c r="N162" s="1"/>
      <c r="O162" s="1"/>
      <c r="P162" s="1"/>
      <c r="R162" s="1"/>
    </row>
    <row r="163" spans="1:18" ht="12.75" customHeight="1" x14ac:dyDescent="0.2">
      <c r="A163" s="1"/>
      <c r="B163" s="341"/>
      <c r="C163" s="341"/>
      <c r="D163" s="341"/>
      <c r="E163" s="1"/>
      <c r="F163" s="1"/>
      <c r="G163" s="1"/>
      <c r="H163" s="1"/>
      <c r="I163" s="1"/>
      <c r="J163" s="1"/>
      <c r="K163" s="1"/>
      <c r="L163" s="1"/>
      <c r="M163" s="1"/>
      <c r="N163" s="1"/>
      <c r="O163" s="1"/>
      <c r="P163" s="1"/>
      <c r="R163" s="1"/>
    </row>
    <row r="164" spans="1:18" ht="12.75" hidden="1" customHeight="1" x14ac:dyDescent="0.2">
      <c r="A164" s="1"/>
      <c r="B164" s="1357" t="s">
        <v>233</v>
      </c>
      <c r="C164" s="1357"/>
      <c r="D164" s="1357"/>
      <c r="E164" s="1"/>
      <c r="F164" s="1"/>
      <c r="G164" s="1"/>
      <c r="H164" s="1"/>
      <c r="I164" s="1"/>
      <c r="J164" s="1"/>
      <c r="K164" s="1"/>
      <c r="L164" s="1"/>
      <c r="M164" s="1"/>
      <c r="N164" s="1"/>
      <c r="O164" s="1"/>
      <c r="P164" s="1"/>
      <c r="R164" s="1"/>
    </row>
    <row r="165" spans="1:18" ht="12.75" hidden="1" customHeight="1" x14ac:dyDescent="0.2">
      <c r="A165" s="1"/>
      <c r="B165" s="676" t="s">
        <v>144</v>
      </c>
      <c r="C165" s="674" t="s">
        <v>234</v>
      </c>
      <c r="D165" s="674" t="s">
        <v>235</v>
      </c>
      <c r="E165" s="1"/>
      <c r="F165" s="1"/>
      <c r="G165" s="1"/>
      <c r="H165" s="1"/>
      <c r="I165" s="1"/>
      <c r="J165" s="1"/>
      <c r="K165" s="1"/>
      <c r="L165" s="1"/>
      <c r="M165" s="1"/>
      <c r="N165" s="1"/>
      <c r="O165" s="1"/>
      <c r="P165" s="1"/>
      <c r="R165" s="1"/>
    </row>
    <row r="166" spans="1:18" ht="14.25" hidden="1" customHeight="1" x14ac:dyDescent="0.2">
      <c r="A166" s="1"/>
      <c r="B166" s="676" t="s">
        <v>1</v>
      </c>
      <c r="C166" s="673">
        <f>INDEX(LINEST($K$10:$K129,$A$10:$A$129,TRUE,FALSE),1)</f>
        <v>23.58245364261407</v>
      </c>
      <c r="D166" s="673">
        <f>INDEX(LINEST($K$10:$K129,$A$10:$A$129,TRUE,FALSE),2)</f>
        <v>10338.519887955183</v>
      </c>
      <c r="E166" s="1"/>
      <c r="F166" s="1"/>
      <c r="G166" s="1"/>
      <c r="H166" s="1"/>
      <c r="I166" s="1"/>
      <c r="J166" s="1"/>
      <c r="K166" s="1"/>
      <c r="L166" s="1"/>
      <c r="M166" s="1"/>
      <c r="N166" s="1"/>
      <c r="O166" s="1"/>
      <c r="P166" s="1"/>
      <c r="R166" s="1"/>
    </row>
    <row r="167" spans="1:18" ht="14.25" hidden="1" customHeight="1" x14ac:dyDescent="0.2">
      <c r="A167" s="1"/>
      <c r="B167" s="676" t="s">
        <v>2</v>
      </c>
      <c r="C167" s="673">
        <f>INDEX(LINEST($L$10:$L129,$A$10:$A$129,TRUE,FALSE),1)</f>
        <v>-0.16210084033613409</v>
      </c>
      <c r="D167" s="673">
        <f>INDEX(LINEST($L$10:$L129,$A$10:$A$129,TRUE,FALSE),2)</f>
        <v>332.24043417366943</v>
      </c>
      <c r="E167" s="1"/>
      <c r="F167" s="1"/>
      <c r="G167" s="1"/>
      <c r="H167" s="1"/>
      <c r="I167" s="1"/>
      <c r="J167" s="1"/>
      <c r="K167" s="1"/>
      <c r="L167" s="1"/>
      <c r="M167" s="1"/>
      <c r="N167" s="1"/>
      <c r="O167" s="1"/>
      <c r="P167" s="1"/>
      <c r="R167" s="1"/>
    </row>
    <row r="168" spans="1:18" ht="14.25" hidden="1" customHeight="1" x14ac:dyDescent="0.2">
      <c r="A168" s="1"/>
      <c r="B168" s="676" t="s">
        <v>127</v>
      </c>
      <c r="C168" s="673">
        <f>INDEX(LINEST($M$10:$M129,$A$10:$A$129,TRUE,FALSE),1)</f>
        <v>-6.7311618862420999E-2</v>
      </c>
      <c r="D168" s="673">
        <f>INDEX(LINEST($M$10:$M129,$A$10:$A$129,TRUE,FALSE),2)</f>
        <v>26.66901960784314</v>
      </c>
      <c r="E168" s="1"/>
      <c r="F168" s="1"/>
      <c r="G168" s="1"/>
      <c r="H168" s="1"/>
      <c r="I168" s="1"/>
      <c r="J168" s="1"/>
      <c r="K168" s="1"/>
      <c r="L168" s="1"/>
      <c r="M168" s="1"/>
      <c r="N168" s="1"/>
      <c r="O168" s="1"/>
      <c r="P168" s="1"/>
      <c r="R168" s="1"/>
    </row>
    <row r="169" spans="1:18" ht="14.25" hidden="1" customHeight="1" x14ac:dyDescent="0.2">
      <c r="A169" s="1"/>
      <c r="B169" s="676" t="s">
        <v>152</v>
      </c>
      <c r="C169" s="673">
        <f>INDEX(LINEST($N$10:$N129,$A$10:$A$129,TRUE,FALSE),1)</f>
        <v>2.0834780193068936E-4</v>
      </c>
      <c r="D169" s="673">
        <f>INDEX(LINEST($N$10:$N129,$A$10:$A$129,TRUE,FALSE),2)</f>
        <v>0.48739495798319332</v>
      </c>
      <c r="E169" s="1"/>
      <c r="F169" s="1"/>
      <c r="G169" s="1"/>
      <c r="H169" s="1"/>
      <c r="I169" s="1"/>
      <c r="J169" s="1"/>
      <c r="K169" s="1"/>
      <c r="L169" s="1"/>
      <c r="M169" s="1"/>
      <c r="N169" s="1"/>
      <c r="O169" s="1"/>
      <c r="P169" s="1"/>
      <c r="R169" s="1"/>
    </row>
    <row r="170" spans="1:18" ht="14.25" hidden="1" customHeight="1" x14ac:dyDescent="0.2">
      <c r="A170" s="1"/>
      <c r="B170" s="676" t="s">
        <v>126</v>
      </c>
      <c r="C170" s="673">
        <f>INDEX(LINEST($O$10:$O129,$A$10:$A$129,TRUE,FALSE),1)</f>
        <v>-0.21950000000000008</v>
      </c>
      <c r="D170" s="673">
        <f>INDEX(LINEST($O$10:$O129,$A$10:$A$129,TRUE,FALSE),2)</f>
        <v>2.4871000000000052</v>
      </c>
      <c r="E170" s="1"/>
      <c r="F170" s="1"/>
      <c r="G170" s="1"/>
      <c r="H170" s="1"/>
      <c r="I170" s="1"/>
      <c r="J170" s="1"/>
      <c r="K170" s="1"/>
      <c r="L170" s="1"/>
      <c r="M170" s="1"/>
      <c r="N170" s="1"/>
      <c r="O170" s="1"/>
      <c r="P170" s="1"/>
      <c r="R170" s="1"/>
    </row>
    <row r="171" spans="1:18" ht="14.25" hidden="1" customHeight="1" x14ac:dyDescent="0.2">
      <c r="A171" s="1"/>
      <c r="B171" s="676" t="s">
        <v>163</v>
      </c>
      <c r="C171" s="673">
        <f>INDEX(LINEST($P$10:$P129,$A$10:$A$129,TRUE,FALSE),1)</f>
        <v>6.8060281964024845E-4</v>
      </c>
      <c r="D171" s="673">
        <f>INDEX(LINEST($P$10:$P129,$A$10:$A$129,TRUE,FALSE),2)</f>
        <v>30.3921568627451</v>
      </c>
      <c r="E171" s="1"/>
      <c r="F171" s="1"/>
      <c r="G171" s="1"/>
      <c r="H171" s="1"/>
      <c r="I171" s="1"/>
      <c r="J171" s="1"/>
      <c r="K171" s="1"/>
      <c r="L171" s="1"/>
      <c r="M171" s="1"/>
      <c r="N171" s="1"/>
      <c r="O171" s="1"/>
      <c r="P171" s="1"/>
      <c r="R171" s="1"/>
    </row>
    <row r="172" spans="1:18" ht="12.75" hidden="1" customHeight="1" x14ac:dyDescent="0.2">
      <c r="A172" s="1"/>
      <c r="B172" s="341"/>
      <c r="C172" s="341"/>
      <c r="D172" s="341"/>
      <c r="E172" s="1"/>
      <c r="F172" s="1"/>
      <c r="G172" s="1"/>
      <c r="H172" s="1"/>
      <c r="I172" s="1"/>
      <c r="J172" s="1"/>
      <c r="K172" s="1"/>
      <c r="L172" s="1"/>
      <c r="M172" s="1"/>
      <c r="N172" s="1"/>
      <c r="O172" s="1"/>
      <c r="P172" s="1"/>
      <c r="R172" s="1"/>
    </row>
    <row r="173" spans="1:18" ht="12.75" customHeight="1" x14ac:dyDescent="0.2"/>
    <row r="174" spans="1:18" ht="12.75" customHeight="1" x14ac:dyDescent="0.2"/>
    <row r="175" spans="1:18" ht="12.75" customHeight="1" x14ac:dyDescent="0.2"/>
  </sheetData>
  <mergeCells count="5">
    <mergeCell ref="K7:P7"/>
    <mergeCell ref="D7:I7"/>
    <mergeCell ref="Q9:S9"/>
    <mergeCell ref="H9:J9"/>
    <mergeCell ref="B164:D164"/>
  </mergeCells>
  <phoneticPr fontId="0" type="noConversion"/>
  <dataValidations count="2">
    <dataValidation type="list" allowBlank="1" showInputMessage="1" showErrorMessage="1" sqref="K8:P8">
      <formula1>AllVariables</formula1>
    </dataValidation>
    <dataValidation type="list" allowBlank="1" showInputMessage="1" showErrorMessage="1" sqref="K9:P9">
      <formula1>$B$159:$B$161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L156"/>
  <sheetViews>
    <sheetView showGridLines="0" zoomScaleNormal="100" workbookViewId="0"/>
  </sheetViews>
  <sheetFormatPr defaultRowHeight="12.75" x14ac:dyDescent="0.2"/>
  <cols>
    <col min="1" max="1" width="4.83203125" style="1" customWidth="1"/>
    <col min="2" max="2" width="9.33203125" style="1"/>
    <col min="3" max="3" width="73.33203125" style="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2:12" ht="23.25" x14ac:dyDescent="0.2">
      <c r="C1" s="259" t="s">
        <v>174</v>
      </c>
    </row>
    <row r="10" spans="2:12" s="53" customFormat="1" ht="15.75" x14ac:dyDescent="0.25">
      <c r="B10" s="53" t="s">
        <v>30</v>
      </c>
      <c r="C10" t="s">
        <v>381</v>
      </c>
      <c r="D10"/>
      <c r="E10"/>
      <c r="F10"/>
      <c r="G10"/>
      <c r="H10"/>
      <c r="I10"/>
      <c r="J10"/>
      <c r="K10"/>
      <c r="L10" s="264"/>
    </row>
    <row r="11" spans="2:12" ht="13.5" thickBot="1" x14ac:dyDescent="0.25">
      <c r="C11"/>
      <c r="D11"/>
      <c r="E11"/>
      <c r="F11"/>
      <c r="G11"/>
      <c r="H11"/>
      <c r="I11"/>
      <c r="J11"/>
      <c r="K11"/>
      <c r="L11" s="264"/>
    </row>
    <row r="12" spans="2:12" s="56" customFormat="1" x14ac:dyDescent="0.2">
      <c r="C12" s="291" t="s">
        <v>7</v>
      </c>
      <c r="D12" s="291"/>
      <c r="E12"/>
      <c r="F12"/>
      <c r="G12"/>
      <c r="H12"/>
      <c r="I12"/>
      <c r="J12"/>
      <c r="K12"/>
      <c r="L12" s="264"/>
    </row>
    <row r="13" spans="2:12" x14ac:dyDescent="0.2">
      <c r="C13" s="288" t="s">
        <v>8</v>
      </c>
      <c r="D13" s="288">
        <v>0.97169352313990498</v>
      </c>
      <c r="E13"/>
      <c r="F13"/>
      <c r="G13"/>
      <c r="H13"/>
      <c r="I13"/>
      <c r="J13"/>
      <c r="K13"/>
      <c r="L13" s="264"/>
    </row>
    <row r="14" spans="2:12" x14ac:dyDescent="0.2">
      <c r="C14" s="288" t="s">
        <v>9</v>
      </c>
      <c r="D14" s="288">
        <v>0.94418830291204114</v>
      </c>
      <c r="E14"/>
      <c r="F14"/>
      <c r="G14"/>
      <c r="H14"/>
      <c r="I14"/>
      <c r="J14"/>
      <c r="K14"/>
      <c r="L14" s="264"/>
    </row>
    <row r="15" spans="2:12" x14ac:dyDescent="0.2">
      <c r="C15" s="288" t="s">
        <v>10</v>
      </c>
      <c r="D15" s="288">
        <v>0.94119839056804344</v>
      </c>
      <c r="E15"/>
      <c r="F15"/>
      <c r="G15"/>
      <c r="H15"/>
      <c r="I15"/>
      <c r="J15"/>
      <c r="K15"/>
      <c r="L15" s="264"/>
    </row>
    <row r="16" spans="2:12" x14ac:dyDescent="0.2">
      <c r="C16" s="288" t="s">
        <v>11</v>
      </c>
      <c r="D16" s="288">
        <v>360376.28923692659</v>
      </c>
      <c r="E16"/>
      <c r="F16"/>
      <c r="G16"/>
      <c r="H16"/>
      <c r="I16"/>
      <c r="J16"/>
      <c r="K16"/>
      <c r="L16" s="264"/>
    </row>
    <row r="17" spans="3:12" ht="13.5" thickBot="1" x14ac:dyDescent="0.25">
      <c r="C17" s="289" t="s">
        <v>12</v>
      </c>
      <c r="D17" s="289">
        <v>119</v>
      </c>
      <c r="E17"/>
      <c r="F17"/>
      <c r="G17"/>
      <c r="H17"/>
      <c r="I17"/>
      <c r="J17"/>
      <c r="K17"/>
      <c r="L17" s="264"/>
    </row>
    <row r="18" spans="3:12" x14ac:dyDescent="0.2">
      <c r="C18"/>
      <c r="D18"/>
      <c r="E18"/>
      <c r="F18"/>
      <c r="G18"/>
      <c r="H18"/>
      <c r="I18"/>
      <c r="J18"/>
      <c r="K18"/>
      <c r="L18" s="264"/>
    </row>
    <row r="19" spans="3:12" ht="13.5" thickBot="1" x14ac:dyDescent="0.25">
      <c r="C19" t="s">
        <v>13</v>
      </c>
      <c r="D19"/>
      <c r="E19"/>
      <c r="F19"/>
      <c r="G19"/>
      <c r="H19"/>
      <c r="I19"/>
      <c r="J19"/>
      <c r="K19"/>
      <c r="L19" s="264"/>
    </row>
    <row r="20" spans="3:12" s="53" customFormat="1" ht="15.75" x14ac:dyDescent="0.25">
      <c r="C20" s="290"/>
      <c r="D20" s="290" t="s">
        <v>18</v>
      </c>
      <c r="E20" s="290" t="s">
        <v>19</v>
      </c>
      <c r="F20" s="290" t="s">
        <v>20</v>
      </c>
      <c r="G20" s="290" t="s">
        <v>21</v>
      </c>
      <c r="H20" s="290" t="s">
        <v>22</v>
      </c>
      <c r="I20"/>
      <c r="J20"/>
      <c r="K20"/>
      <c r="L20" s="264"/>
    </row>
    <row r="21" spans="3:12" x14ac:dyDescent="0.2">
      <c r="C21" s="288" t="s">
        <v>14</v>
      </c>
      <c r="D21" s="288">
        <v>6</v>
      </c>
      <c r="E21" s="288">
        <v>246072923066874.41</v>
      </c>
      <c r="F21" s="288">
        <v>41012153844479.07</v>
      </c>
      <c r="G21" s="288">
        <v>315.79129896817381</v>
      </c>
      <c r="H21" s="288">
        <v>9.6806299037020221E-68</v>
      </c>
      <c r="I21"/>
      <c r="J21"/>
      <c r="K21"/>
      <c r="L21" s="264"/>
    </row>
    <row r="22" spans="3:12" x14ac:dyDescent="0.2">
      <c r="C22" s="288" t="s">
        <v>15</v>
      </c>
      <c r="D22" s="288">
        <v>112</v>
      </c>
      <c r="E22" s="288">
        <v>14545559822547.818</v>
      </c>
      <c r="F22" s="288">
        <v>129871069844.17696</v>
      </c>
      <c r="G22" s="288"/>
      <c r="H22" s="288"/>
      <c r="I22"/>
      <c r="J22"/>
      <c r="K22"/>
      <c r="L22" s="264"/>
    </row>
    <row r="23" spans="3:12" ht="13.5" thickBot="1" x14ac:dyDescent="0.25">
      <c r="C23" s="289" t="s">
        <v>16</v>
      </c>
      <c r="D23" s="289">
        <v>118</v>
      </c>
      <c r="E23" s="289">
        <v>260618482889422.22</v>
      </c>
      <c r="F23" s="289"/>
      <c r="G23" s="289"/>
      <c r="H23" s="289"/>
      <c r="I23"/>
      <c r="J23"/>
      <c r="K23"/>
      <c r="L23" s="264"/>
    </row>
    <row r="24" spans="3:12" ht="13.5" thickBot="1" x14ac:dyDescent="0.25">
      <c r="C24"/>
      <c r="D24"/>
      <c r="E24"/>
      <c r="F24"/>
      <c r="G24"/>
      <c r="H24"/>
      <c r="I24"/>
      <c r="J24"/>
      <c r="K24"/>
      <c r="L24" s="264"/>
    </row>
    <row r="25" spans="3:12" x14ac:dyDescent="0.2">
      <c r="C25" s="290"/>
      <c r="D25" s="290" t="s">
        <v>23</v>
      </c>
      <c r="E25" s="290" t="s">
        <v>11</v>
      </c>
      <c r="F25" s="290" t="s">
        <v>24</v>
      </c>
      <c r="G25" s="290" t="s">
        <v>25</v>
      </c>
      <c r="H25" s="290" t="s">
        <v>26</v>
      </c>
      <c r="I25" s="290" t="s">
        <v>27</v>
      </c>
      <c r="J25" s="290" t="s">
        <v>28</v>
      </c>
      <c r="K25" s="290" t="s">
        <v>29</v>
      </c>
      <c r="L25" s="264"/>
    </row>
    <row r="26" spans="3:12" x14ac:dyDescent="0.2">
      <c r="C26" s="288" t="s">
        <v>17</v>
      </c>
      <c r="D26" s="288">
        <v>-13839521.439976882</v>
      </c>
      <c r="E26" s="288">
        <v>1329793.6330249102</v>
      </c>
      <c r="F26" s="288">
        <v>-10.4072700427177</v>
      </c>
      <c r="G26" s="288">
        <v>3.7397372379702835E-18</v>
      </c>
      <c r="H26" s="288">
        <v>-16474337.064054402</v>
      </c>
      <c r="I26" s="288">
        <v>-11204705.815899363</v>
      </c>
      <c r="J26" s="288">
        <v>-16474337.064054402</v>
      </c>
      <c r="K26" s="288">
        <v>-11204705.815899363</v>
      </c>
      <c r="L26" s="264"/>
    </row>
    <row r="27" spans="3:12" x14ac:dyDescent="0.2">
      <c r="C27" s="288" t="s">
        <v>1</v>
      </c>
      <c r="D27" s="288">
        <v>5393.6960076376517</v>
      </c>
      <c r="E27" s="288">
        <v>212.05537097223734</v>
      </c>
      <c r="F27" s="288">
        <v>25.43531900610904</v>
      </c>
      <c r="G27" s="288">
        <v>2.3684968180919708E-48</v>
      </c>
      <c r="H27" s="288">
        <v>4973.5354724001218</v>
      </c>
      <c r="I27" s="288">
        <v>5813.8565428751817</v>
      </c>
      <c r="J27" s="288">
        <v>4973.5354724001218</v>
      </c>
      <c r="K27" s="288">
        <v>5813.8565428751817</v>
      </c>
      <c r="L27" s="264"/>
    </row>
    <row r="28" spans="3:12" x14ac:dyDescent="0.2">
      <c r="C28" s="288" t="s">
        <v>2</v>
      </c>
      <c r="D28" s="288">
        <v>27226.575042570996</v>
      </c>
      <c r="E28" s="288">
        <v>1642.6650553308873</v>
      </c>
      <c r="F28" s="288">
        <v>16.57463580552437</v>
      </c>
      <c r="G28" s="288">
        <v>6.47387453001968E-32</v>
      </c>
      <c r="H28" s="288">
        <v>23971.844800656152</v>
      </c>
      <c r="I28" s="288">
        <v>30481.305284485839</v>
      </c>
      <c r="J28" s="288">
        <v>23971.844800656152</v>
      </c>
      <c r="K28" s="288">
        <v>30481.305284485839</v>
      </c>
      <c r="L28" s="264"/>
    </row>
    <row r="29" spans="3:12" x14ac:dyDescent="0.2">
      <c r="C29" s="288" t="s">
        <v>152</v>
      </c>
      <c r="D29" s="288">
        <v>427249.78425382538</v>
      </c>
      <c r="E29" s="288">
        <v>42034.230764949127</v>
      </c>
      <c r="F29" s="288">
        <v>10.164329796897199</v>
      </c>
      <c r="G29" s="288">
        <v>1.3676915300501751E-17</v>
      </c>
      <c r="H29" s="288">
        <v>343964.34415614879</v>
      </c>
      <c r="I29" s="288">
        <v>510535.22435150197</v>
      </c>
      <c r="J29" s="288">
        <v>343964.34415614879</v>
      </c>
      <c r="K29" s="288">
        <v>510535.22435150197</v>
      </c>
      <c r="L29" s="264"/>
    </row>
    <row r="30" spans="3:12" x14ac:dyDescent="0.2">
      <c r="C30" s="288" t="s">
        <v>127</v>
      </c>
      <c r="D30" s="288">
        <v>-904257.4384006972</v>
      </c>
      <c r="E30" s="288">
        <v>87815.08033337185</v>
      </c>
      <c r="F30" s="288">
        <v>-10.297291022998216</v>
      </c>
      <c r="G30" s="288">
        <v>6.7265872665952397E-18</v>
      </c>
      <c r="H30" s="288">
        <v>-1078251.7634943386</v>
      </c>
      <c r="I30" s="288">
        <v>-730263.1133070559</v>
      </c>
      <c r="J30" s="288">
        <v>-1078251.7634943386</v>
      </c>
      <c r="K30" s="288">
        <v>-730263.1133070559</v>
      </c>
      <c r="L30" s="264"/>
    </row>
    <row r="31" spans="3:12" x14ac:dyDescent="0.2">
      <c r="C31" s="288" t="s">
        <v>126</v>
      </c>
      <c r="D31" s="288">
        <v>815.45180956952595</v>
      </c>
      <c r="E31" s="288">
        <v>41.097056159877944</v>
      </c>
      <c r="F31" s="288">
        <v>19.842097847524947</v>
      </c>
      <c r="G31" s="288">
        <v>1.8510815371236744E-38</v>
      </c>
      <c r="H31" s="288">
        <v>734.02326081995523</v>
      </c>
      <c r="I31" s="288">
        <v>896.88035831909667</v>
      </c>
      <c r="J31" s="288">
        <v>734.02326081995523</v>
      </c>
      <c r="K31" s="288">
        <v>896.88035831909667</v>
      </c>
      <c r="L31" s="264"/>
    </row>
    <row r="32" spans="3:12" ht="13.5" thickBot="1" x14ac:dyDescent="0.25">
      <c r="C32" s="289"/>
      <c r="D32" s="289"/>
      <c r="E32" s="289"/>
      <c r="F32" s="289"/>
      <c r="G32" s="289"/>
      <c r="H32" s="289"/>
      <c r="I32" s="289"/>
      <c r="J32" s="289"/>
      <c r="K32" s="289"/>
      <c r="L32" s="264"/>
    </row>
    <row r="35" spans="3:11" s="53" customFormat="1" ht="15.75" x14ac:dyDescent="0.25">
      <c r="C35" t="s">
        <v>153</v>
      </c>
      <c r="D35"/>
      <c r="E35"/>
      <c r="F35"/>
      <c r="G35"/>
      <c r="H35"/>
      <c r="I35"/>
      <c r="J35"/>
      <c r="K35"/>
    </row>
    <row r="36" spans="3:11" ht="13.5" thickBot="1" x14ac:dyDescent="0.25">
      <c r="C36"/>
      <c r="D36"/>
      <c r="E36"/>
      <c r="F36"/>
      <c r="G36"/>
      <c r="H36"/>
      <c r="I36"/>
      <c r="J36"/>
      <c r="K36"/>
    </row>
    <row r="37" spans="3:11" x14ac:dyDescent="0.2">
      <c r="C37" s="291" t="s">
        <v>7</v>
      </c>
      <c r="D37" s="291"/>
      <c r="E37"/>
      <c r="F37"/>
      <c r="G37"/>
      <c r="H37"/>
      <c r="I37"/>
      <c r="J37"/>
      <c r="K37"/>
    </row>
    <row r="38" spans="3:11" x14ac:dyDescent="0.2">
      <c r="C38" s="288" t="s">
        <v>8</v>
      </c>
      <c r="D38" s="288">
        <v>0.97206485725017644</v>
      </c>
      <c r="E38"/>
      <c r="F38"/>
      <c r="G38"/>
      <c r="H38"/>
      <c r="I38"/>
      <c r="J38"/>
      <c r="K38"/>
    </row>
    <row r="39" spans="3:11" x14ac:dyDescent="0.2">
      <c r="C39" s="288" t="s">
        <v>9</v>
      </c>
      <c r="D39" s="288">
        <v>0.94491008670080601</v>
      </c>
      <c r="E39"/>
      <c r="F39"/>
      <c r="G39"/>
      <c r="H39"/>
      <c r="I39"/>
      <c r="J39"/>
      <c r="K39"/>
    </row>
    <row r="40" spans="3:11" x14ac:dyDescent="0.2">
      <c r="C40" s="288" t="s">
        <v>10</v>
      </c>
      <c r="D40" s="288">
        <v>0.94249386243329747</v>
      </c>
      <c r="E40"/>
      <c r="F40"/>
      <c r="G40"/>
      <c r="H40"/>
      <c r="I40"/>
      <c r="J40"/>
      <c r="K40"/>
    </row>
    <row r="41" spans="3:11" x14ac:dyDescent="0.2">
      <c r="C41" s="288" t="s">
        <v>11</v>
      </c>
      <c r="D41" s="288">
        <v>364464.72743226873</v>
      </c>
      <c r="E41"/>
      <c r="F41"/>
      <c r="G41"/>
      <c r="H41"/>
      <c r="I41"/>
      <c r="J41"/>
      <c r="K41"/>
    </row>
    <row r="42" spans="3:11" ht="13.5" thickBot="1" x14ac:dyDescent="0.25">
      <c r="C42" s="289" t="s">
        <v>12</v>
      </c>
      <c r="D42" s="289">
        <v>120</v>
      </c>
      <c r="E42"/>
      <c r="F42"/>
      <c r="G42"/>
      <c r="H42"/>
      <c r="I42"/>
      <c r="J42"/>
      <c r="K42"/>
    </row>
    <row r="43" spans="3:11" x14ac:dyDescent="0.2">
      <c r="C43"/>
      <c r="D43"/>
      <c r="E43"/>
      <c r="F43"/>
      <c r="G43"/>
      <c r="H43"/>
      <c r="I43"/>
      <c r="J43"/>
      <c r="K43"/>
    </row>
    <row r="44" spans="3:11" ht="13.5" thickBot="1" x14ac:dyDescent="0.25">
      <c r="C44" t="s">
        <v>13</v>
      </c>
      <c r="D44"/>
      <c r="E44"/>
      <c r="F44"/>
      <c r="G44"/>
      <c r="H44"/>
      <c r="I44"/>
      <c r="J44"/>
      <c r="K44"/>
    </row>
    <row r="45" spans="3:11" s="53" customFormat="1" ht="15.75" x14ac:dyDescent="0.25">
      <c r="C45" s="290"/>
      <c r="D45" s="290" t="s">
        <v>18</v>
      </c>
      <c r="E45" s="290" t="s">
        <v>19</v>
      </c>
      <c r="F45" s="290" t="s">
        <v>20</v>
      </c>
      <c r="G45" s="290" t="s">
        <v>21</v>
      </c>
      <c r="H45" s="290" t="s">
        <v>22</v>
      </c>
      <c r="I45"/>
      <c r="J45"/>
      <c r="K45"/>
    </row>
    <row r="46" spans="3:11" x14ac:dyDescent="0.2">
      <c r="C46" s="288" t="s">
        <v>14</v>
      </c>
      <c r="D46" s="288">
        <v>5</v>
      </c>
      <c r="E46" s="288">
        <v>259737260472435.34</v>
      </c>
      <c r="F46" s="288">
        <v>51947452094487.07</v>
      </c>
      <c r="G46" s="288">
        <v>391.06886699517798</v>
      </c>
      <c r="H46" s="288">
        <v>5.359782291402174E-70</v>
      </c>
      <c r="I46"/>
      <c r="J46"/>
      <c r="K46"/>
    </row>
    <row r="47" spans="3:11" x14ac:dyDescent="0.2">
      <c r="C47" s="288" t="s">
        <v>15</v>
      </c>
      <c r="D47" s="288">
        <v>114</v>
      </c>
      <c r="E47" s="288">
        <v>15143137279819.686</v>
      </c>
      <c r="F47" s="288">
        <v>132834537542.27794</v>
      </c>
      <c r="G47" s="288"/>
      <c r="H47" s="288"/>
      <c r="I47"/>
      <c r="J47"/>
      <c r="K47"/>
    </row>
    <row r="48" spans="3:11" ht="13.5" thickBot="1" x14ac:dyDescent="0.25">
      <c r="C48" s="289" t="s">
        <v>16</v>
      </c>
      <c r="D48" s="289">
        <v>119</v>
      </c>
      <c r="E48" s="289">
        <v>274880397752255.03</v>
      </c>
      <c r="F48" s="289"/>
      <c r="G48" s="289"/>
      <c r="H48" s="289"/>
      <c r="I48"/>
      <c r="J48"/>
      <c r="K48"/>
    </row>
    <row r="49" spans="3:11" ht="13.5" thickBot="1" x14ac:dyDescent="0.25">
      <c r="C49"/>
      <c r="D49"/>
      <c r="E49"/>
      <c r="F49"/>
      <c r="G49"/>
      <c r="H49"/>
      <c r="I49"/>
      <c r="J49"/>
      <c r="K49"/>
    </row>
    <row r="50" spans="3:11" x14ac:dyDescent="0.2">
      <c r="C50" s="290"/>
      <c r="D50" s="290" t="s">
        <v>23</v>
      </c>
      <c r="E50" s="290" t="s">
        <v>11</v>
      </c>
      <c r="F50" s="290" t="s">
        <v>24</v>
      </c>
      <c r="G50" s="290" t="s">
        <v>25</v>
      </c>
      <c r="H50" s="290" t="s">
        <v>26</v>
      </c>
      <c r="I50" s="290" t="s">
        <v>27</v>
      </c>
      <c r="J50" s="290" t="s">
        <v>28</v>
      </c>
      <c r="K50" s="290" t="s">
        <v>29</v>
      </c>
    </row>
    <row r="51" spans="3:11" x14ac:dyDescent="0.2">
      <c r="C51" s="288" t="s">
        <v>17</v>
      </c>
      <c r="D51" s="288">
        <v>-14806860.348270103</v>
      </c>
      <c r="E51" s="288">
        <v>1343730.1609430313</v>
      </c>
      <c r="F51" s="288">
        <v>-11.019221551058013</v>
      </c>
      <c r="G51" s="288">
        <v>1.1508674541030098E-19</v>
      </c>
      <c r="H51" s="288">
        <v>-17468779.44765611</v>
      </c>
      <c r="I51" s="288">
        <v>-12144941.248884097</v>
      </c>
      <c r="J51" s="288">
        <v>-17468779.44765611</v>
      </c>
      <c r="K51" s="288">
        <v>-12144941.248884097</v>
      </c>
    </row>
    <row r="52" spans="3:11" x14ac:dyDescent="0.2">
      <c r="C52" s="288" t="s">
        <v>1</v>
      </c>
      <c r="D52" s="288">
        <v>5408.4694410727989</v>
      </c>
      <c r="E52" s="288">
        <v>213.3877402075604</v>
      </c>
      <c r="F52" s="288">
        <v>25.345736525500612</v>
      </c>
      <c r="G52" s="288">
        <v>1.1531285741693024E-48</v>
      </c>
      <c r="H52" s="288">
        <v>4985.7499712391482</v>
      </c>
      <c r="I52" s="288">
        <v>5831.1889109064496</v>
      </c>
      <c r="J52" s="288">
        <v>4985.7499712391482</v>
      </c>
      <c r="K52" s="288">
        <v>5831.1889109064496</v>
      </c>
    </row>
    <row r="53" spans="3:11" x14ac:dyDescent="0.2">
      <c r="C53" s="288" t="s">
        <v>2</v>
      </c>
      <c r="D53" s="288">
        <v>27155.169356547201</v>
      </c>
      <c r="E53" s="288">
        <v>1661.1457851787127</v>
      </c>
      <c r="F53" s="288">
        <v>16.347252359687225</v>
      </c>
      <c r="G53" s="288">
        <v>1.1583596412602847E-31</v>
      </c>
      <c r="H53" s="288">
        <v>23864.452350293112</v>
      </c>
      <c r="I53" s="288">
        <v>30445.886362801291</v>
      </c>
      <c r="J53" s="288">
        <v>23864.452350293112</v>
      </c>
      <c r="K53" s="288">
        <v>30445.886362801291</v>
      </c>
    </row>
    <row r="54" spans="3:11" x14ac:dyDescent="0.2">
      <c r="C54" s="288" t="s">
        <v>152</v>
      </c>
      <c r="D54" s="288">
        <v>429308.34592266148</v>
      </c>
      <c r="E54" s="288">
        <v>42237.208576961551</v>
      </c>
      <c r="F54" s="288">
        <v>10.164221556933793</v>
      </c>
      <c r="G54" s="288">
        <v>1.1477221508847422E-17</v>
      </c>
      <c r="H54" s="288">
        <v>345636.76104370074</v>
      </c>
      <c r="I54" s="288">
        <v>512979.93080162222</v>
      </c>
      <c r="J54" s="288">
        <v>345636.76104370074</v>
      </c>
      <c r="K54" s="288">
        <v>512979.93080162222</v>
      </c>
    </row>
    <row r="55" spans="3:11" x14ac:dyDescent="0.2">
      <c r="C55" s="288" t="s">
        <v>127</v>
      </c>
      <c r="D55" s="288">
        <v>-911546.67735953059</v>
      </c>
      <c r="E55" s="288">
        <v>88552.818637430872</v>
      </c>
      <c r="F55" s="288">
        <v>-10.293818891206067</v>
      </c>
      <c r="G55" s="288">
        <v>5.7131202029319136E-18</v>
      </c>
      <c r="H55" s="288">
        <v>-1086969.1290443344</v>
      </c>
      <c r="I55" s="288">
        <v>-736124.22567472688</v>
      </c>
      <c r="J55" s="288">
        <v>-1086969.1290443344</v>
      </c>
      <c r="K55" s="288">
        <v>-736124.22567472688</v>
      </c>
    </row>
    <row r="56" spans="3:11" ht="13.5" thickBot="1" x14ac:dyDescent="0.25">
      <c r="C56" s="289" t="s">
        <v>126</v>
      </c>
      <c r="D56" s="289">
        <v>905.6071879271193</v>
      </c>
      <c r="E56" s="289">
        <v>40.839606263394245</v>
      </c>
      <c r="F56" s="289">
        <v>22.174728671143971</v>
      </c>
      <c r="G56" s="289">
        <v>3.7246340451221053E-43</v>
      </c>
      <c r="H56" s="289">
        <v>824.70424246696859</v>
      </c>
      <c r="I56" s="289">
        <v>986.51013338727</v>
      </c>
      <c r="J56" s="289">
        <v>824.70424246696859</v>
      </c>
      <c r="K56" s="289">
        <v>986.51013338727</v>
      </c>
    </row>
    <row r="57" spans="3:11" x14ac:dyDescent="0.2">
      <c r="C57" s="2"/>
      <c r="D57" s="2"/>
      <c r="E57" s="2"/>
      <c r="F57" s="2"/>
      <c r="G57" s="2"/>
      <c r="H57" s="2"/>
    </row>
    <row r="58" spans="3:11" ht="13.5" thickBot="1" x14ac:dyDescent="0.25">
      <c r="C58" s="54"/>
      <c r="D58" s="54"/>
      <c r="E58" s="54"/>
      <c r="F58" s="54"/>
      <c r="G58" s="54"/>
      <c r="H58" s="54"/>
    </row>
    <row r="61" spans="3:11" x14ac:dyDescent="0.2">
      <c r="C61" t="s">
        <v>609</v>
      </c>
      <c r="D61"/>
      <c r="E61"/>
      <c r="F61"/>
      <c r="G61"/>
      <c r="H61"/>
      <c r="I61"/>
      <c r="J61"/>
      <c r="K61"/>
    </row>
    <row r="62" spans="3:11" ht="13.5" thickBot="1" x14ac:dyDescent="0.25">
      <c r="C62"/>
      <c r="D62"/>
      <c r="E62"/>
      <c r="F62"/>
      <c r="G62"/>
      <c r="H62"/>
      <c r="I62"/>
      <c r="J62"/>
      <c r="K62"/>
    </row>
    <row r="63" spans="3:11" x14ac:dyDescent="0.2">
      <c r="C63" s="291" t="s">
        <v>7</v>
      </c>
      <c r="D63" s="291"/>
      <c r="E63"/>
      <c r="F63"/>
      <c r="G63"/>
      <c r="H63"/>
      <c r="I63"/>
      <c r="J63"/>
      <c r="K63"/>
    </row>
    <row r="64" spans="3:11" x14ac:dyDescent="0.2">
      <c r="C64" s="288" t="s">
        <v>8</v>
      </c>
      <c r="D64" s="288">
        <v>0.97550753893076347</v>
      </c>
      <c r="E64"/>
      <c r="F64"/>
      <c r="G64"/>
      <c r="H64"/>
      <c r="I64"/>
      <c r="J64"/>
      <c r="K64"/>
    </row>
    <row r="65" spans="3:11" x14ac:dyDescent="0.2">
      <c r="C65" s="288" t="s">
        <v>9</v>
      </c>
      <c r="D65" s="288">
        <v>0.95161495851075495</v>
      </c>
      <c r="E65"/>
      <c r="F65"/>
      <c r="G65"/>
      <c r="H65"/>
      <c r="I65"/>
      <c r="J65"/>
      <c r="K65"/>
    </row>
    <row r="66" spans="3:11" x14ac:dyDescent="0.2">
      <c r="C66" s="288" t="s">
        <v>10</v>
      </c>
      <c r="D66" s="288">
        <v>0.94904584126353841</v>
      </c>
      <c r="E66"/>
      <c r="F66"/>
      <c r="G66"/>
      <c r="H66"/>
      <c r="I66"/>
      <c r="J66"/>
      <c r="K66"/>
    </row>
    <row r="67" spans="3:11" x14ac:dyDescent="0.2">
      <c r="C67" s="288" t="s">
        <v>11</v>
      </c>
      <c r="D67" s="288">
        <v>344533.96923922782</v>
      </c>
      <c r="E67"/>
      <c r="F67"/>
      <c r="G67"/>
      <c r="H67"/>
      <c r="I67"/>
      <c r="J67"/>
      <c r="K67"/>
    </row>
    <row r="68" spans="3:11" ht="13.5" thickBot="1" x14ac:dyDescent="0.25">
      <c r="C68" s="289" t="s">
        <v>12</v>
      </c>
      <c r="D68" s="289">
        <v>120</v>
      </c>
      <c r="E68"/>
      <c r="F68"/>
      <c r="G68"/>
      <c r="H68"/>
      <c r="I68"/>
      <c r="J68"/>
      <c r="K68"/>
    </row>
    <row r="69" spans="3:11" x14ac:dyDescent="0.2">
      <c r="C69"/>
      <c r="D69"/>
      <c r="E69"/>
      <c r="F69"/>
      <c r="G69"/>
      <c r="H69"/>
      <c r="I69"/>
      <c r="J69"/>
      <c r="K69"/>
    </row>
    <row r="70" spans="3:11" ht="13.5" thickBot="1" x14ac:dyDescent="0.25">
      <c r="C70" t="s">
        <v>13</v>
      </c>
      <c r="D70"/>
      <c r="E70"/>
      <c r="F70"/>
      <c r="G70"/>
      <c r="H70"/>
      <c r="I70"/>
      <c r="J70"/>
      <c r="K70"/>
    </row>
    <row r="71" spans="3:11" x14ac:dyDescent="0.2">
      <c r="C71" s="290"/>
      <c r="D71" s="290" t="s">
        <v>18</v>
      </c>
      <c r="E71" s="290" t="s">
        <v>19</v>
      </c>
      <c r="F71" s="290" t="s">
        <v>20</v>
      </c>
      <c r="G71" s="290" t="s">
        <v>21</v>
      </c>
      <c r="H71" s="290" t="s">
        <v>22</v>
      </c>
      <c r="I71"/>
      <c r="J71"/>
      <c r="K71"/>
    </row>
    <row r="72" spans="3:11" x14ac:dyDescent="0.2">
      <c r="C72" s="288" t="s">
        <v>14</v>
      </c>
      <c r="D72" s="288">
        <v>6</v>
      </c>
      <c r="E72" s="288">
        <v>263810866779827.16</v>
      </c>
      <c r="F72" s="288">
        <v>43968477796637.859</v>
      </c>
      <c r="G72" s="288">
        <v>370.40542215103653</v>
      </c>
      <c r="H72" s="288">
        <v>7.4073427446223403E-72</v>
      </c>
      <c r="I72"/>
      <c r="J72"/>
      <c r="K72"/>
    </row>
    <row r="73" spans="3:11" x14ac:dyDescent="0.2">
      <c r="C73" s="288" t="s">
        <v>15</v>
      </c>
      <c r="D73" s="288">
        <v>113</v>
      </c>
      <c r="E73" s="288">
        <v>13413513123450.303</v>
      </c>
      <c r="F73" s="288">
        <v>118703655959.7372</v>
      </c>
      <c r="G73" s="288"/>
      <c r="H73" s="288"/>
      <c r="I73"/>
      <c r="J73"/>
      <c r="K73"/>
    </row>
    <row r="74" spans="3:11" ht="13.5" thickBot="1" x14ac:dyDescent="0.25">
      <c r="C74" s="289" t="s">
        <v>16</v>
      </c>
      <c r="D74" s="289">
        <v>119</v>
      </c>
      <c r="E74" s="289">
        <v>277224379903277.47</v>
      </c>
      <c r="F74" s="289"/>
      <c r="G74" s="289"/>
      <c r="H74" s="289"/>
      <c r="I74"/>
      <c r="J74"/>
      <c r="K74"/>
    </row>
    <row r="75" spans="3:11" ht="13.5" thickBot="1" x14ac:dyDescent="0.25">
      <c r="C75"/>
      <c r="D75"/>
      <c r="E75"/>
      <c r="F75"/>
      <c r="G75"/>
      <c r="H75"/>
      <c r="I75"/>
      <c r="J75"/>
      <c r="K75"/>
    </row>
    <row r="76" spans="3:11" x14ac:dyDescent="0.2">
      <c r="C76" s="290"/>
      <c r="D76" s="290" t="s">
        <v>23</v>
      </c>
      <c r="E76" s="290" t="s">
        <v>11</v>
      </c>
      <c r="F76" s="290" t="s">
        <v>24</v>
      </c>
      <c r="G76" s="290" t="s">
        <v>25</v>
      </c>
      <c r="H76" s="290" t="s">
        <v>26</v>
      </c>
      <c r="I76" s="290" t="s">
        <v>27</v>
      </c>
      <c r="J76" s="290" t="s">
        <v>28</v>
      </c>
      <c r="K76" s="290" t="s">
        <v>29</v>
      </c>
    </row>
    <row r="77" spans="3:11" x14ac:dyDescent="0.2">
      <c r="C77" s="288" t="s">
        <v>17</v>
      </c>
      <c r="D77" s="1036">
        <v>-27240096.290114954</v>
      </c>
      <c r="E77" s="288">
        <v>3438259.4024070655</v>
      </c>
      <c r="F77" s="288">
        <v>-7.9226414013569304</v>
      </c>
      <c r="G77" s="288">
        <v>1.7835401286552959E-12</v>
      </c>
      <c r="H77" s="288">
        <v>-34051908.288736627</v>
      </c>
      <c r="I77" s="288">
        <v>-20428284.291493282</v>
      </c>
      <c r="J77" s="288">
        <v>-34051908.288736627</v>
      </c>
      <c r="K77" s="288">
        <v>-20428284.291493282</v>
      </c>
    </row>
    <row r="78" spans="3:11" x14ac:dyDescent="0.2">
      <c r="C78" s="288" t="s">
        <v>1</v>
      </c>
      <c r="D78" s="1036">
        <v>5456.6062015780035</v>
      </c>
      <c r="E78" s="288">
        <v>202.24711880906813</v>
      </c>
      <c r="F78" s="288">
        <v>26.979895850725693</v>
      </c>
      <c r="G78" s="288">
        <v>4.5251843859897621E-51</v>
      </c>
      <c r="H78" s="288">
        <v>5055.9181820452741</v>
      </c>
      <c r="I78" s="288">
        <v>5857.2942211107329</v>
      </c>
      <c r="J78" s="288">
        <v>5055.9181820452741</v>
      </c>
      <c r="K78" s="288">
        <v>5857.2942211107329</v>
      </c>
    </row>
    <row r="79" spans="3:11" x14ac:dyDescent="0.2">
      <c r="C79" s="288" t="s">
        <v>2</v>
      </c>
      <c r="D79" s="1036">
        <v>27748.134278164194</v>
      </c>
      <c r="E79" s="288">
        <v>1578.2201766050773</v>
      </c>
      <c r="F79" s="288">
        <v>17.581915812186256</v>
      </c>
      <c r="G79" s="288">
        <v>4.0022765311944687E-34</v>
      </c>
      <c r="H79" s="288">
        <v>24621.395461442276</v>
      </c>
      <c r="I79" s="288">
        <v>30874.873094886112</v>
      </c>
      <c r="J79" s="288">
        <v>24621.395461442276</v>
      </c>
      <c r="K79" s="288">
        <v>30874.873094886112</v>
      </c>
    </row>
    <row r="80" spans="3:11" x14ac:dyDescent="0.2">
      <c r="C80" s="288" t="s">
        <v>152</v>
      </c>
      <c r="D80" s="1036">
        <v>427452.65987519553</v>
      </c>
      <c r="E80" s="288">
        <v>39946.585471784922</v>
      </c>
      <c r="F80" s="288">
        <v>10.700605691996227</v>
      </c>
      <c r="G80" s="288">
        <v>7.0637771984051536E-19</v>
      </c>
      <c r="H80" s="288">
        <v>348311.26931281615</v>
      </c>
      <c r="I80" s="288">
        <v>506594.05043757492</v>
      </c>
      <c r="J80" s="288">
        <v>348311.26931281615</v>
      </c>
      <c r="K80" s="288">
        <v>506594.05043757492</v>
      </c>
    </row>
    <row r="81" spans="3:11" x14ac:dyDescent="0.2">
      <c r="C81" s="288" t="s">
        <v>127</v>
      </c>
      <c r="D81" s="1036">
        <v>-886512.3976298566</v>
      </c>
      <c r="E81" s="288">
        <v>83983.869002195963</v>
      </c>
      <c r="F81" s="288">
        <v>-10.555746099369113</v>
      </c>
      <c r="G81" s="288">
        <v>1.5355934778042895E-18</v>
      </c>
      <c r="H81" s="288">
        <v>-1052899.5894046612</v>
      </c>
      <c r="I81" s="288">
        <v>-720125.2058550521</v>
      </c>
      <c r="J81" s="288">
        <v>-1052899.5894046612</v>
      </c>
      <c r="K81" s="288">
        <v>-720125.2058550521</v>
      </c>
    </row>
    <row r="82" spans="3:11" x14ac:dyDescent="0.2">
      <c r="C82" s="288" t="s">
        <v>126</v>
      </c>
      <c r="D82" s="1036">
        <v>2038.2724530393405</v>
      </c>
      <c r="E82" s="288">
        <v>295.47802381044829</v>
      </c>
      <c r="F82" s="288">
        <v>6.8982201341203968</v>
      </c>
      <c r="G82" s="288">
        <v>3.2102286397064247E-10</v>
      </c>
      <c r="H82" s="288">
        <v>1452.8771956274225</v>
      </c>
      <c r="I82" s="288">
        <v>2623.6677104512582</v>
      </c>
      <c r="J82" s="288">
        <v>1452.8771956274225</v>
      </c>
      <c r="K82" s="288">
        <v>2623.6677104512582</v>
      </c>
    </row>
    <row r="83" spans="3:11" ht="13.5" thickBot="1" x14ac:dyDescent="0.25">
      <c r="C83" s="289" t="s">
        <v>598</v>
      </c>
      <c r="D83" s="1035">
        <v>214224.00911951569</v>
      </c>
      <c r="E83" s="289">
        <v>56332.261731668972</v>
      </c>
      <c r="F83" s="289">
        <v>3.802865401356375</v>
      </c>
      <c r="G83" s="289">
        <v>2.3241826248906794E-4</v>
      </c>
      <c r="H83" s="289">
        <v>102619.63857532693</v>
      </c>
      <c r="I83" s="289">
        <v>325828.37966370443</v>
      </c>
      <c r="J83" s="289">
        <v>102619.63857532693</v>
      </c>
      <c r="K83" s="289">
        <v>325828.37966370443</v>
      </c>
    </row>
    <row r="84" spans="3:11" x14ac:dyDescent="0.2">
      <c r="C84"/>
      <c r="D84"/>
      <c r="E84"/>
      <c r="F84"/>
      <c r="G84"/>
      <c r="H84"/>
      <c r="I84"/>
      <c r="J84"/>
      <c r="K84"/>
    </row>
    <row r="85" spans="3:11" x14ac:dyDescent="0.2">
      <c r="C85" s="1037" t="s">
        <v>610</v>
      </c>
      <c r="D85"/>
      <c r="E85"/>
      <c r="F85"/>
      <c r="G85"/>
      <c r="H85"/>
      <c r="I85"/>
      <c r="J85"/>
      <c r="K85"/>
    </row>
    <row r="86" spans="3:11" ht="13.5" thickBot="1" x14ac:dyDescent="0.25">
      <c r="C86"/>
      <c r="D86"/>
      <c r="E86"/>
      <c r="F86"/>
      <c r="G86"/>
      <c r="H86"/>
      <c r="I86"/>
      <c r="J86"/>
      <c r="K86"/>
    </row>
    <row r="87" spans="3:11" x14ac:dyDescent="0.2">
      <c r="C87" s="291" t="s">
        <v>7</v>
      </c>
      <c r="D87" s="291"/>
      <c r="E87"/>
      <c r="F87"/>
      <c r="G87"/>
      <c r="H87"/>
      <c r="I87"/>
      <c r="J87"/>
      <c r="K87"/>
    </row>
    <row r="88" spans="3:11" x14ac:dyDescent="0.2">
      <c r="C88" s="288" t="s">
        <v>8</v>
      </c>
      <c r="D88" s="288">
        <v>0.97300206201022288</v>
      </c>
      <c r="E88"/>
      <c r="F88"/>
      <c r="G88"/>
      <c r="H88"/>
      <c r="I88"/>
      <c r="J88"/>
      <c r="K88"/>
    </row>
    <row r="89" spans="3:11" x14ac:dyDescent="0.2">
      <c r="C89" s="288" t="s">
        <v>9</v>
      </c>
      <c r="D89" s="288">
        <v>0.94673301267614551</v>
      </c>
      <c r="E89"/>
      <c r="F89"/>
      <c r="G89"/>
      <c r="H89"/>
      <c r="I89"/>
      <c r="J89"/>
      <c r="K89"/>
    </row>
    <row r="90" spans="3:11" x14ac:dyDescent="0.2">
      <c r="C90" s="288" t="s">
        <v>10</v>
      </c>
      <c r="D90" s="288">
        <v>0.94390467706602943</v>
      </c>
      <c r="E90"/>
      <c r="F90"/>
      <c r="G90"/>
      <c r="H90"/>
      <c r="I90"/>
      <c r="J90"/>
      <c r="K90"/>
    </row>
    <row r="91" spans="3:11" x14ac:dyDescent="0.2">
      <c r="C91" s="288" t="s">
        <v>11</v>
      </c>
      <c r="D91" s="288">
        <v>361497.71453238203</v>
      </c>
      <c r="E91"/>
      <c r="F91"/>
      <c r="G91"/>
      <c r="H91"/>
      <c r="I91"/>
      <c r="J91"/>
      <c r="K91"/>
    </row>
    <row r="92" spans="3:11" ht="13.5" thickBot="1" x14ac:dyDescent="0.25">
      <c r="C92" s="289" t="s">
        <v>12</v>
      </c>
      <c r="D92" s="289">
        <v>120</v>
      </c>
      <c r="E92"/>
      <c r="F92"/>
      <c r="G92"/>
      <c r="H92"/>
      <c r="I92"/>
      <c r="J92"/>
      <c r="K92"/>
    </row>
    <row r="93" spans="3:11" x14ac:dyDescent="0.2">
      <c r="C93"/>
      <c r="D93"/>
      <c r="E93"/>
      <c r="F93"/>
      <c r="G93"/>
      <c r="H93"/>
      <c r="I93"/>
      <c r="J93"/>
      <c r="K93"/>
    </row>
    <row r="94" spans="3:11" ht="13.5" thickBot="1" x14ac:dyDescent="0.25">
      <c r="C94" t="s">
        <v>13</v>
      </c>
      <c r="D94"/>
      <c r="E94"/>
      <c r="F94"/>
      <c r="G94"/>
      <c r="H94"/>
      <c r="I94"/>
      <c r="J94"/>
      <c r="K94"/>
    </row>
    <row r="95" spans="3:11" x14ac:dyDescent="0.2">
      <c r="C95" s="290"/>
      <c r="D95" s="290" t="s">
        <v>18</v>
      </c>
      <c r="E95" s="290" t="s">
        <v>19</v>
      </c>
      <c r="F95" s="290" t="s">
        <v>20</v>
      </c>
      <c r="G95" s="290" t="s">
        <v>21</v>
      </c>
      <c r="H95" s="290" t="s">
        <v>22</v>
      </c>
      <c r="I95"/>
      <c r="J95"/>
      <c r="K95"/>
    </row>
    <row r="96" spans="3:11" x14ac:dyDescent="0.2">
      <c r="C96" s="288" t="s">
        <v>14</v>
      </c>
      <c r="D96" s="288">
        <v>6</v>
      </c>
      <c r="E96" s="288">
        <v>262457472373106.16</v>
      </c>
      <c r="F96" s="288">
        <v>43742912062184.359</v>
      </c>
      <c r="G96" s="288">
        <v>334.73149695882785</v>
      </c>
      <c r="H96" s="288">
        <v>1.6748783469927603E-69</v>
      </c>
      <c r="I96"/>
      <c r="J96"/>
      <c r="K96"/>
    </row>
    <row r="97" spans="3:11" x14ac:dyDescent="0.2">
      <c r="C97" s="288" t="s">
        <v>15</v>
      </c>
      <c r="D97" s="288">
        <v>113</v>
      </c>
      <c r="E97" s="288">
        <v>14766907530171.318</v>
      </c>
      <c r="F97" s="288">
        <v>130680597612.13556</v>
      </c>
      <c r="G97" s="288"/>
      <c r="H97" s="288"/>
      <c r="I97"/>
      <c r="J97"/>
      <c r="K97"/>
    </row>
    <row r="98" spans="3:11" ht="13.5" thickBot="1" x14ac:dyDescent="0.25">
      <c r="C98" s="289" t="s">
        <v>16</v>
      </c>
      <c r="D98" s="289">
        <v>119</v>
      </c>
      <c r="E98" s="289">
        <v>277224379903277.47</v>
      </c>
      <c r="F98" s="289"/>
      <c r="G98" s="289"/>
      <c r="H98" s="289"/>
      <c r="I98"/>
      <c r="J98"/>
      <c r="K98"/>
    </row>
    <row r="99" spans="3:11" ht="13.5" thickBot="1" x14ac:dyDescent="0.25">
      <c r="C99"/>
      <c r="D99"/>
      <c r="E99"/>
      <c r="F99"/>
      <c r="G99"/>
      <c r="H99"/>
      <c r="I99"/>
      <c r="J99"/>
      <c r="K99"/>
    </row>
    <row r="100" spans="3:11" x14ac:dyDescent="0.2">
      <c r="C100" s="290"/>
      <c r="D100" s="290" t="s">
        <v>23</v>
      </c>
      <c r="E100" s="290" t="s">
        <v>11</v>
      </c>
      <c r="F100" s="290" t="s">
        <v>24</v>
      </c>
      <c r="G100" s="290" t="s">
        <v>25</v>
      </c>
      <c r="H100" s="290" t="s">
        <v>26</v>
      </c>
      <c r="I100" s="290" t="s">
        <v>27</v>
      </c>
      <c r="J100" s="290" t="s">
        <v>28</v>
      </c>
      <c r="K100" s="290" t="s">
        <v>29</v>
      </c>
    </row>
    <row r="101" spans="3:11" x14ac:dyDescent="0.2">
      <c r="C101" s="288" t="s">
        <v>17</v>
      </c>
      <c r="D101" s="1036">
        <v>-16405752.510742322</v>
      </c>
      <c r="E101" s="288">
        <v>1548934.3989328332</v>
      </c>
      <c r="F101" s="288">
        <v>-10.591638046159582</v>
      </c>
      <c r="G101" s="288">
        <v>1.2668105917115941E-18</v>
      </c>
      <c r="H101" s="288">
        <v>-19474470.919929806</v>
      </c>
      <c r="I101" s="288">
        <v>-13337034.101554837</v>
      </c>
      <c r="J101" s="288">
        <v>-19474470.919929806</v>
      </c>
      <c r="K101" s="288">
        <v>-13337034.101554837</v>
      </c>
    </row>
    <row r="102" spans="3:11" x14ac:dyDescent="0.2">
      <c r="C102" s="288" t="s">
        <v>1</v>
      </c>
      <c r="D102" s="1036">
        <v>5407.0860077594662</v>
      </c>
      <c r="E102" s="288">
        <v>211.6816562555594</v>
      </c>
      <c r="F102" s="288">
        <v>25.543479314199949</v>
      </c>
      <c r="G102" s="288">
        <v>9.2359955220132626E-49</v>
      </c>
      <c r="H102" s="288">
        <v>4987.7064679375862</v>
      </c>
      <c r="I102" s="288">
        <v>5826.4655475813461</v>
      </c>
      <c r="J102" s="288">
        <v>4987.7064679375862</v>
      </c>
      <c r="K102" s="288">
        <v>5826.4655475813461</v>
      </c>
    </row>
    <row r="103" spans="3:11" x14ac:dyDescent="0.2">
      <c r="C103" s="288" t="s">
        <v>2</v>
      </c>
      <c r="D103" s="1036">
        <v>27546.668511857635</v>
      </c>
      <c r="E103" s="288">
        <v>1664.8971849494994</v>
      </c>
      <c r="F103" s="288">
        <v>16.545567354474922</v>
      </c>
      <c r="G103" s="288">
        <v>5.7106077257585824E-32</v>
      </c>
      <c r="H103" s="288">
        <v>24248.206908590928</v>
      </c>
      <c r="I103" s="288">
        <v>30845.130115124342</v>
      </c>
      <c r="J103" s="288">
        <v>24248.206908590928</v>
      </c>
      <c r="K103" s="288">
        <v>30845.130115124342</v>
      </c>
    </row>
    <row r="104" spans="3:11" x14ac:dyDescent="0.2">
      <c r="C104" s="288" t="s">
        <v>152</v>
      </c>
      <c r="D104" s="1036">
        <v>438357.6026848731</v>
      </c>
      <c r="E104" s="288">
        <v>42058.372329599493</v>
      </c>
      <c r="F104" s="288">
        <v>10.422600267304434</v>
      </c>
      <c r="G104" s="288">
        <v>3.1353575345878474E-18</v>
      </c>
      <c r="H104" s="288">
        <v>355032.38147652149</v>
      </c>
      <c r="I104" s="288">
        <v>521682.8238932247</v>
      </c>
      <c r="J104" s="288">
        <v>355032.38147652149</v>
      </c>
      <c r="K104" s="288">
        <v>521682.8238932247</v>
      </c>
    </row>
    <row r="105" spans="3:11" x14ac:dyDescent="0.2">
      <c r="C105" s="288" t="s">
        <v>127</v>
      </c>
      <c r="D105" s="1036">
        <v>-920618.00977499317</v>
      </c>
      <c r="E105" s="288">
        <v>87974.544709417096</v>
      </c>
      <c r="F105" s="288">
        <v>-10.464595330567787</v>
      </c>
      <c r="G105" s="288">
        <v>2.5032623087255637E-18</v>
      </c>
      <c r="H105" s="288">
        <v>-1094911.4498817374</v>
      </c>
      <c r="I105" s="288">
        <v>-746324.56966824899</v>
      </c>
      <c r="J105" s="288">
        <v>-1094911.4498817374</v>
      </c>
      <c r="K105" s="288">
        <v>-746324.56966824899</v>
      </c>
    </row>
    <row r="106" spans="3:11" x14ac:dyDescent="0.2">
      <c r="C106" s="288" t="s">
        <v>126</v>
      </c>
      <c r="D106" s="1036">
        <v>1031.0347361633048</v>
      </c>
      <c r="E106" s="288">
        <v>75.785716980521642</v>
      </c>
      <c r="F106" s="288">
        <v>13.604604894459206</v>
      </c>
      <c r="G106" s="288">
        <v>1.4939652922474607E-25</v>
      </c>
      <c r="H106" s="288">
        <v>880.88956215733708</v>
      </c>
      <c r="I106" s="288">
        <v>1181.1799101692725</v>
      </c>
      <c r="J106" s="288">
        <v>880.88956215733708</v>
      </c>
      <c r="K106" s="288">
        <v>1181.1799101692725</v>
      </c>
    </row>
    <row r="107" spans="3:11" ht="13.5" thickBot="1" x14ac:dyDescent="0.25">
      <c r="C107" s="289" t="s">
        <v>598</v>
      </c>
      <c r="D107" s="1035">
        <v>2414118.8600153392</v>
      </c>
      <c r="E107" s="289">
        <v>1447931.5053670304</v>
      </c>
      <c r="F107" s="289">
        <v>1.6672880250667617</v>
      </c>
      <c r="G107" s="289">
        <v>9.8226364976635644E-2</v>
      </c>
      <c r="H107" s="289">
        <v>-454494.60019552708</v>
      </c>
      <c r="I107" s="289">
        <v>5282732.3202262055</v>
      </c>
      <c r="J107" s="289">
        <v>-454494.60019552708</v>
      </c>
      <c r="K107" s="289">
        <v>5282732.3202262055</v>
      </c>
    </row>
    <row r="108" spans="3:11" x14ac:dyDescent="0.2">
      <c r="C108"/>
      <c r="D108"/>
      <c r="E108"/>
      <c r="F108"/>
      <c r="G108"/>
      <c r="H108"/>
      <c r="I108"/>
      <c r="J108"/>
      <c r="K108"/>
    </row>
    <row r="109" spans="3:11" x14ac:dyDescent="0.2">
      <c r="C109" t="s">
        <v>153</v>
      </c>
      <c r="D109"/>
      <c r="E109"/>
      <c r="F109"/>
      <c r="G109"/>
      <c r="H109"/>
      <c r="I109"/>
      <c r="J109"/>
      <c r="K109"/>
    </row>
    <row r="110" spans="3:11" ht="13.5" thickBot="1" x14ac:dyDescent="0.25">
      <c r="C110"/>
      <c r="D110"/>
      <c r="E110"/>
      <c r="F110"/>
      <c r="G110"/>
      <c r="H110"/>
      <c r="I110"/>
      <c r="J110"/>
      <c r="K110"/>
    </row>
    <row r="111" spans="3:11" x14ac:dyDescent="0.2">
      <c r="C111" s="291" t="s">
        <v>7</v>
      </c>
      <c r="D111" s="291"/>
      <c r="E111"/>
      <c r="F111"/>
      <c r="G111"/>
      <c r="H111"/>
      <c r="I111"/>
      <c r="J111"/>
      <c r="K111"/>
    </row>
    <row r="112" spans="3:11" x14ac:dyDescent="0.2">
      <c r="C112" s="288" t="s">
        <v>8</v>
      </c>
      <c r="D112" s="288">
        <v>0.97550753893076347</v>
      </c>
      <c r="E112"/>
      <c r="F112"/>
      <c r="G112"/>
      <c r="H112"/>
      <c r="I112"/>
      <c r="J112"/>
      <c r="K112"/>
    </row>
    <row r="113" spans="3:11" x14ac:dyDescent="0.2">
      <c r="C113" s="288" t="s">
        <v>9</v>
      </c>
      <c r="D113" s="288">
        <v>0.95161495851075506</v>
      </c>
      <c r="E113"/>
      <c r="F113"/>
      <c r="G113"/>
      <c r="H113"/>
      <c r="I113"/>
      <c r="J113"/>
      <c r="K113"/>
    </row>
    <row r="114" spans="3:11" x14ac:dyDescent="0.2">
      <c r="C114" s="288" t="s">
        <v>10</v>
      </c>
      <c r="D114" s="288">
        <v>0.94904584126353853</v>
      </c>
      <c r="E114"/>
      <c r="F114"/>
      <c r="G114"/>
      <c r="H114"/>
      <c r="I114"/>
      <c r="J114"/>
      <c r="K114"/>
    </row>
    <row r="115" spans="3:11" x14ac:dyDescent="0.2">
      <c r="C115" s="288" t="s">
        <v>11</v>
      </c>
      <c r="D115" s="288">
        <v>344533.96923922765</v>
      </c>
      <c r="E115"/>
      <c r="F115"/>
      <c r="G115"/>
      <c r="H115"/>
      <c r="I115"/>
      <c r="J115"/>
      <c r="K115"/>
    </row>
    <row r="116" spans="3:11" ht="13.5" thickBot="1" x14ac:dyDescent="0.25">
      <c r="C116" s="289" t="s">
        <v>12</v>
      </c>
      <c r="D116" s="289">
        <v>120</v>
      </c>
      <c r="E116"/>
      <c r="F116"/>
      <c r="G116"/>
      <c r="H116"/>
      <c r="I116"/>
      <c r="J116"/>
      <c r="K116"/>
    </row>
    <row r="117" spans="3:11" x14ac:dyDescent="0.2">
      <c r="C117"/>
      <c r="D117"/>
      <c r="E117"/>
      <c r="F117"/>
      <c r="G117"/>
      <c r="H117"/>
      <c r="I117"/>
      <c r="J117"/>
      <c r="K117"/>
    </row>
    <row r="118" spans="3:11" ht="13.5" thickBot="1" x14ac:dyDescent="0.25">
      <c r="C118" t="s">
        <v>13</v>
      </c>
      <c r="D118"/>
      <c r="E118"/>
      <c r="F118"/>
      <c r="G118"/>
      <c r="H118"/>
      <c r="I118"/>
      <c r="J118"/>
      <c r="K118"/>
    </row>
    <row r="119" spans="3:11" x14ac:dyDescent="0.2">
      <c r="C119" s="290"/>
      <c r="D119" s="290" t="s">
        <v>18</v>
      </c>
      <c r="E119" s="290" t="s">
        <v>19</v>
      </c>
      <c r="F119" s="290" t="s">
        <v>20</v>
      </c>
      <c r="G119" s="290" t="s">
        <v>21</v>
      </c>
      <c r="H119" s="290" t="s">
        <v>22</v>
      </c>
      <c r="I119"/>
      <c r="J119"/>
      <c r="K119"/>
    </row>
    <row r="120" spans="3:11" x14ac:dyDescent="0.2">
      <c r="C120" s="288" t="s">
        <v>14</v>
      </c>
      <c r="D120" s="288">
        <v>6</v>
      </c>
      <c r="E120" s="288">
        <v>263810866779827.19</v>
      </c>
      <c r="F120" s="288">
        <v>43968477796637.867</v>
      </c>
      <c r="G120" s="288">
        <v>370.40542215103704</v>
      </c>
      <c r="H120" s="288">
        <v>7.4073427446219211E-72</v>
      </c>
      <c r="I120"/>
      <c r="J120"/>
      <c r="K120"/>
    </row>
    <row r="121" spans="3:11" x14ac:dyDescent="0.2">
      <c r="C121" s="288" t="s">
        <v>15</v>
      </c>
      <c r="D121" s="288">
        <v>113</v>
      </c>
      <c r="E121" s="288">
        <v>13413513123450.287</v>
      </c>
      <c r="F121" s="288">
        <v>118703655959.73706</v>
      </c>
      <c r="G121" s="288"/>
      <c r="H121" s="288"/>
      <c r="I121"/>
      <c r="J121"/>
      <c r="K121"/>
    </row>
    <row r="122" spans="3:11" ht="13.5" thickBot="1" x14ac:dyDescent="0.25">
      <c r="C122" s="289" t="s">
        <v>16</v>
      </c>
      <c r="D122" s="289">
        <v>119</v>
      </c>
      <c r="E122" s="289">
        <v>277224379903277.47</v>
      </c>
      <c r="F122" s="289"/>
      <c r="G122" s="289"/>
      <c r="H122" s="289"/>
      <c r="I122"/>
      <c r="J122"/>
      <c r="K122"/>
    </row>
    <row r="123" spans="3:11" ht="13.5" thickBot="1" x14ac:dyDescent="0.25">
      <c r="C123"/>
      <c r="D123"/>
      <c r="E123"/>
      <c r="F123"/>
      <c r="G123"/>
      <c r="H123"/>
      <c r="I123"/>
      <c r="J123"/>
      <c r="K123"/>
    </row>
    <row r="124" spans="3:11" x14ac:dyDescent="0.2">
      <c r="C124" s="290"/>
      <c r="D124" s="290" t="s">
        <v>23</v>
      </c>
      <c r="E124" s="290" t="s">
        <v>11</v>
      </c>
      <c r="F124" s="290" t="s">
        <v>24</v>
      </c>
      <c r="G124" s="290" t="s">
        <v>25</v>
      </c>
      <c r="H124" s="290" t="s">
        <v>26</v>
      </c>
      <c r="I124" s="290" t="s">
        <v>27</v>
      </c>
      <c r="J124" s="290" t="s">
        <v>28</v>
      </c>
      <c r="K124" s="290" t="s">
        <v>29</v>
      </c>
    </row>
    <row r="125" spans="3:11" x14ac:dyDescent="0.2">
      <c r="C125" s="288" t="s">
        <v>17</v>
      </c>
      <c r="D125" s="1036">
        <v>-26697381.185411584</v>
      </c>
      <c r="E125" s="288">
        <v>3306064.2169588618</v>
      </c>
      <c r="F125" s="288">
        <v>-8.0752760483187505</v>
      </c>
      <c r="G125" s="288">
        <v>8.0851681084064595E-13</v>
      </c>
      <c r="H125" s="288">
        <v>-33247290.679014094</v>
      </c>
      <c r="I125" s="288">
        <v>-20147471.691809073</v>
      </c>
      <c r="J125" s="288">
        <v>-33247290.679014094</v>
      </c>
      <c r="K125" s="288">
        <v>-20147471.691809073</v>
      </c>
    </row>
    <row r="126" spans="3:11" x14ac:dyDescent="0.2">
      <c r="C126" s="288" t="s">
        <v>1</v>
      </c>
      <c r="D126" s="1036">
        <v>5456.6062015780035</v>
      </c>
      <c r="E126" s="288">
        <v>202.24711880906801</v>
      </c>
      <c r="F126" s="288">
        <v>26.979895850725708</v>
      </c>
      <c r="G126" s="288">
        <v>4.5251843859895051E-51</v>
      </c>
      <c r="H126" s="288">
        <v>5055.9181820452741</v>
      </c>
      <c r="I126" s="288">
        <v>5857.2942211107329</v>
      </c>
      <c r="J126" s="288">
        <v>5055.9181820452741</v>
      </c>
      <c r="K126" s="288">
        <v>5857.2942211107329</v>
      </c>
    </row>
    <row r="127" spans="3:11" x14ac:dyDescent="0.2">
      <c r="C127" s="288" t="s">
        <v>2</v>
      </c>
      <c r="D127" s="1036">
        <v>27748.134278164198</v>
      </c>
      <c r="E127" s="288">
        <v>1578.2201766050764</v>
      </c>
      <c r="F127" s="288">
        <v>17.581915812186267</v>
      </c>
      <c r="G127" s="288">
        <v>4.0022765311942412E-34</v>
      </c>
      <c r="H127" s="288">
        <v>24621.39546144228</v>
      </c>
      <c r="I127" s="288">
        <v>30874.873094886116</v>
      </c>
      <c r="J127" s="288">
        <v>24621.39546144228</v>
      </c>
      <c r="K127" s="288">
        <v>30874.873094886116</v>
      </c>
    </row>
    <row r="128" spans="3:11" x14ac:dyDescent="0.2">
      <c r="C128" s="288" t="s">
        <v>152</v>
      </c>
      <c r="D128" s="1036">
        <v>427452.65987519547</v>
      </c>
      <c r="E128" s="288">
        <v>39946.585471784892</v>
      </c>
      <c r="F128" s="288">
        <v>10.700605691996234</v>
      </c>
      <c r="G128" s="288">
        <v>7.0637771984049996E-19</v>
      </c>
      <c r="H128" s="288">
        <v>348311.26931281615</v>
      </c>
      <c r="I128" s="288">
        <v>506594.0504375748</v>
      </c>
      <c r="J128" s="288">
        <v>348311.26931281615</v>
      </c>
      <c r="K128" s="288">
        <v>506594.0504375748</v>
      </c>
    </row>
    <row r="129" spans="3:11" x14ac:dyDescent="0.2">
      <c r="C129" s="288" t="s">
        <v>127</v>
      </c>
      <c r="D129" s="1036">
        <v>-886512.39762985625</v>
      </c>
      <c r="E129" s="288">
        <v>83983.869002195905</v>
      </c>
      <c r="F129" s="288">
        <v>-10.555746099369117</v>
      </c>
      <c r="G129" s="288">
        <v>1.5355934778042454E-18</v>
      </c>
      <c r="H129" s="288">
        <v>-1052899.5894046607</v>
      </c>
      <c r="I129" s="288">
        <v>-720125.20585505187</v>
      </c>
      <c r="J129" s="288">
        <v>-1052899.5894046607</v>
      </c>
      <c r="K129" s="288">
        <v>-720125.20585505187</v>
      </c>
    </row>
    <row r="130" spans="3:11" x14ac:dyDescent="0.2">
      <c r="C130" s="288" t="s">
        <v>126</v>
      </c>
      <c r="D130" s="1036">
        <v>2038.2724530393414</v>
      </c>
      <c r="E130" s="288">
        <v>295.47802381044801</v>
      </c>
      <c r="F130" s="288">
        <v>6.8982201341204066</v>
      </c>
      <c r="G130" s="288">
        <v>3.2102286397062712E-10</v>
      </c>
      <c r="H130" s="288">
        <v>1452.877195627424</v>
      </c>
      <c r="I130" s="288">
        <v>2623.6677104512587</v>
      </c>
      <c r="J130" s="288">
        <v>1452.877195627424</v>
      </c>
      <c r="K130" s="288">
        <v>2623.6677104512587</v>
      </c>
    </row>
    <row r="131" spans="3:11" ht="13.5" thickBot="1" x14ac:dyDescent="0.25">
      <c r="C131" s="1038" t="s">
        <v>611</v>
      </c>
      <c r="D131" s="1035">
        <v>24265737.760265157</v>
      </c>
      <c r="E131" s="289">
        <v>6380908.9197872235</v>
      </c>
      <c r="F131" s="289">
        <v>3.8028654013563821</v>
      </c>
      <c r="G131" s="289">
        <v>2.3241826248906097E-4</v>
      </c>
      <c r="H131" s="289">
        <v>11624006.333168881</v>
      </c>
      <c r="I131" s="289">
        <v>36907469.187361434</v>
      </c>
      <c r="J131" s="289">
        <v>11624006.333168881</v>
      </c>
      <c r="K131" s="289">
        <v>36907469.187361434</v>
      </c>
    </row>
    <row r="132" spans="3:11" x14ac:dyDescent="0.2">
      <c r="C132"/>
      <c r="D132"/>
      <c r="E132"/>
      <c r="F132"/>
      <c r="G132"/>
      <c r="H132"/>
      <c r="I132"/>
      <c r="J132"/>
      <c r="K132"/>
    </row>
    <row r="134" spans="3:11" x14ac:dyDescent="0.2">
      <c r="C134" s="1037" t="s">
        <v>618</v>
      </c>
      <c r="D134"/>
      <c r="E134"/>
      <c r="F134"/>
      <c r="G134"/>
      <c r="H134"/>
      <c r="I134"/>
      <c r="J134"/>
      <c r="K134"/>
    </row>
    <row r="135" spans="3:11" ht="13.5" thickBot="1" x14ac:dyDescent="0.25">
      <c r="C135"/>
      <c r="D135"/>
      <c r="E135"/>
      <c r="F135"/>
      <c r="G135"/>
      <c r="H135"/>
      <c r="I135"/>
      <c r="J135"/>
      <c r="K135"/>
    </row>
    <row r="136" spans="3:11" x14ac:dyDescent="0.2">
      <c r="C136" s="291" t="s">
        <v>7</v>
      </c>
      <c r="D136" s="291"/>
      <c r="E136"/>
      <c r="F136"/>
      <c r="G136"/>
      <c r="H136"/>
      <c r="I136"/>
      <c r="J136"/>
      <c r="K136"/>
    </row>
    <row r="137" spans="3:11" x14ac:dyDescent="0.2">
      <c r="C137" s="288" t="s">
        <v>8</v>
      </c>
      <c r="D137" s="288">
        <v>0.95004545646351901</v>
      </c>
      <c r="E137"/>
      <c r="F137"/>
      <c r="G137"/>
      <c r="H137"/>
      <c r="I137"/>
      <c r="J137"/>
      <c r="K137"/>
    </row>
    <row r="138" spans="3:11" x14ac:dyDescent="0.2">
      <c r="C138" s="288" t="s">
        <v>9</v>
      </c>
      <c r="D138" s="288">
        <v>0.90258636934697623</v>
      </c>
      <c r="E138"/>
      <c r="F138"/>
      <c r="G138"/>
      <c r="H138"/>
      <c r="I138"/>
      <c r="J138"/>
      <c r="K138"/>
    </row>
    <row r="139" spans="3:11" x14ac:dyDescent="0.2">
      <c r="C139" s="288" t="s">
        <v>10</v>
      </c>
      <c r="D139" s="288">
        <v>0.89831384168675588</v>
      </c>
      <c r="E139"/>
      <c r="F139"/>
      <c r="G139"/>
      <c r="H139"/>
      <c r="I139"/>
      <c r="J139"/>
      <c r="K139"/>
    </row>
    <row r="140" spans="3:11" x14ac:dyDescent="0.2">
      <c r="C140" s="288" t="s">
        <v>11</v>
      </c>
      <c r="D140" s="288">
        <v>486713.22793287301</v>
      </c>
      <c r="E140"/>
      <c r="F140"/>
      <c r="G140"/>
      <c r="H140"/>
      <c r="I140"/>
      <c r="J140"/>
      <c r="K140"/>
    </row>
    <row r="141" spans="3:11" ht="13.5" thickBot="1" x14ac:dyDescent="0.25">
      <c r="C141" s="289" t="s">
        <v>12</v>
      </c>
      <c r="D141" s="289">
        <v>120</v>
      </c>
      <c r="E141"/>
      <c r="F141"/>
      <c r="G141"/>
      <c r="H141"/>
      <c r="I141"/>
      <c r="J141"/>
      <c r="K141"/>
    </row>
    <row r="142" spans="3:11" x14ac:dyDescent="0.2">
      <c r="C142"/>
      <c r="D142"/>
      <c r="E142"/>
      <c r="F142"/>
      <c r="G142"/>
      <c r="H142"/>
      <c r="I142"/>
      <c r="J142"/>
      <c r="K142"/>
    </row>
    <row r="143" spans="3:11" ht="13.5" thickBot="1" x14ac:dyDescent="0.25">
      <c r="C143" t="s">
        <v>13</v>
      </c>
      <c r="D143"/>
      <c r="E143"/>
      <c r="F143"/>
      <c r="G143"/>
      <c r="H143"/>
      <c r="I143"/>
      <c r="J143"/>
      <c r="K143"/>
    </row>
    <row r="144" spans="3:11" x14ac:dyDescent="0.2">
      <c r="C144" s="290"/>
      <c r="D144" s="290" t="s">
        <v>18</v>
      </c>
      <c r="E144" s="290" t="s">
        <v>19</v>
      </c>
      <c r="F144" s="290" t="s">
        <v>20</v>
      </c>
      <c r="G144" s="290" t="s">
        <v>21</v>
      </c>
      <c r="H144" s="290" t="s">
        <v>22</v>
      </c>
      <c r="I144"/>
      <c r="J144"/>
      <c r="K144"/>
    </row>
    <row r="145" spans="3:11" x14ac:dyDescent="0.2">
      <c r="C145" s="288" t="s">
        <v>14</v>
      </c>
      <c r="D145" s="288">
        <v>5</v>
      </c>
      <c r="E145" s="288">
        <v>250218946551366.06</v>
      </c>
      <c r="F145" s="288">
        <v>50043789310273.211</v>
      </c>
      <c r="G145" s="288">
        <v>211.25348766037695</v>
      </c>
      <c r="H145" s="288">
        <v>6.4575397732060442E-56</v>
      </c>
      <c r="I145"/>
      <c r="J145"/>
      <c r="K145"/>
    </row>
    <row r="146" spans="3:11" x14ac:dyDescent="0.2">
      <c r="C146" s="288" t="s">
        <v>15</v>
      </c>
      <c r="D146" s="288">
        <v>114</v>
      </c>
      <c r="E146" s="288">
        <v>27005433351911.395</v>
      </c>
      <c r="F146" s="288">
        <v>236889766244.83679</v>
      </c>
      <c r="G146" s="288"/>
      <c r="H146" s="288"/>
      <c r="I146"/>
      <c r="J146"/>
      <c r="K146"/>
    </row>
    <row r="147" spans="3:11" ht="13.5" thickBot="1" x14ac:dyDescent="0.25">
      <c r="C147" s="289" t="s">
        <v>16</v>
      </c>
      <c r="D147" s="289">
        <v>119</v>
      </c>
      <c r="E147" s="289">
        <v>277224379903277.47</v>
      </c>
      <c r="F147" s="289"/>
      <c r="G147" s="289"/>
      <c r="H147" s="289"/>
      <c r="I147"/>
      <c r="J147"/>
      <c r="K147"/>
    </row>
    <row r="148" spans="3:11" ht="13.5" thickBot="1" x14ac:dyDescent="0.25">
      <c r="C148"/>
      <c r="D148"/>
      <c r="E148"/>
      <c r="F148"/>
      <c r="G148"/>
      <c r="H148"/>
      <c r="I148"/>
      <c r="J148"/>
      <c r="K148"/>
    </row>
    <row r="149" spans="3:11" x14ac:dyDescent="0.2">
      <c r="C149" s="290"/>
      <c r="D149" s="290" t="s">
        <v>23</v>
      </c>
      <c r="E149" s="290" t="s">
        <v>11</v>
      </c>
      <c r="F149" s="290" t="s">
        <v>24</v>
      </c>
      <c r="G149" s="290" t="s">
        <v>25</v>
      </c>
      <c r="H149" s="290" t="s">
        <v>26</v>
      </c>
      <c r="I149" s="290" t="s">
        <v>27</v>
      </c>
      <c r="J149" s="290" t="s">
        <v>28</v>
      </c>
      <c r="K149" s="290" t="s">
        <v>29</v>
      </c>
    </row>
    <row r="150" spans="3:11" x14ac:dyDescent="0.2">
      <c r="C150" s="288" t="s">
        <v>17</v>
      </c>
      <c r="D150" s="288">
        <v>-15749972.887299817</v>
      </c>
      <c r="E150" s="288">
        <v>4614187.104849101</v>
      </c>
      <c r="F150" s="288">
        <v>-3.4133797631977241</v>
      </c>
      <c r="G150" s="288">
        <v>8.891198695031321E-4</v>
      </c>
      <c r="H150" s="288">
        <v>-24890642.003425416</v>
      </c>
      <c r="I150" s="288">
        <v>-6609303.7711742185</v>
      </c>
      <c r="J150" s="288">
        <v>-24890642.003425416</v>
      </c>
      <c r="K150" s="288">
        <v>-6609303.7711742185</v>
      </c>
    </row>
    <row r="151" spans="3:11" x14ac:dyDescent="0.2">
      <c r="C151" s="288" t="s">
        <v>126</v>
      </c>
      <c r="D151" s="288">
        <v>2157.9027733330131</v>
      </c>
      <c r="E151" s="288">
        <v>417.11441775368053</v>
      </c>
      <c r="F151" s="288">
        <v>5.1734072990191482</v>
      </c>
      <c r="G151" s="288">
        <v>9.9499198229611269E-7</v>
      </c>
      <c r="H151" s="288">
        <v>1331.6023243882869</v>
      </c>
      <c r="I151" s="288">
        <v>2984.2032222777393</v>
      </c>
      <c r="J151" s="288">
        <v>1331.6023243882869</v>
      </c>
      <c r="K151" s="288">
        <v>2984.2032222777393</v>
      </c>
    </row>
    <row r="152" spans="3:11" x14ac:dyDescent="0.2">
      <c r="C152" s="288" t="s">
        <v>1</v>
      </c>
      <c r="D152" s="288">
        <v>5537.3414017912237</v>
      </c>
      <c r="E152" s="288">
        <v>285.50980809933316</v>
      </c>
      <c r="F152" s="288">
        <v>19.394575053844381</v>
      </c>
      <c r="G152" s="288">
        <v>6.6640471794381375E-38</v>
      </c>
      <c r="H152" s="288">
        <v>4971.7486709498789</v>
      </c>
      <c r="I152" s="288">
        <v>6102.9341326325684</v>
      </c>
      <c r="J152" s="288">
        <v>4971.7486709498789</v>
      </c>
      <c r="K152" s="288">
        <v>6102.9341326325684</v>
      </c>
    </row>
    <row r="153" spans="3:11" x14ac:dyDescent="0.2">
      <c r="C153" s="288" t="s">
        <v>2</v>
      </c>
      <c r="D153" s="288">
        <v>31170.223924709429</v>
      </c>
      <c r="E153" s="288">
        <v>2183.2534528568635</v>
      </c>
      <c r="F153" s="288">
        <v>14.276960782506539</v>
      </c>
      <c r="G153" s="288">
        <v>3.8483172352388334E-27</v>
      </c>
      <c r="H153" s="288">
        <v>26845.215650070782</v>
      </c>
      <c r="I153" s="288">
        <v>35495.23219934808</v>
      </c>
      <c r="J153" s="288">
        <v>26845.215650070782</v>
      </c>
      <c r="K153" s="288">
        <v>35495.23219934808</v>
      </c>
    </row>
    <row r="154" spans="3:11" x14ac:dyDescent="0.2">
      <c r="C154" s="288" t="s">
        <v>127</v>
      </c>
      <c r="D154" s="288">
        <v>-721475.51984937012</v>
      </c>
      <c r="E154" s="288">
        <v>116623.8366639092</v>
      </c>
      <c r="F154" s="288">
        <v>-6.1863469809224716</v>
      </c>
      <c r="G154" s="288">
        <v>9.9151531307281672E-9</v>
      </c>
      <c r="H154" s="288">
        <v>-952506.44204096892</v>
      </c>
      <c r="I154" s="288">
        <v>-490444.59765777132</v>
      </c>
      <c r="J154" s="288">
        <v>-952506.44204096892</v>
      </c>
      <c r="K154" s="288">
        <v>-490444.59765777132</v>
      </c>
    </row>
    <row r="155" spans="3:11" ht="13.5" thickBot="1" x14ac:dyDescent="0.25">
      <c r="C155" s="289" t="s">
        <v>614</v>
      </c>
      <c r="D155" s="289">
        <v>232871.62558153359</v>
      </c>
      <c r="E155" s="289">
        <v>79540.87780121743</v>
      </c>
      <c r="F155" s="289">
        <v>2.9276974559359128</v>
      </c>
      <c r="G155" s="289">
        <v>4.1237069688224966E-3</v>
      </c>
      <c r="H155" s="289">
        <v>75301.759283082822</v>
      </c>
      <c r="I155" s="289">
        <v>390441.49187998439</v>
      </c>
      <c r="J155" s="289">
        <v>75301.759283082822</v>
      </c>
      <c r="K155" s="289">
        <v>390441.49187998439</v>
      </c>
    </row>
    <row r="156" spans="3:11" x14ac:dyDescent="0.2">
      <c r="C156"/>
      <c r="D156"/>
      <c r="E156"/>
      <c r="F156"/>
      <c r="G156"/>
      <c r="H156"/>
      <c r="I156"/>
      <c r="J156"/>
      <c r="K156"/>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N53"/>
  <sheetViews>
    <sheetView showGridLines="0" zoomScale="90" zoomScaleNormal="90" workbookViewId="0"/>
  </sheetViews>
  <sheetFormatPr defaultColWidth="11.1640625" defaultRowHeight="12.75" x14ac:dyDescent="0.2"/>
  <cols>
    <col min="1" max="1" width="13.1640625" style="1" customWidth="1"/>
    <col min="2" max="2" width="15" style="51" customWidth="1"/>
    <col min="3" max="3" width="16" style="51" customWidth="1"/>
    <col min="4" max="6" width="15" style="51" customWidth="1"/>
    <col min="7" max="7" width="17.6640625" style="51" bestFit="1" customWidth="1"/>
    <col min="8" max="8" width="15" style="1" customWidth="1"/>
    <col min="9" max="9" width="3.33203125" style="59" customWidth="1"/>
    <col min="10" max="10" width="15" style="1" customWidth="1"/>
    <col min="11" max="11" width="16.6640625" style="1" customWidth="1"/>
    <col min="12" max="12" width="16.33203125" style="1" bestFit="1" customWidth="1"/>
    <col min="13" max="13" width="15.5" style="1" customWidth="1"/>
    <col min="14" max="16" width="15" style="1" customWidth="1"/>
    <col min="17" max="17" width="3.1640625" style="59" customWidth="1"/>
    <col min="18" max="18" width="15" style="1" customWidth="1"/>
    <col min="19" max="19" width="16" style="1" customWidth="1"/>
    <col min="20" max="24" width="15" style="1" customWidth="1"/>
    <col min="25" max="25" width="3" style="1" customWidth="1"/>
    <col min="26" max="32" width="15" style="1" hidden="1" customWidth="1"/>
    <col min="33" max="33" width="2.83203125" style="1" hidden="1" customWidth="1"/>
    <col min="34" max="40" width="15" style="1" hidden="1" customWidth="1"/>
    <col min="41" max="41" width="3.83203125" style="1" customWidth="1"/>
    <col min="42" max="16384" width="11.1640625" style="1"/>
  </cols>
  <sheetData>
    <row r="3" spans="1:40" s="59" customFormat="1" ht="15.75" customHeight="1" thickBot="1" x14ac:dyDescent="0.25">
      <c r="B3" s="127" t="s">
        <v>593</v>
      </c>
      <c r="D3" s="3"/>
      <c r="E3" s="3"/>
      <c r="F3" s="3"/>
      <c r="G3" s="3"/>
      <c r="H3" s="3"/>
      <c r="I3" s="3"/>
    </row>
    <row r="4" spans="1:40" s="59" customFormat="1" ht="15.75" customHeight="1" thickBot="1" x14ac:dyDescent="0.25">
      <c r="B4" s="127"/>
      <c r="D4" s="3"/>
      <c r="E4" s="3"/>
      <c r="F4" s="3"/>
      <c r="G4" s="3"/>
      <c r="H4" s="3"/>
      <c r="I4" s="3"/>
      <c r="N4" s="331"/>
      <c r="O4" s="358" t="s">
        <v>180</v>
      </c>
    </row>
    <row r="5" spans="1:40" s="59" customFormat="1" ht="15.75" customHeight="1" x14ac:dyDescent="0.2">
      <c r="B5" s="127"/>
      <c r="D5" s="3"/>
      <c r="E5" s="3"/>
      <c r="F5" s="3"/>
      <c r="G5" s="3"/>
      <c r="H5" s="3"/>
      <c r="I5" s="3"/>
    </row>
    <row r="6" spans="1:40" s="59" customFormat="1" ht="15.75" customHeight="1" x14ac:dyDescent="0.2">
      <c r="B6" s="127"/>
      <c r="D6" s="3"/>
      <c r="E6" s="3"/>
      <c r="F6" s="3"/>
      <c r="G6" s="3"/>
      <c r="H6" s="3"/>
      <c r="I6" s="3"/>
    </row>
    <row r="7" spans="1:40" s="59" customFormat="1" ht="15.75" customHeight="1" x14ac:dyDescent="0.2">
      <c r="B7" s="127"/>
      <c r="D7" s="3"/>
      <c r="E7" s="3"/>
      <c r="F7" s="3"/>
      <c r="G7" s="3"/>
      <c r="H7" s="3"/>
      <c r="I7" s="3"/>
    </row>
    <row r="8" spans="1:40" ht="12.75" customHeight="1" x14ac:dyDescent="0.2"/>
    <row r="9" spans="1:40" ht="12.75" customHeight="1" x14ac:dyDescent="0.2"/>
    <row r="10" spans="1:40" ht="12.75" customHeight="1" thickBot="1" x14ac:dyDescent="0.25"/>
    <row r="11" spans="1:40" ht="23.25" customHeight="1" thickBot="1" x14ac:dyDescent="0.35">
      <c r="B11" s="357" t="s">
        <v>181</v>
      </c>
      <c r="G11" s="356" t="s">
        <v>179</v>
      </c>
    </row>
    <row r="12" spans="1:40" ht="12.75" customHeight="1" x14ac:dyDescent="0.2">
      <c r="A12" s="292" t="s">
        <v>30</v>
      </c>
    </row>
    <row r="13" spans="1:40" ht="12.75" customHeight="1" thickBot="1" x14ac:dyDescent="0.25">
      <c r="A13" s="292"/>
    </row>
    <row r="14" spans="1:40" ht="14.25" customHeight="1" thickBot="1" x14ac:dyDescent="0.25">
      <c r="B14" s="1358" t="s">
        <v>6</v>
      </c>
      <c r="C14" s="1359"/>
      <c r="D14" s="1359"/>
      <c r="E14" s="1359"/>
      <c r="F14" s="1359"/>
      <c r="G14" s="1359"/>
      <c r="H14" s="1360"/>
      <c r="I14" s="139"/>
      <c r="J14" s="1358" t="s">
        <v>94</v>
      </c>
      <c r="K14" s="1359"/>
      <c r="L14" s="1359"/>
      <c r="M14" s="1359"/>
      <c r="N14" s="1359"/>
      <c r="O14" s="1359"/>
      <c r="P14" s="1360"/>
      <c r="Q14" s="139"/>
      <c r="R14" s="1358" t="s">
        <v>99</v>
      </c>
      <c r="S14" s="1359"/>
      <c r="T14" s="1359"/>
      <c r="U14" s="1359"/>
      <c r="V14" s="1359"/>
      <c r="W14" s="1359"/>
      <c r="X14" s="1360"/>
      <c r="Z14" s="1358" t="s">
        <v>238</v>
      </c>
      <c r="AA14" s="1359"/>
      <c r="AB14" s="1359"/>
      <c r="AC14" s="1359"/>
      <c r="AD14" s="1359"/>
      <c r="AE14" s="1359"/>
      <c r="AF14" s="1360"/>
      <c r="AH14" s="1358" t="s">
        <v>238</v>
      </c>
      <c r="AI14" s="1359"/>
      <c r="AJ14" s="1359"/>
      <c r="AK14" s="1359"/>
      <c r="AL14" s="1359"/>
      <c r="AM14" s="1359"/>
      <c r="AN14" s="1360"/>
    </row>
    <row r="15" spans="1:40" ht="70.5" customHeight="1" thickBot="1" x14ac:dyDescent="0.25">
      <c r="B15" s="60" t="s">
        <v>33</v>
      </c>
      <c r="C15" s="783" t="str">
        <f>CONCATENATE(B14,$B$52)</f>
        <v>Residential Metered kWh</v>
      </c>
      <c r="D15" s="215" t="s">
        <v>146</v>
      </c>
      <c r="E15" s="215" t="s">
        <v>248</v>
      </c>
      <c r="F15" s="62" t="s">
        <v>147</v>
      </c>
      <c r="G15" s="61" t="s">
        <v>249</v>
      </c>
      <c r="H15" s="63" t="s">
        <v>38</v>
      </c>
      <c r="I15" s="140"/>
      <c r="J15" s="60" t="s">
        <v>33</v>
      </c>
      <c r="K15" s="783" t="str">
        <f>CONCATENATE(J14,$B$52)</f>
        <v>General Service &lt; 50 kW Metered kWh</v>
      </c>
      <c r="L15" s="215" t="s">
        <v>146</v>
      </c>
      <c r="M15" s="215" t="s">
        <v>248</v>
      </c>
      <c r="N15" s="62" t="s">
        <v>147</v>
      </c>
      <c r="O15" s="61" t="s">
        <v>249</v>
      </c>
      <c r="P15" s="63" t="s">
        <v>38</v>
      </c>
      <c r="Q15" s="140"/>
      <c r="R15" s="60" t="s">
        <v>33</v>
      </c>
      <c r="S15" s="783" t="str">
        <f>CONCATENATE(R14,$B$52)</f>
        <v>Unmetered Scattered Load Metered kWh</v>
      </c>
      <c r="T15" s="215" t="s">
        <v>146</v>
      </c>
      <c r="U15" s="215" t="s">
        <v>143</v>
      </c>
      <c r="V15" s="62" t="s">
        <v>147</v>
      </c>
      <c r="W15" s="61" t="s">
        <v>34</v>
      </c>
      <c r="X15" s="63" t="s">
        <v>38</v>
      </c>
      <c r="Z15" s="60" t="s">
        <v>33</v>
      </c>
      <c r="AA15" s="783" t="str">
        <f>CONCATENATE(Z14,$B$52)</f>
        <v>N/A Metered kWh</v>
      </c>
      <c r="AB15" s="215" t="s">
        <v>146</v>
      </c>
      <c r="AC15" s="215" t="s">
        <v>248</v>
      </c>
      <c r="AD15" s="62" t="s">
        <v>147</v>
      </c>
      <c r="AE15" s="61" t="s">
        <v>249</v>
      </c>
      <c r="AF15" s="63" t="s">
        <v>38</v>
      </c>
      <c r="AH15" s="60" t="s">
        <v>33</v>
      </c>
      <c r="AI15" s="783" t="str">
        <f>CONCATENATE(AH14,$B$52)</f>
        <v>N/A Metered kWh</v>
      </c>
      <c r="AJ15" s="215" t="s">
        <v>146</v>
      </c>
      <c r="AK15" s="215" t="s">
        <v>248</v>
      </c>
      <c r="AL15" s="62" t="s">
        <v>147</v>
      </c>
      <c r="AM15" s="61" t="s">
        <v>249</v>
      </c>
      <c r="AN15" s="63" t="s">
        <v>38</v>
      </c>
    </row>
    <row r="16" spans="1:40" x14ac:dyDescent="0.2">
      <c r="B16" s="173">
        <f>'4. Customer Growth'!B9</f>
        <v>2005</v>
      </c>
      <c r="C16" s="65">
        <f>IF($B$14='2. Customer Classes'!$B$5,+SUM('3. Consumption by Rate Class'!$D$16:$D$27),+IF($B$14='2. Customer Classes'!$B$6,+SUM('3. Consumption by Rate Class'!$F$16:$F$27),+IF($B$14='2. Customer Classes'!$B$7,+SUM('3. Consumption by Rate Class'!$H$16:$H$27),+IF($B$14='2. Customer Classes'!$B$8,+SUM('3. Consumption by Rate Class'!$J$16:$J$27),+IF($B$14='2. Customer Classes'!$B$9,+SUM('3. Consumption by Rate Class'!$L$16:$L$27),+IF($B$14='2. Customer Classes'!$B$10,+SUM('3. Consumption by Rate Class'!$O$16:$O$27),IF($B$14='2. Customer Classes'!$B$11,+SUM('3. Consumption by Rate Class'!$R$16:$R$27),0)))))))</f>
        <v>74670218.300000012</v>
      </c>
      <c r="D16" s="65">
        <f>SUM('6. WS Regression Analysis'!J10:J21)</f>
        <v>116383501</v>
      </c>
      <c r="E16" s="65">
        <f>SUM('6. WS Regression Analysis'!R10:R21)</f>
        <v>115988429.89198539</v>
      </c>
      <c r="F16" s="66">
        <f t="shared" ref="F16:F24" si="0">C16/D16</f>
        <v>0.64158766198311912</v>
      </c>
      <c r="G16" s="65">
        <f t="shared" ref="G16:G24" si="1">E16*F16</f>
        <v>74416745.551491827</v>
      </c>
      <c r="H16" s="986">
        <f>IF($B$14='2. Customer Classes'!$B$5,+G16/'4. Customer Growth'!$C9,+IF($B$14='2. Customer Classes'!$B$6,+G16/'4. Customer Growth'!$E9,+IF($B$14='2. Customer Classes'!$B$7,+G16/'4. Customer Growth'!$G9,+IF($B$14='2. Customer Classes'!$B$8,+G16/'4. Customer Growth'!$I9,+IF($B$14='2. Customer Classes'!$B$9,+G16/'4. Customer Growth'!$K9,+IF($B$14='2. Customer Classes'!$B$10,+G16/'4. Customer Growth'!$M9,IF($B$14='2. Customer Classes'!$B$11,+G16/'4. Customer Growth'!$O9)))))))</f>
        <v>7883.1298253698969</v>
      </c>
      <c r="I16" s="77"/>
      <c r="J16" s="173">
        <f t="shared" ref="J16:J27" si="2">B16</f>
        <v>2005</v>
      </c>
      <c r="K16" s="65">
        <f>IF($J$14='2. Customer Classes'!$B$5,+SUM('3. Consumption by Rate Class'!$D$16:$D$27),+IF($J$14='2. Customer Classes'!$B$6,+SUM('3. Consumption by Rate Class'!$F$16:$F$27),+IF($J$14='2. Customer Classes'!$B$7,+SUM('3. Consumption by Rate Class'!$H$16:$H$27),+IF($J$14='2. Customer Classes'!$B$8,+SUM('3. Consumption by Rate Class'!$J$16:$J$27),+IF($J$14='2. Customer Classes'!$B$9,+SUM('3. Consumption by Rate Class'!$L$16:$L$27),+IF($J$14='2. Customer Classes'!$B$10,+SUM('3. Consumption by Rate Class'!$O$16:$O$27),IF($J$14='2. Customer Classes'!$B$11,+SUM('3. Consumption by Rate Class'!$R$16:$R$27),0)))))))</f>
        <v>14537477.4</v>
      </c>
      <c r="L16" s="65">
        <f t="shared" ref="L16:L25" si="3">D16</f>
        <v>116383501</v>
      </c>
      <c r="M16" s="65">
        <f t="shared" ref="M16:M25" si="4">E16</f>
        <v>115988429.89198539</v>
      </c>
      <c r="N16" s="66">
        <f t="shared" ref="N16:N24" si="5">K16/L16</f>
        <v>0.12491012278450019</v>
      </c>
      <c r="O16" s="65">
        <f t="shared" ref="O16:O25" si="6">M16*N16</f>
        <v>14488129.019389287</v>
      </c>
      <c r="P16" s="65">
        <f>IF($J$14='2. Customer Classes'!$B$5,+O16/'4. Customer Growth'!$C9,+IF($J$14='2. Customer Classes'!$B$6,+O16/'4. Customer Growth'!$E9,+IF($J$14='2. Customer Classes'!$B$7,+O16/'4. Customer Growth'!$G9,+IF($J$14='2. Customer Classes'!$B$8,+O16/'4. Customer Growth'!$I9,+IF($J$14='2. Customer Classes'!$B$9,+O16/'4. Customer Growth'!$K9,+IF($J$14='2. Customer Classes'!$B$10,+O16/'4. Customer Growth'!$M9,IF($J$14='2. Customer Classes'!$B$11,+O16/'4. Customer Growth'!$O9)))))))</f>
        <v>19499.500699043456</v>
      </c>
      <c r="Q16" s="77"/>
      <c r="R16" s="173">
        <f t="shared" ref="R16:R27" si="7">B16</f>
        <v>2005</v>
      </c>
      <c r="S16" s="65">
        <f>IF($R$14='2. Customer Classes'!$B$5,+SUM('3. Consumption by Rate Class'!$D$16:$D$27),+IF($R$14='2. Customer Classes'!$B$6,+SUM('3. Consumption by Rate Class'!$F$16:$F$27),+IF($R$14='2. Customer Classes'!$B$7,+SUM('3. Consumption by Rate Class'!$H$16:$H$27),+IF($R$14='2. Customer Classes'!$B$8,+SUM('3. Consumption by Rate Class'!$J$16:$J$27),+IF($R$14='2. Customer Classes'!$B$9,+SUM('3. Consumption by Rate Class'!$L$16:$L$27),+IF($R$14='2. Customer Classes'!$B$10,+SUM('3. Consumption by Rate Class'!$O$16:$O$27),IF($R$14='2. Customer Classes'!$B$11,+SUM('3. Consumption by Rate Class'!$R$16:$R$27),0)))))))</f>
        <v>264617</v>
      </c>
      <c r="T16" s="65">
        <f t="shared" ref="T16:T25" si="8">L16</f>
        <v>116383501</v>
      </c>
      <c r="U16" s="65">
        <f t="shared" ref="U16:U25" si="9">M16</f>
        <v>115988429.89198539</v>
      </c>
      <c r="V16" s="66">
        <f>S16/T16</f>
        <v>2.2736642026261094E-3</v>
      </c>
      <c r="W16" s="65">
        <f>U16*V16</f>
        <v>263718.74096421537</v>
      </c>
      <c r="X16" s="986">
        <f>IF($R$14='2. Customer Classes'!$B$5,+W16/'4. Customer Growth'!$C9,+IF($R$14='2. Customer Classes'!$B$6,+W16/'4. Customer Growth'!$E9,+IF($R$14='2. Customer Classes'!$B$7,+W16/'4. Customer Growth'!$G9,+IF($R$14='2. Customer Classes'!$B$8,+W16/'4. Customer Growth'!$I9,+IF($R$14='2. Customer Classes'!$B$9,+W16/'4. Customer Growth'!$K9,+IF($R$14='2. Customer Classes'!$B$10,+W16/'4. Customer Growth'!$M9,IF($R$14='2. Customer Classes'!$B$11,+W16/'4. Customer Growth'!$O9)))))))</f>
        <v>5023.2141136041018</v>
      </c>
      <c r="Z16" s="173">
        <f t="shared" ref="Z16:Z27" si="10">J16</f>
        <v>2005</v>
      </c>
      <c r="AA16" s="65">
        <f>IF($Z$14='2. Customer Classes'!$B$5,+SUM('3. Consumption by Rate Class'!$D$16:$D$27),+IF($Z$14='2. Customer Classes'!$B$6,+SUM('3. Consumption by Rate Class'!$F$16:$F$27),+IF($Z$14='2. Customer Classes'!$B$7,+SUM('3. Consumption by Rate Class'!$H$16:$H$27),+IF($Z$14='2. Customer Classes'!$B$8,+SUM('3. Consumption by Rate Class'!$J$16:$J$27),+IF($Z$14='2. Customer Classes'!$B$9,+SUM('3. Consumption by Rate Class'!$L$16:$L$27),+IF($Z$14='2. Customer Classes'!$B$10,+SUM('3. Consumption by Rate Class'!$O$16:$O$27),IF($Z$14='2. Customer Classes'!$B$11,+SUM('3. Consumption by Rate Class'!$R$16:$R$27),0)))))))</f>
        <v>0</v>
      </c>
      <c r="AB16" s="65">
        <f t="shared" ref="AB16:AB25" si="11">T16</f>
        <v>116383501</v>
      </c>
      <c r="AC16" s="65">
        <f t="shared" ref="AC16:AC25" si="12">U16</f>
        <v>115988429.89198539</v>
      </c>
      <c r="AD16" s="66">
        <f t="shared" ref="AD16:AD25" si="13">AA16/AB16</f>
        <v>0</v>
      </c>
      <c r="AE16" s="65">
        <f>AC16*AD16</f>
        <v>0</v>
      </c>
      <c r="AF16" s="65" t="b">
        <f>IF($Z$14='2. Customer Classes'!$B$5,+AE16/'4. Customer Growth'!$C9,+IF($Z$14='2. Customer Classes'!$B$6,+AE16/'4. Customer Growth'!$E9,+IF($Z$14='2. Customer Classes'!$B$7,+AE16/'4. Customer Growth'!$G9,+IF($Z$14='2. Customer Classes'!$B$8,+AE16/'4. Customer Growth'!$I9,+IF($Z$14='2. Customer Classes'!$B$9,+AE16/'4. Customer Growth'!$K9,+IF($Z$14='2. Customer Classes'!$B$10,+AE16/'4. Customer Growth'!$M9,IF($Z$14='2. Customer Classes'!$B$11,+AE16/'4. Customer Growth'!$O9)))))))</f>
        <v>0</v>
      </c>
      <c r="AH16" s="173">
        <f>R16</f>
        <v>2005</v>
      </c>
      <c r="AI16" s="65">
        <f>IF($AH$14='2. Customer Classes'!$B$5,+SUM('3. Consumption by Rate Class'!$D$16:$D$27),+IF($AH$14='2. Customer Classes'!$B$6,+SUM('3. Consumption by Rate Class'!$F$16:$F$27),+IF($AH$14='2. Customer Classes'!$B$7,+SUM('3. Consumption by Rate Class'!$H$16:$H$27),+IF($AH$14='2. Customer Classes'!$B$8,+SUM('3. Consumption by Rate Class'!$J$16:$J$27),+IF($AH$14='2. Customer Classes'!$B$9,+SUM('3. Consumption by Rate Class'!$L$16:$L$27),+IF($AH$14='2. Customer Classes'!$B$10,+SUM('3. Consumption by Rate Class'!$O$16:$O$27),IF($AH$14='2. Customer Classes'!$B$11,+SUM('3. Consumption by Rate Class'!$R$16:$R$27),0)))))))</f>
        <v>0</v>
      </c>
      <c r="AJ16" s="65">
        <f t="shared" ref="AJ16:AJ25" si="14">AB16</f>
        <v>116383501</v>
      </c>
      <c r="AK16" s="65">
        <f t="shared" ref="AK16:AK25" si="15">AC16</f>
        <v>115988429.89198539</v>
      </c>
      <c r="AL16" s="66">
        <f t="shared" ref="AL16:AL25" si="16">AI16/AJ16</f>
        <v>0</v>
      </c>
      <c r="AM16" s="65">
        <f>AK16*AL16</f>
        <v>0</v>
      </c>
      <c r="AN16" s="65" t="b">
        <f>IF($AH$14='2. Customer Classes'!$B$5,+AM16/'4. Customer Growth'!$C9,+IF($AH$14='2. Customer Classes'!$B$6,+AM16/'4. Customer Growth'!$E9,+IF($AH$14='2. Customer Classes'!$B$7,+AM16/'4. Customer Growth'!$G9,+IF($AH$14='2. Customer Classes'!$B$8,+AM16/'4. Customer Growth'!$I9,+IF($AH$14='2. Customer Classes'!$B$9,+AM16/'4. Customer Growth'!$K9,+IF($AH$14='2. Customer Classes'!$B$10,+AM16/'4. Customer Growth'!$M9,IF($AH$14='2. Customer Classes'!$B$11,+AM16/'4. Customer Growth'!$O9)))))))</f>
        <v>0</v>
      </c>
    </row>
    <row r="17" spans="2:40" x14ac:dyDescent="0.2">
      <c r="B17" s="173">
        <f>'4. Customer Growth'!B10</f>
        <v>2006</v>
      </c>
      <c r="C17" s="65">
        <f>IF($B$14='2. Customer Classes'!$B$5,+SUM('3. Consumption by Rate Class'!$D$28:$D$39),+IF($B$14='2. Customer Classes'!$B$6,+SUM('3. Consumption by Rate Class'!$F$28:$F$39),+IF($B$14='2. Customer Classes'!$B$7,+SUM('3. Consumption by Rate Class'!$H$28:$H$39),+IF($B$14='2. Customer Classes'!$B$8,+SUM('3. Consumption by Rate Class'!$J$28:$J$39),+IF($B$14='2. Customer Classes'!$B$9,+SUM('3. Consumption by Rate Class'!$L$28:$L$39),+IF($B$14='2. Customer Classes'!$B$10,+SUM('3. Consumption by Rate Class'!$O$28:$O$39),IF($B$14='2. Customer Classes'!$B$11,+SUM('3. Consumption by Rate Class'!$R$28:$R$39),0)))))))</f>
        <v>73494501.180000007</v>
      </c>
      <c r="D17" s="220">
        <f>SUM('6. WS Regression Analysis'!J22:J33)</f>
        <v>115191936.86133909</v>
      </c>
      <c r="E17" s="220">
        <f>SUM('6. WS Regression Analysis'!R22:R33)</f>
        <v>116344153.64245866</v>
      </c>
      <c r="F17" s="68">
        <f>C17/D17</f>
        <v>0.63801775699342678</v>
      </c>
      <c r="G17" s="220">
        <f t="shared" si="1"/>
        <v>74229635.946260095</v>
      </c>
      <c r="H17" s="986">
        <f>IF($B$14='2. Customer Classes'!$B$5,+G17/'4. Customer Growth'!$C10,+IF($B$14='2. Customer Classes'!$B$6,+G17/'4. Customer Growth'!$E10,+IF($B$14='2. Customer Classes'!$B$7,+G17/'4. Customer Growth'!$G10,+IF($B$14='2. Customer Classes'!$B$8,+G17/'4. Customer Growth'!$I10,+IF($B$14='2. Customer Classes'!$B$9,+G17/'4. Customer Growth'!$K10,+IF($B$14='2. Customer Classes'!$B$10,+G17/'4. Customer Growth'!$M10,IF($B$14='2. Customer Classes'!$B$11,+G17/'4. Customer Growth'!$O10)))))))</f>
        <v>7530.2699412893835</v>
      </c>
      <c r="I17" s="77"/>
      <c r="J17" s="173">
        <f t="shared" si="2"/>
        <v>2006</v>
      </c>
      <c r="K17" s="65">
        <f>IF($J$14='2. Customer Classes'!$B$5,+SUM('3. Consumption by Rate Class'!$D$28:$D$39),+IF($J$14='2. Customer Classes'!$B$6,+SUM('3. Consumption by Rate Class'!$F$28:$F$39),+IF($J$14='2. Customer Classes'!$B$7,+SUM('3. Consumption by Rate Class'!$H$28:$H$39),+IF($J$14='2. Customer Classes'!$B$8,+SUM('3. Consumption by Rate Class'!$J$28:$J$39),+IF($J$14='2. Customer Classes'!$B$9,+SUM('3. Consumption by Rate Class'!$L$28:$L$39),+IF($J$14='2. Customer Classes'!$B$10,+SUM('3. Consumption by Rate Class'!$O$28:$O$39),IF($J$14='2. Customer Classes'!$B$11,+SUM('3. Consumption by Rate Class'!$R$28:$R$39),0)))))))</f>
        <v>14223773.710000001</v>
      </c>
      <c r="L17" s="67">
        <f t="shared" si="3"/>
        <v>115191936.86133909</v>
      </c>
      <c r="M17" s="67">
        <f t="shared" si="4"/>
        <v>116344153.64245866</v>
      </c>
      <c r="N17" s="68">
        <f t="shared" si="5"/>
        <v>0.12347890049910089</v>
      </c>
      <c r="O17" s="67">
        <f t="shared" si="6"/>
        <v>14366048.171269258</v>
      </c>
      <c r="P17" s="65">
        <f>IF($J$14='2. Customer Classes'!$B$5,+O17/'4. Customer Growth'!$C10,+IF($J$14='2. Customer Classes'!$B$6,+O17/'4. Customer Growth'!$E10,+IF($J$14='2. Customer Classes'!$B$7,+O17/'4. Customer Growth'!$G10,+IF($J$14='2. Customer Classes'!$B$8,+O17/'4. Customer Growth'!$I10,+IF($J$14='2. Customer Classes'!$B$9,+O17/'4. Customer Growth'!$K10,+IF($J$14='2. Customer Classes'!$B$10,+O17/'4. Customer Growth'!$M10,IF($J$14='2. Customer Classes'!$B$11,+O17/'4. Customer Growth'!$O10)))))))</f>
        <v>19231.657525126182</v>
      </c>
      <c r="Q17" s="77"/>
      <c r="R17" s="173">
        <f t="shared" si="7"/>
        <v>2006</v>
      </c>
      <c r="S17" s="65">
        <f>IF($R$14='2. Customer Classes'!$B$5,+SUM('3. Consumption by Rate Class'!$D$28:$D$39),+IF($R$14='2. Customer Classes'!$B$6,+SUM('3. Consumption by Rate Class'!$F$28:$F$39),+IF($R$14='2. Customer Classes'!$B$7,+SUM('3. Consumption by Rate Class'!$H$28:$H$39),+IF($R$14='2. Customer Classes'!$B$8,+SUM('3. Consumption by Rate Class'!$J$28:$J$39),+IF($R$14='2. Customer Classes'!$B$9,+SUM('3. Consumption by Rate Class'!$L$28:$L$39),+IF($R$14='2. Customer Classes'!$B$10,+SUM('3. Consumption by Rate Class'!$O$28:$O$39),IF($R$14='2. Customer Classes'!$B$11,+SUM('3. Consumption by Rate Class'!$R$28:$R$39),0)))))))</f>
        <v>255784</v>
      </c>
      <c r="T17" s="220">
        <f t="shared" si="8"/>
        <v>115191936.86133909</v>
      </c>
      <c r="U17" s="220">
        <f t="shared" si="9"/>
        <v>116344153.64245866</v>
      </c>
      <c r="V17" s="68">
        <f t="shared" ref="V17:V24" si="17">S17/T17</f>
        <v>2.2205026408045983E-3</v>
      </c>
      <c r="W17" s="220">
        <f t="shared" ref="W17:W25" si="18">U17*V17</f>
        <v>258342.50040525538</v>
      </c>
      <c r="X17" s="986">
        <f>IF($R$14='2. Customer Classes'!$B$5,+W17/'4. Customer Growth'!$C10,+IF($R$14='2. Customer Classes'!$B$6,+W17/'4. Customer Growth'!$E10,+IF($R$14='2. Customer Classes'!$B$7,+W17/'4. Customer Growth'!$G10,+IF($R$14='2. Customer Classes'!$B$8,+W17/'4. Customer Growth'!$I10,+IF($R$14='2. Customer Classes'!$B$9,+W17/'4. Customer Growth'!$K10,+IF($R$14='2. Customer Classes'!$B$10,+W17/'4. Customer Growth'!$M10,IF($R$14='2. Customer Classes'!$B$11,+W17/'4. Customer Growth'!$O10)))))))</f>
        <v>5555.7526968872126</v>
      </c>
      <c r="Z17" s="173">
        <f t="shared" si="10"/>
        <v>2006</v>
      </c>
      <c r="AA17" s="65">
        <f>IF($Z$14='2. Customer Classes'!$B$5,+SUM('3. Consumption by Rate Class'!$D$28:$D$39),+IF($Z$14='2. Customer Classes'!$B$6,+SUM('3. Consumption by Rate Class'!$F$28:$F$39),+IF($Z$14='2. Customer Classes'!$B$7,+SUM('3. Consumption by Rate Class'!$H$28:$H$39),+IF($Z$14='2. Customer Classes'!$B$8,+SUM('3. Consumption by Rate Class'!$J$28:$J$39),+IF($Z$14='2. Customer Classes'!$B$9,+SUM('3. Consumption by Rate Class'!$L$28:$L$39),+IF($Z$14='2. Customer Classes'!$B$10,+SUM('3. Consumption by Rate Class'!$O$28:$O$39),IF($Z$14='2. Customer Classes'!$B$11,+SUM('3. Consumption by Rate Class'!$R$28:$R$39),0)))))))</f>
        <v>0</v>
      </c>
      <c r="AB17" s="220">
        <f t="shared" si="11"/>
        <v>115191936.86133909</v>
      </c>
      <c r="AC17" s="220">
        <f t="shared" si="12"/>
        <v>116344153.64245866</v>
      </c>
      <c r="AD17" s="68">
        <f t="shared" si="13"/>
        <v>0</v>
      </c>
      <c r="AE17" s="220">
        <f t="shared" ref="AE17:AE25" si="19">AC17*AD17</f>
        <v>0</v>
      </c>
      <c r="AF17" s="65" t="b">
        <f>IF($Z$14='2. Customer Classes'!$B$5,+AE17/'4. Customer Growth'!$C10,+IF($Z$14='2. Customer Classes'!$B$6,+AE17/'4. Customer Growth'!$E10,+IF($Z$14='2. Customer Classes'!$B$7,+AE17/'4. Customer Growth'!$G10,+IF($Z$14='2. Customer Classes'!$B$8,+AE17/'4. Customer Growth'!$I10,+IF($Z$14='2. Customer Classes'!$B$9,+AE17/'4. Customer Growth'!$K10,+IF($Z$14='2. Customer Classes'!$B$10,+AE17/'4. Customer Growth'!$M10,IF($Z$14='2. Customer Classes'!$B$11,+AE17/'4. Customer Growth'!$O10)))))))</f>
        <v>0</v>
      </c>
      <c r="AH17" s="173">
        <f t="shared" ref="AH17:AH27" si="20">R17</f>
        <v>2006</v>
      </c>
      <c r="AI17" s="65">
        <f>IF($AH$14='2. Customer Classes'!$B$5,+SUM('3. Consumption by Rate Class'!$D$28:$D$39),+IF($AH$14='2. Customer Classes'!$B$6,+SUM('3. Consumption by Rate Class'!$F$28:$F$39),+IF($AH$14='2. Customer Classes'!$B$7,+SUM('3. Consumption by Rate Class'!$H$28:$H$39),+IF($AH$14='2. Customer Classes'!$B$8,+SUM('3. Consumption by Rate Class'!$J$28:$J$39),+IF($AH$14='2. Customer Classes'!$B$9,+SUM('3. Consumption by Rate Class'!$L$28:$L$39),+IF($AH$14='2. Customer Classes'!$B$10,+SUM('3. Consumption by Rate Class'!$O$28:$O$39),IF($AH$14='2. Customer Classes'!$B$11,+SUM('3. Consumption by Rate Class'!$R$28:$R$39),0)))))))</f>
        <v>0</v>
      </c>
      <c r="AJ17" s="220">
        <f t="shared" si="14"/>
        <v>115191936.86133909</v>
      </c>
      <c r="AK17" s="220">
        <f t="shared" si="15"/>
        <v>116344153.64245866</v>
      </c>
      <c r="AL17" s="68">
        <f t="shared" si="16"/>
        <v>0</v>
      </c>
      <c r="AM17" s="220">
        <f t="shared" ref="AM17:AM25" si="21">AK17*AL17</f>
        <v>0</v>
      </c>
      <c r="AN17" s="65" t="b">
        <f>IF($AH$14='2. Customer Classes'!$B$5,+AM17/'4. Customer Growth'!$C10,+IF($AH$14='2. Customer Classes'!$B$6,+AM17/'4. Customer Growth'!$E10,+IF($AH$14='2. Customer Classes'!$B$7,+AM17/'4. Customer Growth'!$G10,+IF($AH$14='2. Customer Classes'!$B$8,+AM17/'4. Customer Growth'!$I10,+IF($AH$14='2. Customer Classes'!$B$9,+AM17/'4. Customer Growth'!$K10,+IF($AH$14='2. Customer Classes'!$B$10,+AM17/'4. Customer Growth'!$M10,IF($AH$14='2. Customer Classes'!$B$11,+AM17/'4. Customer Growth'!$O10)))))))</f>
        <v>0</v>
      </c>
    </row>
    <row r="18" spans="2:40" x14ac:dyDescent="0.2">
      <c r="B18" s="173">
        <f>'4. Customer Growth'!B11</f>
        <v>2007</v>
      </c>
      <c r="C18" s="65">
        <f>IF($B$14='2. Customer Classes'!$B$5,+SUM('3. Consumption by Rate Class'!$D$40:$D$51),+IF($B$14='2. Customer Classes'!$B$6,+SUM('3. Consumption by Rate Class'!$F$40:$F$51),+IF($B$14='2. Customer Classes'!$B$7,+SUM('3. Consumption by Rate Class'!$H$40:$H$51),+IF($B$14='2. Customer Classes'!$B$8,+SUM('3. Consumption by Rate Class'!$J$40:$J$51),+IF($B$14='2. Customer Classes'!$B$9,+SUM('3. Consumption by Rate Class'!$L$40:$L$51),+IF($B$14='2. Customer Classes'!$B$10,+SUM('3. Consumption by Rate Class'!$O$40:$O$51),IF($B$14='2. Customer Classes'!$B$11,+SUM('3. Consumption by Rate Class'!$R$40:$R$51),0)))))))</f>
        <v>74223886.610000014</v>
      </c>
      <c r="D18" s="220">
        <f>SUM('6. WS Regression Analysis'!J34:J45)</f>
        <v>125264170.3394495</v>
      </c>
      <c r="E18" s="220">
        <f>SUM('6. WS Regression Analysis'!R34:R45)</f>
        <v>125038875.58014549</v>
      </c>
      <c r="F18" s="68">
        <f t="shared" si="0"/>
        <v>0.59253884338085661</v>
      </c>
      <c r="G18" s="220">
        <f t="shared" si="1"/>
        <v>74090390.71390225</v>
      </c>
      <c r="H18" s="986">
        <f>IF($B$14='2. Customer Classes'!$B$5,+G18/'4. Customer Growth'!$C11,+IF($B$14='2. Customer Classes'!$B$6,+G18/'4. Customer Growth'!$E11,+IF($B$14='2. Customer Classes'!$B$7,+G18/'4. Customer Growth'!$G11,+IF($B$14='2. Customer Classes'!$B$8,+G18/'4. Customer Growth'!$I11,+IF($B$14='2. Customer Classes'!$B$9,+G18/'4. Customer Growth'!$K11,+IF($B$14='2. Customer Classes'!$B$10,+G18/'4. Customer Growth'!$M11,IF($B$14='2. Customer Classes'!$B$11,+G18/'4. Customer Growth'!$O11)))))))</f>
        <v>7211.7964387893362</v>
      </c>
      <c r="I18" s="77"/>
      <c r="J18" s="173">
        <f t="shared" si="2"/>
        <v>2007</v>
      </c>
      <c r="K18" s="65">
        <f>IF($J$14='2. Customer Classes'!$B$5,+SUM('3. Consumption by Rate Class'!$D$40:$D$51),+IF($J$14='2. Customer Classes'!$B$6,+SUM('3. Consumption by Rate Class'!$F$40:$F$51),+IF($J$14='2. Customer Classes'!$B$7,+SUM('3. Consumption by Rate Class'!$H$40:$H$51),+IF($J$14='2. Customer Classes'!$B$8,+SUM('3. Consumption by Rate Class'!$J$40:$J$51),+IF($J$14='2. Customer Classes'!$B$9,+SUM('3. Consumption by Rate Class'!$L$40:$L$51),+IF($J$14='2. Customer Classes'!$B$10,+SUM('3. Consumption by Rate Class'!$O$40:$O$51),IF($J$14='2. Customer Classes'!$B$11,+SUM('3. Consumption by Rate Class'!$R$40:$R$51),0)))))))</f>
        <v>14339658.07</v>
      </c>
      <c r="L18" s="67">
        <f t="shared" si="3"/>
        <v>125264170.3394495</v>
      </c>
      <c r="M18" s="67">
        <f t="shared" si="4"/>
        <v>125038875.58014549</v>
      </c>
      <c r="N18" s="68">
        <f t="shared" si="5"/>
        <v>0.11447533665166508</v>
      </c>
      <c r="O18" s="67">
        <f t="shared" si="6"/>
        <v>14313867.37658282</v>
      </c>
      <c r="P18" s="65">
        <f>IF($J$14='2. Customer Classes'!$B$5,+O18/'4. Customer Growth'!$C11,+IF($J$14='2. Customer Classes'!$B$6,+O18/'4. Customer Growth'!$E11,+IF($J$14='2. Customer Classes'!$B$7,+O18/'4. Customer Growth'!$G11,+IF($J$14='2. Customer Classes'!$B$8,+O18/'4. Customer Growth'!$I11,+IF($J$14='2. Customer Classes'!$B$9,+O18/'4. Customer Growth'!$K11,+IF($J$14='2. Customer Classes'!$B$10,+O18/'4. Customer Growth'!$M11,IF($J$14='2. Customer Classes'!$B$11,+O18/'4. Customer Growth'!$O11)))))))</f>
        <v>18983.908987510371</v>
      </c>
      <c r="Q18" s="77"/>
      <c r="R18" s="173">
        <f t="shared" si="7"/>
        <v>2007</v>
      </c>
      <c r="S18" s="65">
        <f>IF($R$14='2. Customer Classes'!$B$5,+SUM('3. Consumption by Rate Class'!$D$40:$D$51),+IF($R$14='2. Customer Classes'!$B$6,+SUM('3. Consumption by Rate Class'!$F$40:$F$51),+IF($R$14='2. Customer Classes'!$B$7,+SUM('3. Consumption by Rate Class'!$H$40:$H$51),+IF($R$14='2. Customer Classes'!$B$8,+SUM('3. Consumption by Rate Class'!$J$40:$J$51),+IF($R$14='2. Customer Classes'!$B$9,+SUM('3. Consumption by Rate Class'!$L$40:$L$51),+IF($R$14='2. Customer Classes'!$B$10,+SUM('3. Consumption by Rate Class'!$O$40:$O$51),IF($R$14='2. Customer Classes'!$B$11,+SUM('3. Consumption by Rate Class'!$R$40:$R$51),0)))))))</f>
        <v>220922</v>
      </c>
      <c r="T18" s="220">
        <f t="shared" si="8"/>
        <v>125264170.3394495</v>
      </c>
      <c r="U18" s="220">
        <f t="shared" si="9"/>
        <v>125038875.58014549</v>
      </c>
      <c r="V18" s="68">
        <f t="shared" si="17"/>
        <v>1.7636487704451346E-3</v>
      </c>
      <c r="W18" s="220">
        <f t="shared" si="18"/>
        <v>220524.65917476575</v>
      </c>
      <c r="X18" s="986">
        <f>IF($R$14='2. Customer Classes'!$B$5,+W18/'4. Customer Growth'!$C11,+IF($R$14='2. Customer Classes'!$B$6,+W18/'4. Customer Growth'!$E11,+IF($R$14='2. Customer Classes'!$B$7,+W18/'4. Customer Growth'!$G11,+IF($R$14='2. Customer Classes'!$B$8,+W18/'4. Customer Growth'!$I11,+IF($R$14='2. Customer Classes'!$B$9,+W18/'4. Customer Growth'!$K11,+IF($R$14='2. Customer Classes'!$B$10,+W18/'4. Customer Growth'!$M11,IF($R$14='2. Customer Classes'!$B$11,+W18/'4. Customer Growth'!$O11)))))))</f>
        <v>5313.8472090305004</v>
      </c>
      <c r="Z18" s="173">
        <f t="shared" si="10"/>
        <v>2007</v>
      </c>
      <c r="AA18" s="65">
        <f>IF($Z$14='2. Customer Classes'!$B$5,+SUM('3. Consumption by Rate Class'!$D$40:$D$51),+IF($Z$14='2. Customer Classes'!$B$6,+SUM('3. Consumption by Rate Class'!$F$40:$F$51),+IF($Z$14='2. Customer Classes'!$B$7,+SUM('3. Consumption by Rate Class'!$H$40:$H$51),+IF($Z$14='2. Customer Classes'!$B$8,+SUM('3. Consumption by Rate Class'!$J$40:$J$51),+IF($Z$14='2. Customer Classes'!$B$9,+SUM('3. Consumption by Rate Class'!$L$40:$L$51),+IF($Z$14='2. Customer Classes'!$B$10,+SUM('3. Consumption by Rate Class'!$O$40:$O$51),IF($Z$14='2. Customer Classes'!$B$11,+SUM('3. Consumption by Rate Class'!$R$40:$R$51),0)))))))</f>
        <v>0</v>
      </c>
      <c r="AB18" s="220">
        <f t="shared" si="11"/>
        <v>125264170.3394495</v>
      </c>
      <c r="AC18" s="220">
        <f t="shared" si="12"/>
        <v>125038875.58014549</v>
      </c>
      <c r="AD18" s="68">
        <f t="shared" si="13"/>
        <v>0</v>
      </c>
      <c r="AE18" s="220">
        <f t="shared" si="19"/>
        <v>0</v>
      </c>
      <c r="AF18" s="65" t="b">
        <f>IF($Z$14='2. Customer Classes'!$B$5,+AE18/'4. Customer Growth'!$C11,+IF($Z$14='2. Customer Classes'!$B$6,+AE18/'4. Customer Growth'!$E11,+IF($Z$14='2. Customer Classes'!$B$7,+AE18/'4. Customer Growth'!$G11,+IF($Z$14='2. Customer Classes'!$B$8,+AE18/'4. Customer Growth'!$I11,+IF($Z$14='2. Customer Classes'!$B$9,+AE18/'4. Customer Growth'!$K11,+IF($Z$14='2. Customer Classes'!$B$10,+AE18/'4. Customer Growth'!$M11,IF($Z$14='2. Customer Classes'!$B$11,+AE18/'4. Customer Growth'!$O11)))))))</f>
        <v>0</v>
      </c>
      <c r="AH18" s="173">
        <f t="shared" si="20"/>
        <v>2007</v>
      </c>
      <c r="AI18" s="65">
        <f>IF($AH$14='2. Customer Classes'!$B$5,+SUM('3. Consumption by Rate Class'!$D$40:$D$51),+IF($AH$14='2. Customer Classes'!$B$6,+SUM('3. Consumption by Rate Class'!$F$40:$F$51),+IF($AH$14='2. Customer Classes'!$B$7,+SUM('3. Consumption by Rate Class'!$H$40:$H$51),+IF($AH$14='2. Customer Classes'!$B$8,+SUM('3. Consumption by Rate Class'!$J$40:$J$51),+IF($AH$14='2. Customer Classes'!$B$9,+SUM('3. Consumption by Rate Class'!$L$40:$L$51),+IF($AH$14='2. Customer Classes'!$B$10,+SUM('3. Consumption by Rate Class'!$O$40:$O$51),IF($AH$14='2. Customer Classes'!$B$11,+SUM('3. Consumption by Rate Class'!$R$40:$R$51),0)))))))</f>
        <v>0</v>
      </c>
      <c r="AJ18" s="220">
        <f t="shared" si="14"/>
        <v>125264170.3394495</v>
      </c>
      <c r="AK18" s="220">
        <f t="shared" si="15"/>
        <v>125038875.58014549</v>
      </c>
      <c r="AL18" s="68">
        <f t="shared" si="16"/>
        <v>0</v>
      </c>
      <c r="AM18" s="220">
        <f t="shared" si="21"/>
        <v>0</v>
      </c>
      <c r="AN18" s="65" t="b">
        <f>IF($AH$14='2. Customer Classes'!$B$5,+AM18/'4. Customer Growth'!$C11,+IF($AH$14='2. Customer Classes'!$B$6,+AM18/'4. Customer Growth'!$E11,+IF($AH$14='2. Customer Classes'!$B$7,+AM18/'4. Customer Growth'!$G11,+IF($AH$14='2. Customer Classes'!$B$8,+AM18/'4. Customer Growth'!$I11,+IF($AH$14='2. Customer Classes'!$B$9,+AM18/'4. Customer Growth'!$K11,+IF($AH$14='2. Customer Classes'!$B$10,+AM18/'4. Customer Growth'!$M11,IF($AH$14='2. Customer Classes'!$B$11,+AM18/'4. Customer Growth'!$O11)))))))</f>
        <v>0</v>
      </c>
    </row>
    <row r="19" spans="2:40" x14ac:dyDescent="0.2">
      <c r="B19" s="173">
        <f>'4. Customer Growth'!B12</f>
        <v>2008</v>
      </c>
      <c r="C19" s="65">
        <f>IF($B$14='2. Customer Classes'!$B$5,+SUM('3. Consumption by Rate Class'!$D$52:$D$63),+IF($B$14='2. Customer Classes'!$B$6,+SUM('3. Consumption by Rate Class'!$F$52:$F$63),+IF($B$14='2. Customer Classes'!$B$7,+SUM('3. Consumption by Rate Class'!$H$52:$H$63),+IF($B$14='2. Customer Classes'!$B$8,+SUM('3. Consumption by Rate Class'!$J$52:$J$63),+IF($B$14='2. Customer Classes'!$B$9,+SUM('3. Consumption by Rate Class'!$L$52:$L$63),+IF($B$14='2. Customer Classes'!$B$10,+SUM('3. Consumption by Rate Class'!$O$52:$O$63),IF($B$14='2. Customer Classes'!$B$11,+SUM('3. Consumption by Rate Class'!$R$52:$R$63),0)))))))</f>
        <v>78678925.103</v>
      </c>
      <c r="D19" s="220">
        <f>SUM('6. WS Regression Analysis'!J46:J57)</f>
        <v>129634398.06587967</v>
      </c>
      <c r="E19" s="220">
        <f>SUM('6. WS Regression Analysis'!R46:R57)</f>
        <v>127485248.88734896</v>
      </c>
      <c r="F19" s="68">
        <f t="shared" si="0"/>
        <v>0.60692938199177426</v>
      </c>
      <c r="G19" s="220">
        <f t="shared" si="1"/>
        <v>77374543.320266232</v>
      </c>
      <c r="H19" s="986">
        <f>IF($B$14='2. Customer Classes'!$B$5,+G19/'4. Customer Growth'!$C12,+IF($B$14='2. Customer Classes'!$B$6,+G19/'4. Customer Growth'!$E12,+IF($B$14='2. Customer Classes'!$B$7,+G19/'4. Customer Growth'!$G12,+IF($B$14='2. Customer Classes'!$B$8,+G19/'4. Customer Growth'!$I12,+IF($B$14='2. Customer Classes'!$B$9,+G19/'4. Customer Growth'!$K12,+IF($B$14='2. Customer Classes'!$B$10,+G19/'4. Customer Growth'!$M12,IF($B$14='2. Customer Classes'!$B$11,+G19/'4. Customer Growth'!$O12)))))))</f>
        <v>7259.4214308079218</v>
      </c>
      <c r="I19" s="77"/>
      <c r="J19" s="173">
        <f t="shared" si="2"/>
        <v>2008</v>
      </c>
      <c r="K19" s="65">
        <f>IF($J$14='2. Customer Classes'!$B$5,+SUM('3. Consumption by Rate Class'!$D$52:$D$63),+IF($J$14='2. Customer Classes'!$B$6,+SUM('3. Consumption by Rate Class'!$F$52:$F$63),+IF($J$14='2. Customer Classes'!$B$7,+SUM('3. Consumption by Rate Class'!$H$52:$H$63),+IF($J$14='2. Customer Classes'!$B$8,+SUM('3. Consumption by Rate Class'!$J$52:$J$63),+IF($J$14='2. Customer Classes'!$B$9,+SUM('3. Consumption by Rate Class'!$L$52:$L$63),+IF($J$14='2. Customer Classes'!$B$10,+SUM('3. Consumption by Rate Class'!$O$52:$O$63),IF($J$14='2. Customer Classes'!$B$11,+SUM('3. Consumption by Rate Class'!$R$52:$R$63),0)))))))</f>
        <v>15092313.370000001</v>
      </c>
      <c r="L19" s="67">
        <f t="shared" si="3"/>
        <v>129634398.06587967</v>
      </c>
      <c r="M19" s="67">
        <f t="shared" si="4"/>
        <v>127485248.88734896</v>
      </c>
      <c r="N19" s="68">
        <f t="shared" si="5"/>
        <v>0.11642213482821241</v>
      </c>
      <c r="O19" s="67">
        <f t="shared" si="6"/>
        <v>14842104.834571157</v>
      </c>
      <c r="P19" s="65">
        <f>IF($J$14='2. Customer Classes'!$B$5,+O19/'4. Customer Growth'!$C12,+IF($J$14='2. Customer Classes'!$B$6,+O19/'4. Customer Growth'!$E12,+IF($J$14='2. Customer Classes'!$B$7,+O19/'4. Customer Growth'!$G12,+IF($J$14='2. Customer Classes'!$B$8,+O19/'4. Customer Growth'!$I12,+IF($J$14='2. Customer Classes'!$B$9,+O19/'4. Customer Growth'!$K12,+IF($J$14='2. Customer Classes'!$B$10,+O19/'4. Customer Growth'!$M12,IF($J$14='2. Customer Classes'!$B$11,+O19/'4. Customer Growth'!$O12)))))))</f>
        <v>19619.437983570599</v>
      </c>
      <c r="Q19" s="77"/>
      <c r="R19" s="173">
        <f t="shared" si="7"/>
        <v>2008</v>
      </c>
      <c r="S19" s="65">
        <f>IF($R$14='2. Customer Classes'!$B$5,+SUM('3. Consumption by Rate Class'!$D$52:$D$63),+IF($R$14='2. Customer Classes'!$B$6,+SUM('3. Consumption by Rate Class'!$F$52:$F$63),+IF($R$14='2. Customer Classes'!$B$7,+SUM('3. Consumption by Rate Class'!$H$52:$H$63),+IF($R$14='2. Customer Classes'!$B$8,+SUM('3. Consumption by Rate Class'!$J$52:$J$63),+IF($R$14='2. Customer Classes'!$B$9,+SUM('3. Consumption by Rate Class'!$L$52:$L$63),+IF($R$14='2. Customer Classes'!$B$10,+SUM('3. Consumption by Rate Class'!$O$52:$O$63),IF($R$14='2. Customer Classes'!$B$11,+SUM('3. Consumption by Rate Class'!$R$52:$R$63),0)))))))</f>
        <v>173292</v>
      </c>
      <c r="T19" s="220">
        <f t="shared" si="8"/>
        <v>129634398.06587967</v>
      </c>
      <c r="U19" s="220">
        <f t="shared" si="9"/>
        <v>127485248.88734896</v>
      </c>
      <c r="V19" s="68">
        <f t="shared" si="17"/>
        <v>1.3367748266315373E-3</v>
      </c>
      <c r="W19" s="220">
        <f t="shared" si="18"/>
        <v>170419.0714794643</v>
      </c>
      <c r="X19" s="986">
        <f>IF($R$14='2. Customer Classes'!$B$5,+W19/'4. Customer Growth'!$C12,+IF($R$14='2. Customer Classes'!$B$6,+W19/'4. Customer Growth'!$E12,+IF($R$14='2. Customer Classes'!$B$7,+W19/'4. Customer Growth'!$G12,+IF($R$14='2. Customer Classes'!$B$8,+W19/'4. Customer Growth'!$I12,+IF($R$14='2. Customer Classes'!$B$9,+W19/'4. Customer Growth'!$K12,+IF($R$14='2. Customer Classes'!$B$10,+W19/'4. Customer Growth'!$M12,IF($R$14='2. Customer Classes'!$B$11,+W19/'4. Customer Growth'!$O12)))))))</f>
        <v>4260.4767869866073</v>
      </c>
      <c r="Z19" s="173">
        <f t="shared" si="10"/>
        <v>2008</v>
      </c>
      <c r="AA19" s="65">
        <f>IF($Z$14='2. Customer Classes'!$B$5,+SUM('3. Consumption by Rate Class'!$D$52:$D$63),+IF($Z$14='2. Customer Classes'!$B$6,+SUM('3. Consumption by Rate Class'!$F$52:$F$63),+IF($Z$14='2. Customer Classes'!$B$7,+SUM('3. Consumption by Rate Class'!$H$52:$H$63),+IF($Z$14='2. Customer Classes'!$B$8,+SUM('3. Consumption by Rate Class'!$J$52:$J$63),+IF($Z$14='2. Customer Classes'!$B$9,+SUM('3. Consumption by Rate Class'!$L$52:$L$63),+IF($Z$14='2. Customer Classes'!$B$10,+SUM('3. Consumption by Rate Class'!$O$52:$O$63),IF($Z$14='2. Customer Classes'!$B$11,+SUM('3. Consumption by Rate Class'!$R$52:$R$63),0)))))))</f>
        <v>0</v>
      </c>
      <c r="AB19" s="220">
        <f t="shared" si="11"/>
        <v>129634398.06587967</v>
      </c>
      <c r="AC19" s="220">
        <f t="shared" si="12"/>
        <v>127485248.88734896</v>
      </c>
      <c r="AD19" s="68">
        <f t="shared" si="13"/>
        <v>0</v>
      </c>
      <c r="AE19" s="220">
        <f t="shared" si="19"/>
        <v>0</v>
      </c>
      <c r="AF19" s="65" t="b">
        <f>IF($Z$14='2. Customer Classes'!$B$5,+AE19/'4. Customer Growth'!$C12,+IF($Z$14='2. Customer Classes'!$B$6,+AE19/'4. Customer Growth'!$E12,+IF($Z$14='2. Customer Classes'!$B$7,+AE19/'4. Customer Growth'!$G12,+IF($Z$14='2. Customer Classes'!$B$8,+AE19/'4. Customer Growth'!$I12,+IF($Z$14='2. Customer Classes'!$B$9,+AE19/'4. Customer Growth'!$K12,+IF($Z$14='2. Customer Classes'!$B$10,+AE19/'4. Customer Growth'!$M12,IF($Z$14='2. Customer Classes'!$B$11,+AE19/'4. Customer Growth'!$O12)))))))</f>
        <v>0</v>
      </c>
      <c r="AH19" s="173">
        <f t="shared" si="20"/>
        <v>2008</v>
      </c>
      <c r="AI19" s="65">
        <f>IF($AH$14='2. Customer Classes'!$B$5,+SUM('3. Consumption by Rate Class'!$D$52:$D$63),+IF($AH$14='2. Customer Classes'!$B$6,+SUM('3. Consumption by Rate Class'!$F$52:$F$63),+IF($AH$14='2. Customer Classes'!$B$7,+SUM('3. Consumption by Rate Class'!$H$52:$H$63),+IF($AH$14='2. Customer Classes'!$B$8,+SUM('3. Consumption by Rate Class'!$J$52:$J$63),+IF($AH$14='2. Customer Classes'!$B$9,+SUM('3. Consumption by Rate Class'!$L$52:$L$63),+IF($AH$14='2. Customer Classes'!$B$10,+SUM('3. Consumption by Rate Class'!$O$52:$O$63),IF($AH$14='2. Customer Classes'!$B$11,+SUM('3. Consumption by Rate Class'!$R$52:$R$63),0)))))))</f>
        <v>0</v>
      </c>
      <c r="AJ19" s="220">
        <f t="shared" si="14"/>
        <v>129634398.06587967</v>
      </c>
      <c r="AK19" s="220">
        <f t="shared" si="15"/>
        <v>127485248.88734896</v>
      </c>
      <c r="AL19" s="68">
        <f t="shared" si="16"/>
        <v>0</v>
      </c>
      <c r="AM19" s="220">
        <f t="shared" si="21"/>
        <v>0</v>
      </c>
      <c r="AN19" s="65" t="b">
        <f>IF($AH$14='2. Customer Classes'!$B$5,+AM19/'4. Customer Growth'!$C12,+IF($AH$14='2. Customer Classes'!$B$6,+AM19/'4. Customer Growth'!$E12,+IF($AH$14='2. Customer Classes'!$B$7,+AM19/'4. Customer Growth'!$G12,+IF($AH$14='2. Customer Classes'!$B$8,+AM19/'4. Customer Growth'!$I12,+IF($AH$14='2. Customer Classes'!$B$9,+AM19/'4. Customer Growth'!$K12,+IF($AH$14='2. Customer Classes'!$B$10,+AM19/'4. Customer Growth'!$M12,IF($AH$14='2. Customer Classes'!$B$11,+AM19/'4. Customer Growth'!$O12)))))))</f>
        <v>0</v>
      </c>
    </row>
    <row r="20" spans="2:40" x14ac:dyDescent="0.2">
      <c r="B20" s="173">
        <f>'4. Customer Growth'!B13</f>
        <v>2009</v>
      </c>
      <c r="C20" s="65">
        <f>IF($B$14='2. Customer Classes'!$B$5,+SUM('3. Consumption by Rate Class'!$D$64:$D$75),+IF($B$14='2. Customer Classes'!$B$6,+SUM('3. Consumption by Rate Class'!$F$64:$F$75),+IF($B$14='2. Customer Classes'!$B$7,+SUM('3. Consumption by Rate Class'!$H$64:$H$75),+IF($B$14='2. Customer Classes'!$B$8,+SUM('3. Consumption by Rate Class'!$J$64:$J$75),+IF($B$14='2. Customer Classes'!$B$9,+SUM('3. Consumption by Rate Class'!$L$64:$L$75),+IF($B$14='2. Customer Classes'!$B$10,+SUM('3. Consumption by Rate Class'!$O$64:$O$75),IF($B$14='2. Customer Classes'!$B$11,+SUM('3. Consumption by Rate Class'!$R$64:$R$75),0)))))))</f>
        <v>82719010.360000014</v>
      </c>
      <c r="D20" s="220">
        <f>SUM('6. WS Regression Analysis'!J58:J69)</f>
        <v>129919267.53378721</v>
      </c>
      <c r="E20" s="220">
        <f>SUM('6. WS Regression Analysis'!R58:R69)</f>
        <v>127811923.39517263</v>
      </c>
      <c r="F20" s="68">
        <f t="shared" si="0"/>
        <v>0.63669547966384477</v>
      </c>
      <c r="G20" s="220">
        <f t="shared" si="1"/>
        <v>81377273.872848019</v>
      </c>
      <c r="H20" s="986">
        <f>IF($B$14='2. Customer Classes'!$B$5,+G20/'4. Customer Growth'!$C13,+IF($B$14='2. Customer Classes'!$B$6,+G20/'4. Customer Growth'!$E13,+IF($B$14='2. Customer Classes'!$B$7,+G20/'4. Customer Growth'!$G13,+IF($B$14='2. Customer Classes'!$B$8,+G20/'4. Customer Growth'!$I13,+IF($B$14='2. Customer Classes'!$B$9,+G20/'4. Customer Growth'!$K13,+IF($B$14='2. Customer Classes'!$B$10,+G20/'4. Customer Growth'!$M13,IF($B$14='2. Customer Classes'!$B$11,+G20/'4. Customer Growth'!$O13)))))))</f>
        <v>7453.1550920774853</v>
      </c>
      <c r="I20" s="77"/>
      <c r="J20" s="173">
        <f t="shared" si="2"/>
        <v>2009</v>
      </c>
      <c r="K20" s="65">
        <f>IF($J$14='2. Customer Classes'!$B$5,+SUM('3. Consumption by Rate Class'!$D$64:$D$75),+IF($J$14='2. Customer Classes'!$B$6,+SUM('3. Consumption by Rate Class'!$F$64:$F$75),+IF($J$14='2. Customer Classes'!$B$7,+SUM('3. Consumption by Rate Class'!$H$64:$H$75),+IF($J$14='2. Customer Classes'!$B$8,+SUM('3. Consumption by Rate Class'!$J$64:$J$75),+IF($J$14='2. Customer Classes'!$B$9,+SUM('3. Consumption by Rate Class'!$L$64:$L$75),+IF($J$14='2. Customer Classes'!$B$10,+SUM('3. Consumption by Rate Class'!$O$64:$O$75),IF($J$14='2. Customer Classes'!$B$11,+SUM('3. Consumption by Rate Class'!$R$64:$R$75),0)))))))</f>
        <v>15369939.543000001</v>
      </c>
      <c r="L20" s="67">
        <f t="shared" si="3"/>
        <v>129919267.53378721</v>
      </c>
      <c r="M20" s="67">
        <f t="shared" si="4"/>
        <v>127811923.39517263</v>
      </c>
      <c r="N20" s="68">
        <f t="shared" si="5"/>
        <v>0.11830377306432126</v>
      </c>
      <c r="O20" s="67">
        <f t="shared" si="6"/>
        <v>15120632.780256916</v>
      </c>
      <c r="P20" s="65">
        <f>IF($J$14='2. Customer Classes'!$B$5,+O20/'4. Customer Growth'!$C13,+IF($J$14='2. Customer Classes'!$B$6,+O20/'4. Customer Growth'!$E13,+IF($J$14='2. Customer Classes'!$B$7,+O20/'4. Customer Growth'!$G13,+IF($J$14='2. Customer Classes'!$B$8,+O20/'4. Customer Growth'!$I13,+IF($J$14='2. Customer Classes'!$B$9,+O20/'4. Customer Growth'!$K13,+IF($J$14='2. Customer Classes'!$B$10,+O20/'4. Customer Growth'!$M13,IF($J$14='2. Customer Classes'!$B$11,+O20/'4. Customer Growth'!$O13)))))))</f>
        <v>19713.993194598326</v>
      </c>
      <c r="Q20" s="77"/>
      <c r="R20" s="173">
        <f t="shared" si="7"/>
        <v>2009</v>
      </c>
      <c r="S20" s="65">
        <f>IF($R$14='2. Customer Classes'!$B$5,+SUM('3. Consumption by Rate Class'!$D$64:$D$75),+IF($R$14='2. Customer Classes'!$B$6,+SUM('3. Consumption by Rate Class'!$F$64:$F$75),+IF($R$14='2. Customer Classes'!$B$7,+SUM('3. Consumption by Rate Class'!$H$64:$H$75),+IF($R$14='2. Customer Classes'!$B$8,+SUM('3. Consumption by Rate Class'!$J$64:$J$75),+IF($R$14='2. Customer Classes'!$B$9,+SUM('3. Consumption by Rate Class'!$L$64:$L$75),+IF($R$14='2. Customer Classes'!$B$10,+SUM('3. Consumption by Rate Class'!$O$64:$O$75),IF($R$14='2. Customer Classes'!$B$11,+SUM('3. Consumption by Rate Class'!$R$64:$R$75),0)))))))</f>
        <v>255272</v>
      </c>
      <c r="T20" s="220">
        <f t="shared" si="8"/>
        <v>129919267.53378721</v>
      </c>
      <c r="U20" s="220">
        <f t="shared" si="9"/>
        <v>127811923.39517263</v>
      </c>
      <c r="V20" s="68">
        <f t="shared" si="17"/>
        <v>1.9648509789636334E-3</v>
      </c>
      <c r="W20" s="220">
        <f t="shared" si="18"/>
        <v>251131.38280622987</v>
      </c>
      <c r="X20" s="986">
        <f>IF($R$14='2. Customer Classes'!$B$5,+W20/'4. Customer Growth'!$C13,+IF($R$14='2. Customer Classes'!$B$6,+W20/'4. Customer Growth'!$E13,+IF($R$14='2. Customer Classes'!$B$7,+W20/'4. Customer Growth'!$G13,+IF($R$14='2. Customer Classes'!$B$8,+W20/'4. Customer Growth'!$I13,+IF($R$14='2. Customer Classes'!$B$9,+W20/'4. Customer Growth'!$K13,+IF($R$14='2. Customer Classes'!$B$10,+W20/'4. Customer Growth'!$M13,IF($R$14='2. Customer Classes'!$B$11,+W20/'4. Customer Growth'!$O13)))))))</f>
        <v>7727.119470960919</v>
      </c>
      <c r="Z20" s="173">
        <f t="shared" si="10"/>
        <v>2009</v>
      </c>
      <c r="AA20" s="65">
        <f>IF($Z$14='2. Customer Classes'!$B$5,+SUM('3. Consumption by Rate Class'!$D$64:$D$75),+IF($Z$14='2. Customer Classes'!$B$6,+SUM('3. Consumption by Rate Class'!$F$64:$F$75),+IF($Z$14='2. Customer Classes'!$B$7,+SUM('3. Consumption by Rate Class'!$H$64:$H$75),+IF($Z$14='2. Customer Classes'!$B$8,+SUM('3. Consumption by Rate Class'!$J$64:$J$75),+IF($Z$14='2. Customer Classes'!$B$9,+SUM('3. Consumption by Rate Class'!$L$64:$L$75),+IF($Z$14='2. Customer Classes'!$B$10,+SUM('3. Consumption by Rate Class'!$O$64:$O$75),IF($Z$14='2. Customer Classes'!$B$11,+SUM('3. Consumption by Rate Class'!$R$64:$R$75),0)))))))</f>
        <v>0</v>
      </c>
      <c r="AB20" s="220">
        <f t="shared" si="11"/>
        <v>129919267.53378721</v>
      </c>
      <c r="AC20" s="220">
        <f t="shared" si="12"/>
        <v>127811923.39517263</v>
      </c>
      <c r="AD20" s="68">
        <f t="shared" si="13"/>
        <v>0</v>
      </c>
      <c r="AE20" s="220">
        <f t="shared" si="19"/>
        <v>0</v>
      </c>
      <c r="AF20" s="65" t="b">
        <f>IF($Z$14='2. Customer Classes'!$B$5,+AE20/'4. Customer Growth'!$C13,+IF($Z$14='2. Customer Classes'!$B$6,+AE20/'4. Customer Growth'!$E13,+IF($Z$14='2. Customer Classes'!$B$7,+AE20/'4. Customer Growth'!$G13,+IF($Z$14='2. Customer Classes'!$B$8,+AE20/'4. Customer Growth'!$I13,+IF($Z$14='2. Customer Classes'!$B$9,+AE20/'4. Customer Growth'!$K13,+IF($Z$14='2. Customer Classes'!$B$10,+AE20/'4. Customer Growth'!$M13,IF($Z$14='2. Customer Classes'!$B$11,+AE20/'4. Customer Growth'!$O13)))))))</f>
        <v>0</v>
      </c>
      <c r="AH20" s="173">
        <f t="shared" si="20"/>
        <v>2009</v>
      </c>
      <c r="AI20" s="65">
        <f>IF($AH$14='2. Customer Classes'!$B$5,+SUM('3. Consumption by Rate Class'!$D$64:$D$75),+IF($AH$14='2. Customer Classes'!$B$6,+SUM('3. Consumption by Rate Class'!$F$64:$F$75),+IF($AH$14='2. Customer Classes'!$B$7,+SUM('3. Consumption by Rate Class'!$H$64:$H$75),+IF($AH$14='2. Customer Classes'!$B$8,+SUM('3. Consumption by Rate Class'!$J$64:$J$75),+IF($AH$14='2. Customer Classes'!$B$9,+SUM('3. Consumption by Rate Class'!$L$64:$L$75),+IF($AH$14='2. Customer Classes'!$B$10,+SUM('3. Consumption by Rate Class'!$O$64:$O$75),IF($AH$14='2. Customer Classes'!$B$11,+SUM('3. Consumption by Rate Class'!$R$64:$R$75),0)))))))</f>
        <v>0</v>
      </c>
      <c r="AJ20" s="220">
        <f t="shared" si="14"/>
        <v>129919267.53378721</v>
      </c>
      <c r="AK20" s="220">
        <f t="shared" si="15"/>
        <v>127811923.39517263</v>
      </c>
      <c r="AL20" s="68">
        <f t="shared" si="16"/>
        <v>0</v>
      </c>
      <c r="AM20" s="220">
        <f t="shared" si="21"/>
        <v>0</v>
      </c>
      <c r="AN20" s="65" t="b">
        <f>IF($AH$14='2. Customer Classes'!$B$5,+AM20/'4. Customer Growth'!$C13,+IF($AH$14='2. Customer Classes'!$B$6,+AM20/'4. Customer Growth'!$E13,+IF($AH$14='2. Customer Classes'!$B$7,+AM20/'4. Customer Growth'!$G13,+IF($AH$14='2. Customer Classes'!$B$8,+AM20/'4. Customer Growth'!$I13,+IF($AH$14='2. Customer Classes'!$B$9,+AM20/'4. Customer Growth'!$K13,+IF($AH$14='2. Customer Classes'!$B$10,+AM20/'4. Customer Growth'!$M13,IF($AH$14='2. Customer Classes'!$B$11,+AM20/'4. Customer Growth'!$O13)))))))</f>
        <v>0</v>
      </c>
    </row>
    <row r="21" spans="2:40" x14ac:dyDescent="0.2">
      <c r="B21" s="173">
        <f>'4. Customer Growth'!B14</f>
        <v>2010</v>
      </c>
      <c r="C21" s="65">
        <f>IF($B$14='2. Customer Classes'!$B$5,+SUM('3. Consumption by Rate Class'!$D$76:$D$87),+IF($B$14='2. Customer Classes'!$B$6,+SUM('3. Consumption by Rate Class'!$F$76:$F$87),+IF($B$14='2. Customer Classes'!$B$7,+SUM('3. Consumption by Rate Class'!$H$76:$H$87),+IF($B$14='2. Customer Classes'!$B$8,+SUM('3. Consumption by Rate Class'!$J$76:$J$87),+IF($B$14='2. Customer Classes'!$B$9,+SUM('3. Consumption by Rate Class'!$L$76:$L$87),+IF($B$14='2. Customer Classes'!$B$10,+SUM('3. Consumption by Rate Class'!$O$76:$O$87),IF($B$14='2. Customer Classes'!$B$11,+SUM('3. Consumption by Rate Class'!$R$76:$R$87),0)))))))</f>
        <v>84575463.599999994</v>
      </c>
      <c r="D21" s="220">
        <f>SUM('6. WS Regression Analysis'!J70:J81)</f>
        <v>131401699.22159928</v>
      </c>
      <c r="E21" s="220">
        <f>SUM('6. WS Regression Analysis'!R70:R81)</f>
        <v>133734014.78599641</v>
      </c>
      <c r="F21" s="68">
        <f t="shared" si="0"/>
        <v>0.64364056249660595</v>
      </c>
      <c r="G21" s="220">
        <f t="shared" si="1"/>
        <v>86076636.501788139</v>
      </c>
      <c r="H21" s="986">
        <f>IF($B$14='2. Customer Classes'!$B$5,+G21/'4. Customer Growth'!$C14,+IF($B$14='2. Customer Classes'!$B$6,+G21/'4. Customer Growth'!$E14,+IF($B$14='2. Customer Classes'!$B$7,+G21/'4. Customer Growth'!$G14,+IF($B$14='2. Customer Classes'!$B$8,+G21/'4. Customer Growth'!$I14,+IF($B$14='2. Customer Classes'!$B$9,+G21/'4. Customer Growth'!$K14,+IF($B$14='2. Customer Classes'!$B$10,+G21/'4. Customer Growth'!$M14,IF($B$14='2. Customer Classes'!$B$11,+G21/'4. Customer Growth'!$O14)))))))</f>
        <v>7741.052790304253</v>
      </c>
      <c r="I21" s="77"/>
      <c r="J21" s="173">
        <f t="shared" si="2"/>
        <v>2010</v>
      </c>
      <c r="K21" s="65">
        <f>IF($J$14='2. Customer Classes'!$B$5,+SUM('3. Consumption by Rate Class'!$D$76:$D$87),+IF($J$14='2. Customer Classes'!$B$6,+SUM('3. Consumption by Rate Class'!$F$76:$F$87),+IF($J$14='2. Customer Classes'!$B$7,+SUM('3. Consumption by Rate Class'!$H$76:$H$87),+IF($J$14='2. Customer Classes'!$B$8,+SUM('3. Consumption by Rate Class'!$J$76:$J$87),+IF($J$14='2. Customer Classes'!$B$9,+SUM('3. Consumption by Rate Class'!$L$76:$L$87),+IF($J$14='2. Customer Classes'!$B$10,+SUM('3. Consumption by Rate Class'!$O$76:$O$87),IF($J$14='2. Customer Classes'!$B$11,+SUM('3. Consumption by Rate Class'!$R$76:$R$87),0)))))))</f>
        <v>17287125.199999999</v>
      </c>
      <c r="L21" s="67">
        <f t="shared" si="3"/>
        <v>131401699.22159928</v>
      </c>
      <c r="M21" s="67">
        <f t="shared" si="4"/>
        <v>133734014.78599641</v>
      </c>
      <c r="N21" s="68">
        <f t="shared" si="5"/>
        <v>0.13155937329886835</v>
      </c>
      <c r="O21" s="67">
        <f t="shared" si="6"/>
        <v>17593963.173987281</v>
      </c>
      <c r="P21" s="65">
        <f>IF($J$14='2. Customer Classes'!$B$5,+O21/'4. Customer Growth'!$C14,+IF($J$14='2. Customer Classes'!$B$6,+O21/'4. Customer Growth'!$E14,+IF($J$14='2. Customer Classes'!$B$7,+O21/'4. Customer Growth'!$G14,+IF($J$14='2. Customer Classes'!$B$8,+O21/'4. Customer Growth'!$I14,+IF($J$14='2. Customer Classes'!$B$9,+O21/'4. Customer Growth'!$K14,+IF($J$14='2. Customer Classes'!$B$10,+O21/'4. Customer Growth'!$M14,IF($J$14='2. Customer Classes'!$B$11,+O21/'4. Customer Growth'!$O14)))))))</f>
        <v>22658.033707646209</v>
      </c>
      <c r="Q21" s="77"/>
      <c r="R21" s="173">
        <f t="shared" si="7"/>
        <v>2010</v>
      </c>
      <c r="S21" s="65">
        <f>IF($R$14='2. Customer Classes'!$B$5,+SUM('3. Consumption by Rate Class'!$D$76:$D$87),+IF($R$14='2. Customer Classes'!$B$6,+SUM('3. Consumption by Rate Class'!$F$76:$F$87),+IF($R$14='2. Customer Classes'!$B$7,+SUM('3. Consumption by Rate Class'!$H$76:$H$87),+IF($R$14='2. Customer Classes'!$B$8,+SUM('3. Consumption by Rate Class'!$J$76:$J$87),+IF($R$14='2. Customer Classes'!$B$9,+SUM('3. Consumption by Rate Class'!$L$76:$L$87),+IF($R$14='2. Customer Classes'!$B$10,+SUM('3. Consumption by Rate Class'!$O$76:$O$87),IF($R$14='2. Customer Classes'!$B$11,+SUM('3. Consumption by Rate Class'!$R$76:$R$87),0)))))))</f>
        <v>322731</v>
      </c>
      <c r="T21" s="220">
        <f t="shared" si="8"/>
        <v>131401699.22159928</v>
      </c>
      <c r="U21" s="220">
        <f t="shared" si="9"/>
        <v>133734014.78599641</v>
      </c>
      <c r="V21" s="68">
        <f t="shared" si="17"/>
        <v>2.4560641293971241E-3</v>
      </c>
      <c r="W21" s="220">
        <f t="shared" si="18"/>
        <v>328459.3165961504</v>
      </c>
      <c r="X21" s="986">
        <f>IF($R$14='2. Customer Classes'!$B$5,+W21/'4. Customer Growth'!$C14,+IF($R$14='2. Customer Classes'!$B$6,+W21/'4. Customer Growth'!$E14,+IF($R$14='2. Customer Classes'!$B$7,+W21/'4. Customer Growth'!$G14,+IF($R$14='2. Customer Classes'!$B$8,+W21/'4. Customer Growth'!$I14,+IF($R$14='2. Customer Classes'!$B$9,+W21/'4. Customer Growth'!$K14,+IF($R$14='2. Customer Classes'!$B$10,+W21/'4. Customer Growth'!$M14,IF($R$14='2. Customer Classes'!$B$11,+W21/'4. Customer Growth'!$O14)))))))</f>
        <v>8998.8853861959014</v>
      </c>
      <c r="Z21" s="173">
        <f t="shared" si="10"/>
        <v>2010</v>
      </c>
      <c r="AA21" s="65">
        <f>IF($Z$14='2. Customer Classes'!$B$5,+SUM('3. Consumption by Rate Class'!$D$76:$D$87),+IF($Z$14='2. Customer Classes'!$B$6,+SUM('3. Consumption by Rate Class'!$F$76:$F$87),+IF($Z$14='2. Customer Classes'!$B$7,+SUM('3. Consumption by Rate Class'!$H$76:$H$87),+IF($Z$14='2. Customer Classes'!$B$8,+SUM('3. Consumption by Rate Class'!$J$76:$J$87),+IF($Z$14='2. Customer Classes'!$B$9,+SUM('3. Consumption by Rate Class'!$L$76:$L$87),+IF($Z$14='2. Customer Classes'!$B$10,+SUM('3. Consumption by Rate Class'!$O$76:$O$87),IF($Z$14='2. Customer Classes'!$B$11,+SUM('3. Consumption by Rate Class'!$R$76:$R$87),0)))))))</f>
        <v>0</v>
      </c>
      <c r="AB21" s="220">
        <f t="shared" si="11"/>
        <v>131401699.22159928</v>
      </c>
      <c r="AC21" s="220">
        <f t="shared" si="12"/>
        <v>133734014.78599641</v>
      </c>
      <c r="AD21" s="68">
        <f t="shared" si="13"/>
        <v>0</v>
      </c>
      <c r="AE21" s="220">
        <f t="shared" si="19"/>
        <v>0</v>
      </c>
      <c r="AF21" s="65" t="b">
        <f>IF($Z$14='2. Customer Classes'!$B$5,+AE21/'4. Customer Growth'!$C14,+IF($Z$14='2. Customer Classes'!$B$6,+AE21/'4. Customer Growth'!$E14,+IF($Z$14='2. Customer Classes'!$B$7,+AE21/'4. Customer Growth'!$G14,+IF($Z$14='2. Customer Classes'!$B$8,+AE21/'4. Customer Growth'!$I14,+IF($Z$14='2. Customer Classes'!$B$9,+AE21/'4. Customer Growth'!$K14,+IF($Z$14='2. Customer Classes'!$B$10,+AE21/'4. Customer Growth'!$M14,IF($Z$14='2. Customer Classes'!$B$11,+AE21/'4. Customer Growth'!$O14)))))))</f>
        <v>0</v>
      </c>
      <c r="AH21" s="173">
        <f t="shared" si="20"/>
        <v>2010</v>
      </c>
      <c r="AI21" s="65">
        <f>IF($AH$14='2. Customer Classes'!$B$5,+SUM('3. Consumption by Rate Class'!$D$76:$D$87),+IF($AH$14='2. Customer Classes'!$B$6,+SUM('3. Consumption by Rate Class'!$F$76:$F$87),+IF($AH$14='2. Customer Classes'!$B$7,+SUM('3. Consumption by Rate Class'!$H$76:$H$87),+IF($AH$14='2. Customer Classes'!$B$8,+SUM('3. Consumption by Rate Class'!$J$76:$J$87),+IF($AH$14='2. Customer Classes'!$B$9,+SUM('3. Consumption by Rate Class'!$L$76:$L$87),+IF($AH$14='2. Customer Classes'!$B$10,+SUM('3. Consumption by Rate Class'!$O$76:$O$87),IF($AH$14='2. Customer Classes'!$B$11,+SUM('3. Consumption by Rate Class'!$R$76:$R$87),0)))))))</f>
        <v>0</v>
      </c>
      <c r="AJ21" s="220">
        <f t="shared" si="14"/>
        <v>131401699.22159928</v>
      </c>
      <c r="AK21" s="220">
        <f t="shared" si="15"/>
        <v>133734014.78599641</v>
      </c>
      <c r="AL21" s="68">
        <f t="shared" si="16"/>
        <v>0</v>
      </c>
      <c r="AM21" s="220">
        <f t="shared" si="21"/>
        <v>0</v>
      </c>
      <c r="AN21" s="65" t="b">
        <f>IF($AH$14='2. Customer Classes'!$B$5,+AM21/'4. Customer Growth'!$C14,+IF($AH$14='2. Customer Classes'!$B$6,+AM21/'4. Customer Growth'!$E14,+IF($AH$14='2. Customer Classes'!$B$7,+AM21/'4. Customer Growth'!$G14,+IF($AH$14='2. Customer Classes'!$B$8,+AM21/'4. Customer Growth'!$I14,+IF($AH$14='2. Customer Classes'!$B$9,+AM21/'4. Customer Growth'!$K14,+IF($AH$14='2. Customer Classes'!$B$10,+AM21/'4. Customer Growth'!$M14,IF($AH$14='2. Customer Classes'!$B$11,+AM21/'4. Customer Growth'!$O14)))))))</f>
        <v>0</v>
      </c>
    </row>
    <row r="22" spans="2:40" x14ac:dyDescent="0.2">
      <c r="B22" s="173">
        <f>'4. Customer Growth'!B15</f>
        <v>2011</v>
      </c>
      <c r="C22" s="65">
        <f>IF($B$14='2. Customer Classes'!$B$5,+SUM('3. Consumption by Rate Class'!$D$88:$D$99),+IF($B$14='2. Customer Classes'!$B$6,+SUM('3. Consumption by Rate Class'!$F$88:$F$99),+IF($B$14='2. Customer Classes'!$B$7,+SUM('3. Consumption by Rate Class'!$H$88:$H$99),+IF($B$14='2. Customer Classes'!$B$8,+SUM('3. Consumption by Rate Class'!$J$88:$J$99),+IF($B$14='2. Customer Classes'!$B$9,+SUM('3. Consumption by Rate Class'!$L$88:$L$99),+IF($B$14='2. Customer Classes'!$B$10,+SUM('3. Consumption by Rate Class'!$O$88:$O$99),IF($B$14='2. Customer Classes'!$B$11,+SUM('3. Consumption by Rate Class'!$R$88:$R$99),0)))))))</f>
        <v>84023443</v>
      </c>
      <c r="D22" s="220">
        <f>SUM('6. WS Regression Analysis'!J82:J93)</f>
        <v>133937001.79387802</v>
      </c>
      <c r="E22" s="220">
        <f>SUM('6. WS Regression Analysis'!R82:R93)</f>
        <v>135182816.26438898</v>
      </c>
      <c r="F22" s="68">
        <f t="shared" si="0"/>
        <v>0.62733555234652516</v>
      </c>
      <c r="G22" s="220">
        <f t="shared" si="1"/>
        <v>84804986.708979279</v>
      </c>
      <c r="H22" s="986">
        <f>IF($B$14='2. Customer Classes'!$B$5,+G22/'4. Customer Growth'!$C15,+IF($B$14='2. Customer Classes'!$B$6,+G22/'4. Customer Growth'!$E15,+IF($B$14='2. Customer Classes'!$B$7,+G22/'4. Customer Growth'!$G15,+IF($B$14='2. Customer Classes'!$B$8,+G22/'4. Customer Growth'!$I15,+IF($B$14='2. Customer Classes'!$B$9,+G22/'4. Customer Growth'!$K15,+IF($B$14='2. Customer Classes'!$B$10,+G22/'4. Customer Growth'!$M15,IF($B$14='2. Customer Classes'!$B$11,+G22/'4. Customer Growth'!$O15)))))))</f>
        <v>7458.3339966561962</v>
      </c>
      <c r="I22" s="77"/>
      <c r="J22" s="173">
        <f t="shared" si="2"/>
        <v>2011</v>
      </c>
      <c r="K22" s="65">
        <f>IF($J$14='2. Customer Classes'!$B$5,+SUM('3. Consumption by Rate Class'!$D$88:$D$99),+IF($J$14='2. Customer Classes'!$B$6,+SUM('3. Consumption by Rate Class'!$F$88:$F$99),+IF($J$14='2. Customer Classes'!$B$7,+SUM('3. Consumption by Rate Class'!$H$88:$H$99),+IF($J$14='2. Customer Classes'!$B$8,+SUM('3. Consumption by Rate Class'!$J$88:$J$99),+IF($J$14='2. Customer Classes'!$B$9,+SUM('3. Consumption by Rate Class'!$L$88:$L$99),+IF($J$14='2. Customer Classes'!$B$10,+SUM('3. Consumption by Rate Class'!$O$88:$O$99),IF($J$14='2. Customer Classes'!$B$11,+SUM('3. Consumption by Rate Class'!$R$88:$R$99),0)))))))</f>
        <v>16948879</v>
      </c>
      <c r="L22" s="67">
        <f t="shared" si="3"/>
        <v>133937001.79387802</v>
      </c>
      <c r="M22" s="67">
        <f t="shared" si="4"/>
        <v>135182816.26438898</v>
      </c>
      <c r="N22" s="68">
        <f t="shared" si="5"/>
        <v>0.12654366435709402</v>
      </c>
      <c r="O22" s="67">
        <f t="shared" si="6"/>
        <v>17106528.92820755</v>
      </c>
      <c r="P22" s="65">
        <f>IF($J$14='2. Customer Classes'!$B$5,+O22/'4. Customer Growth'!$C15,+IF($J$14='2. Customer Classes'!$B$6,+O22/'4. Customer Growth'!$E15,+IF($J$14='2. Customer Classes'!$B$7,+O22/'4. Customer Growth'!$G15,+IF($J$14='2. Customer Classes'!$B$8,+O22/'4. Customer Growth'!$I15,+IF($J$14='2. Customer Classes'!$B$9,+O22/'4. Customer Growth'!$K15,+IF($J$14='2. Customer Classes'!$B$10,+O22/'4. Customer Growth'!$M15,IF($J$14='2. Customer Classes'!$B$11,+O22/'4. Customer Growth'!$O15)))))))</f>
        <v>21903.366105259349</v>
      </c>
      <c r="Q22" s="77"/>
      <c r="R22" s="173">
        <f t="shared" si="7"/>
        <v>2011</v>
      </c>
      <c r="S22" s="65">
        <f>IF($R$14='2. Customer Classes'!$B$5,+SUM('3. Consumption by Rate Class'!$D$88:$D$99),+IF($R$14='2. Customer Classes'!$B$6,+SUM('3. Consumption by Rate Class'!$F$88:$F$99),+IF($R$14='2. Customer Classes'!$B$7,+SUM('3. Consumption by Rate Class'!$H$88:$H$99),+IF($R$14='2. Customer Classes'!$B$8,+SUM('3. Consumption by Rate Class'!$J$88:$J$99),+IF($R$14='2. Customer Classes'!$B$9,+SUM('3. Consumption by Rate Class'!$L$88:$L$99),+IF($R$14='2. Customer Classes'!$B$10,+SUM('3. Consumption by Rate Class'!$O$88:$O$99),IF($R$14='2. Customer Classes'!$B$11,+SUM('3. Consumption by Rate Class'!$R$88:$R$99),0)))))))</f>
        <v>310190</v>
      </c>
      <c r="T22" s="220">
        <f t="shared" si="8"/>
        <v>133937001.79387802</v>
      </c>
      <c r="U22" s="220">
        <f t="shared" si="9"/>
        <v>135182816.26438898</v>
      </c>
      <c r="V22" s="68">
        <f t="shared" si="17"/>
        <v>2.3159395525171309E-3</v>
      </c>
      <c r="W22" s="220">
        <f t="shared" si="18"/>
        <v>313075.23100735457</v>
      </c>
      <c r="X22" s="986">
        <f>IF($R$14='2. Customer Classes'!$B$5,+W22/'4. Customer Growth'!$C15,+IF($R$14='2. Customer Classes'!$B$6,+W22/'4. Customer Growth'!$E15,+IF($R$14='2. Customer Classes'!$B$7,+W22/'4. Customer Growth'!$G15,+IF($R$14='2. Customer Classes'!$B$8,+W22/'4. Customer Growth'!$I15,+IF($R$14='2. Customer Classes'!$B$9,+W22/'4. Customer Growth'!$K15,+IF($R$14='2. Customer Classes'!$B$10,+W22/'4. Customer Growth'!$M15,IF($R$14='2. Customer Classes'!$B$11,+W22/'4. Customer Growth'!$O15)))))))</f>
        <v>7543.9814700567367</v>
      </c>
      <c r="Z22" s="173">
        <f t="shared" si="10"/>
        <v>2011</v>
      </c>
      <c r="AA22" s="65">
        <f>IF($Z$14='2. Customer Classes'!$B$5,+SUM('3. Consumption by Rate Class'!$D$88:$D$99),+IF($Z$14='2. Customer Classes'!$B$6,+SUM('3. Consumption by Rate Class'!$F$88:$F$99),+IF($Z$14='2. Customer Classes'!$B$7,+SUM('3. Consumption by Rate Class'!$H$88:$H$99),+IF($Z$14='2. Customer Classes'!$B$8,+SUM('3. Consumption by Rate Class'!$J$88:$J$99),+IF($Z$14='2. Customer Classes'!$B$9,+SUM('3. Consumption by Rate Class'!$L$88:$L$99),+IF($Z$14='2. Customer Classes'!$B$10,+SUM('3. Consumption by Rate Class'!$O$88:$O$99),IF($Z$14='2. Customer Classes'!$B$11,+SUM('3. Consumption by Rate Class'!$R$88:$R$99),0)))))))</f>
        <v>0</v>
      </c>
      <c r="AB22" s="220">
        <f t="shared" si="11"/>
        <v>133937001.79387802</v>
      </c>
      <c r="AC22" s="220">
        <f t="shared" si="12"/>
        <v>135182816.26438898</v>
      </c>
      <c r="AD22" s="68">
        <f t="shared" si="13"/>
        <v>0</v>
      </c>
      <c r="AE22" s="220">
        <f t="shared" si="19"/>
        <v>0</v>
      </c>
      <c r="AF22" s="65" t="b">
        <f>IF($Z$14='2. Customer Classes'!$B$5,+AE22/'4. Customer Growth'!$C15,+IF($Z$14='2. Customer Classes'!$B$6,+AE22/'4. Customer Growth'!$E15,+IF($Z$14='2. Customer Classes'!$B$7,+AE22/'4. Customer Growth'!$G15,+IF($Z$14='2. Customer Classes'!$B$8,+AE22/'4. Customer Growth'!$I15,+IF($Z$14='2. Customer Classes'!$B$9,+AE22/'4. Customer Growth'!$K15,+IF($Z$14='2. Customer Classes'!$B$10,+AE22/'4. Customer Growth'!$M15,IF($Z$14='2. Customer Classes'!$B$11,+AE22/'4. Customer Growth'!$O15)))))))</f>
        <v>0</v>
      </c>
      <c r="AH22" s="173">
        <f t="shared" si="20"/>
        <v>2011</v>
      </c>
      <c r="AI22" s="65">
        <f>IF($AH$14='2. Customer Classes'!$B$5,+SUM('3. Consumption by Rate Class'!$D$88:$D$99),+IF($AH$14='2. Customer Classes'!$B$6,+SUM('3. Consumption by Rate Class'!$F$88:$F$99),+IF($AH$14='2. Customer Classes'!$B$7,+SUM('3. Consumption by Rate Class'!$H$88:$H$99),+IF($AH$14='2. Customer Classes'!$B$8,+SUM('3. Consumption by Rate Class'!$J$88:$J$99),+IF($AH$14='2. Customer Classes'!$B$9,+SUM('3. Consumption by Rate Class'!$L$88:$L$99),+IF($AH$14='2. Customer Classes'!$B$10,+SUM('3. Consumption by Rate Class'!$O$88:$O$99),IF($AH$14='2. Customer Classes'!$B$11,+SUM('3. Consumption by Rate Class'!$R$88:$R$99),0)))))))</f>
        <v>0</v>
      </c>
      <c r="AJ22" s="220">
        <f t="shared" si="14"/>
        <v>133937001.79387802</v>
      </c>
      <c r="AK22" s="220">
        <f t="shared" si="15"/>
        <v>135182816.26438898</v>
      </c>
      <c r="AL22" s="68">
        <f t="shared" si="16"/>
        <v>0</v>
      </c>
      <c r="AM22" s="220">
        <f t="shared" si="21"/>
        <v>0</v>
      </c>
      <c r="AN22" s="65" t="b">
        <f>IF($AH$14='2. Customer Classes'!$B$5,+AM22/'4. Customer Growth'!$C15,+IF($AH$14='2. Customer Classes'!$B$6,+AM22/'4. Customer Growth'!$E15,+IF($AH$14='2. Customer Classes'!$B$7,+AM22/'4. Customer Growth'!$G15,+IF($AH$14='2. Customer Classes'!$B$8,+AM22/'4. Customer Growth'!$I15,+IF($AH$14='2. Customer Classes'!$B$9,+AM22/'4. Customer Growth'!$K15,+IF($AH$14='2. Customer Classes'!$B$10,+AM22/'4. Customer Growth'!$M15,IF($AH$14='2. Customer Classes'!$B$11,+AM22/'4. Customer Growth'!$O15)))))))</f>
        <v>0</v>
      </c>
    </row>
    <row r="23" spans="2:40" x14ac:dyDescent="0.2">
      <c r="B23" s="173">
        <f>'4. Customer Growth'!B16</f>
        <v>2012</v>
      </c>
      <c r="C23" s="65">
        <f>IF($B$14='2. Customer Classes'!$B$5,+SUM('3. Consumption by Rate Class'!$D$100:$D$111),+IF($B$14='2. Customer Classes'!$B$6,+SUM('3. Consumption by Rate Class'!$F$100:$F$111),+IF($B$14='2. Customer Classes'!$B$7,+SUM('3. Consumption by Rate Class'!$H$100:$H$111),+IF($B$14='2. Customer Classes'!$B$8,+SUM('3. Consumption by Rate Class'!$J$100:$J$111),+IF($B$14='2. Customer Classes'!$B$9,+SUM('3. Consumption by Rate Class'!$L$100:$L$111),+IF($B$14='2. Customer Classes'!$B$10,+SUM('3. Consumption by Rate Class'!$O$100:$O$111),IF($B$14='2. Customer Classes'!$B$11,+SUM('3. Consumption by Rate Class'!$R$100:$R$111),0)))))))</f>
        <v>82588039.052825093</v>
      </c>
      <c r="D23" s="220">
        <f>SUM('6. WS Regression Analysis'!J94:J105)</f>
        <v>135122554.14110184</v>
      </c>
      <c r="E23" s="220">
        <f>SUM('6. WS Regression Analysis'!R94:R105)</f>
        <v>137553791.54448798</v>
      </c>
      <c r="F23" s="68">
        <f t="shared" si="0"/>
        <v>0.61120839209849798</v>
      </c>
      <c r="G23" s="220">
        <f t="shared" si="1"/>
        <v>84074031.75695847</v>
      </c>
      <c r="H23" s="986">
        <f>IF($B$14='2. Customer Classes'!$B$5,+G23/'4. Customer Growth'!$C16,+IF($B$14='2. Customer Classes'!$B$6,+G23/'4. Customer Growth'!$E16,+IF($B$14='2. Customer Classes'!$B$7,+G23/'4. Customer Growth'!$G16,+IF($B$14='2. Customer Classes'!$B$8,+G23/'4. Customer Growth'!$I16,+IF($B$14='2. Customer Classes'!$B$9,+G23/'4. Customer Growth'!$K16,+IF($B$14='2. Customer Classes'!$B$10,+G23/'4. Customer Growth'!$M16,IF($B$14='2. Customer Classes'!$B$11,+G23/'4. Customer Growth'!$O16)))))))</f>
        <v>7242.1424547298193</v>
      </c>
      <c r="I23" s="77"/>
      <c r="J23" s="173">
        <f t="shared" si="2"/>
        <v>2012</v>
      </c>
      <c r="K23" s="65">
        <f>IF($J$14='2. Customer Classes'!$B$5,+SUM('3. Consumption by Rate Class'!$D$100:$D$111),+IF($J$14='2. Customer Classes'!$B$6,+SUM('3. Consumption by Rate Class'!$F$100:$F$111),+IF($J$14='2. Customer Classes'!$B$7,+SUM('3. Consumption by Rate Class'!$H$100:$H$111),+IF($J$14='2. Customer Classes'!$B$8,+SUM('3. Consumption by Rate Class'!$J$100:$J$111),+IF($J$14='2. Customer Classes'!$B$9,+SUM('3. Consumption by Rate Class'!$L$100:$L$111),+IF($J$14='2. Customer Classes'!$B$10,+SUM('3. Consumption by Rate Class'!$O$100:$O$111),IF($J$14='2. Customer Classes'!$B$11,+SUM('3. Consumption by Rate Class'!$R$100:$R$111),0)))))))</f>
        <v>15746949.627995308</v>
      </c>
      <c r="L23" s="67">
        <f t="shared" si="3"/>
        <v>135122554.14110184</v>
      </c>
      <c r="M23" s="67">
        <f t="shared" si="4"/>
        <v>137553791.54448798</v>
      </c>
      <c r="N23" s="68">
        <f t="shared" si="5"/>
        <v>0.11653827688567479</v>
      </c>
      <c r="O23" s="67">
        <f t="shared" si="6"/>
        <v>16030281.845685933</v>
      </c>
      <c r="P23" s="65">
        <f>IF($J$14='2. Customer Classes'!$B$5,+O23/'4. Customer Growth'!$C16,+IF($J$14='2. Customer Classes'!$B$6,+O23/'4. Customer Growth'!$E16,+IF($J$14='2. Customer Classes'!$B$7,+O23/'4. Customer Growth'!$G16,+IF($J$14='2. Customer Classes'!$B$8,+O23/'4. Customer Growth'!$I16,+IF($J$14='2. Customer Classes'!$B$9,+O23/'4. Customer Growth'!$K16,+IF($J$14='2. Customer Classes'!$B$10,+O23/'4. Customer Growth'!$M16,IF($J$14='2. Customer Classes'!$B$11,+O23/'4. Customer Growth'!$O16)))))))</f>
        <v>20394.760617921034</v>
      </c>
      <c r="Q23" s="77"/>
      <c r="R23" s="173">
        <f t="shared" si="7"/>
        <v>2012</v>
      </c>
      <c r="S23" s="65">
        <f>IF($R$14='2. Customer Classes'!$B$5,+SUM('3. Consumption by Rate Class'!$D$100:$D$111),+IF($R$14='2. Customer Classes'!$B$6,+SUM('3. Consumption by Rate Class'!$F$100:$F$111),+IF($R$14='2. Customer Classes'!$B$7,+SUM('3. Consumption by Rate Class'!$H$100:$H$111),+IF($R$14='2. Customer Classes'!$B$8,+SUM('3. Consumption by Rate Class'!$J$100:$J$111),+IF($R$14='2. Customer Classes'!$B$9,+SUM('3. Consumption by Rate Class'!$L$100:$L$111),+IF($R$14='2. Customer Classes'!$B$10,+SUM('3. Consumption by Rate Class'!$O$100:$O$111),IF($R$14='2. Customer Classes'!$B$11,+SUM('3. Consumption by Rate Class'!$R$100:$R$111),0)))))))</f>
        <v>290375.53274615534</v>
      </c>
      <c r="T23" s="220">
        <f t="shared" si="8"/>
        <v>135122554.14110184</v>
      </c>
      <c r="U23" s="220">
        <f t="shared" si="9"/>
        <v>137553791.54448798</v>
      </c>
      <c r="V23" s="68">
        <f t="shared" si="17"/>
        <v>2.1489790108831903E-3</v>
      </c>
      <c r="W23" s="220">
        <f t="shared" si="18"/>
        <v>295600.21089650632</v>
      </c>
      <c r="X23" s="986">
        <f>IF($R$14='2. Customer Classes'!$B$5,+W23/'4. Customer Growth'!$C16,+IF($R$14='2. Customer Classes'!$B$6,+W23/'4. Customer Growth'!$E16,+IF($R$14='2. Customer Classes'!$B$7,+W23/'4. Customer Growth'!$G16,+IF($R$14='2. Customer Classes'!$B$8,+W23/'4. Customer Growth'!$I16,+IF($R$14='2. Customer Classes'!$B$9,+W23/'4. Customer Growth'!$K16,+IF($R$14='2. Customer Classes'!$B$10,+W23/'4. Customer Growth'!$M16,IF($R$14='2. Customer Classes'!$B$11,+W23/'4. Customer Growth'!$O16)))))))</f>
        <v>7579.492587089906</v>
      </c>
      <c r="Z23" s="173">
        <f t="shared" si="10"/>
        <v>2012</v>
      </c>
      <c r="AA23" s="65">
        <f>IF($Z$14='2. Customer Classes'!$B$5,+SUM('3. Consumption by Rate Class'!$D$100:$D$111),+IF($Z$14='2. Customer Classes'!$B$6,+SUM('3. Consumption by Rate Class'!$F$100:$F$111),+IF($Z$14='2. Customer Classes'!$B$7,+SUM('3. Consumption by Rate Class'!$H$100:$H$111),+IF($Z$14='2. Customer Classes'!$B$8,+SUM('3. Consumption by Rate Class'!$J$100:$J$111),+IF($Z$14='2. Customer Classes'!$B$9,+SUM('3. Consumption by Rate Class'!$L$100:$L$111),+IF($Z$14='2. Customer Classes'!$B$10,+SUM('3. Consumption by Rate Class'!$O$100:$O$111),IF($Z$14='2. Customer Classes'!$B$11,+SUM('3. Consumption by Rate Class'!$R$100:$R$111),0)))))))</f>
        <v>0</v>
      </c>
      <c r="AB23" s="220">
        <f t="shared" si="11"/>
        <v>135122554.14110184</v>
      </c>
      <c r="AC23" s="220">
        <f t="shared" si="12"/>
        <v>137553791.54448798</v>
      </c>
      <c r="AD23" s="68">
        <f t="shared" si="13"/>
        <v>0</v>
      </c>
      <c r="AE23" s="220">
        <f t="shared" si="19"/>
        <v>0</v>
      </c>
      <c r="AF23" s="65" t="b">
        <f>IF($Z$14='2. Customer Classes'!$B$5,+AE23/'4. Customer Growth'!$C16,+IF($Z$14='2. Customer Classes'!$B$6,+AE23/'4. Customer Growth'!$E16,+IF($Z$14='2. Customer Classes'!$B$7,+AE23/'4. Customer Growth'!$G16,+IF($Z$14='2. Customer Classes'!$B$8,+AE23/'4. Customer Growth'!$I16,+IF($Z$14='2. Customer Classes'!$B$9,+AE23/'4. Customer Growth'!$K16,+IF($Z$14='2. Customer Classes'!$B$10,+AE23/'4. Customer Growth'!$M16,IF($Z$14='2. Customer Classes'!$B$11,+AE23/'4. Customer Growth'!$O16)))))))</f>
        <v>0</v>
      </c>
      <c r="AH23" s="173">
        <f t="shared" si="20"/>
        <v>2012</v>
      </c>
      <c r="AI23" s="65">
        <f>IF($AH$14='2. Customer Classes'!$B$5,+SUM('3. Consumption by Rate Class'!$D$100:$D$111),+IF($AH$14='2. Customer Classes'!$B$6,+SUM('3. Consumption by Rate Class'!$F$100:$F$111),+IF($AH$14='2. Customer Classes'!$B$7,+SUM('3. Consumption by Rate Class'!$H$100:$H$111),+IF($AH$14='2. Customer Classes'!$B$8,+SUM('3. Consumption by Rate Class'!$J$100:$J$111),+IF($AH$14='2. Customer Classes'!$B$9,+SUM('3. Consumption by Rate Class'!$L$100:$L$111),+IF($AH$14='2. Customer Classes'!$B$10,+SUM('3. Consumption by Rate Class'!$O$100:$O$111),IF($AH$14='2. Customer Classes'!$B$11,+SUM('3. Consumption by Rate Class'!$R$100:$R$111),0)))))))</f>
        <v>0</v>
      </c>
      <c r="AJ23" s="220">
        <f t="shared" si="14"/>
        <v>135122554.14110184</v>
      </c>
      <c r="AK23" s="220">
        <f t="shared" si="15"/>
        <v>137553791.54448798</v>
      </c>
      <c r="AL23" s="68">
        <f t="shared" si="16"/>
        <v>0</v>
      </c>
      <c r="AM23" s="220">
        <f t="shared" si="21"/>
        <v>0</v>
      </c>
      <c r="AN23" s="65" t="b">
        <f>IF($AH$14='2. Customer Classes'!$B$5,+AM23/'4. Customer Growth'!$C16,+IF($AH$14='2. Customer Classes'!$B$6,+AM23/'4. Customer Growth'!$E16,+IF($AH$14='2. Customer Classes'!$B$7,+AM23/'4. Customer Growth'!$G16,+IF($AH$14='2. Customer Classes'!$B$8,+AM23/'4. Customer Growth'!$I16,+IF($AH$14='2. Customer Classes'!$B$9,+AM23/'4. Customer Growth'!$K16,+IF($AH$14='2. Customer Classes'!$B$10,+AM23/'4. Customer Growth'!$M16,IF($AH$14='2. Customer Classes'!$B$11,+AM23/'4. Customer Growth'!$O16)))))))</f>
        <v>0</v>
      </c>
    </row>
    <row r="24" spans="2:40" x14ac:dyDescent="0.2">
      <c r="B24" s="173">
        <f>'4. Customer Growth'!B17</f>
        <v>2013</v>
      </c>
      <c r="C24" s="65">
        <f>IF($B$14='2. Customer Classes'!$B$5,+SUM('3. Consumption by Rate Class'!$D$112:$D$123),+IF($B$14='2. Customer Classes'!$B$6,+SUM('3. Consumption by Rate Class'!$F$112:$F$123),+IF($B$14='2. Customer Classes'!$B$7,+SUM('3. Consumption by Rate Class'!$H$112:$H$123),+IF($B$14='2. Customer Classes'!$B$8,+SUM('3. Consumption by Rate Class'!$J$112:$J$123),+IF($B$14='2. Customer Classes'!$B$9,+SUM('3. Consumption by Rate Class'!$L$112:$L$123),+IF($B$14='2. Customer Classes'!$B$10,+SUM('3. Consumption by Rate Class'!$O$112:$O$123),IF($B$14='2. Customer Classes'!$B$11,+SUM('3. Consumption by Rate Class'!$R$112:$R$123),0)))))))</f>
        <v>86276531.942645699</v>
      </c>
      <c r="D24" s="220">
        <f>SUM('6. WS Regression Analysis'!J106:J117)</f>
        <v>140022738.8160786</v>
      </c>
      <c r="E24" s="220">
        <f>SUM('6. WS Regression Analysis'!R106:R117)</f>
        <v>139097908.02772683</v>
      </c>
      <c r="F24" s="68">
        <f t="shared" si="0"/>
        <v>0.61616086552892579</v>
      </c>
      <c r="G24" s="220">
        <f t="shared" si="1"/>
        <v>85706687.403627083</v>
      </c>
      <c r="H24" s="986">
        <f>IF($B$14='2. Customer Classes'!$B$5,+G24/'4. Customer Growth'!$C17,+IF($B$14='2. Customer Classes'!$B$6,+G24/'4. Customer Growth'!$E17,+IF($B$14='2. Customer Classes'!$B$7,+G24/'4. Customer Growth'!$G17,+IF($B$14='2. Customer Classes'!$B$8,+G24/'4. Customer Growth'!$I17,+IF($B$14='2. Customer Classes'!$B$9,+G24/'4. Customer Growth'!$K17,+IF($B$14='2. Customer Classes'!$B$10,+G24/'4. Customer Growth'!$M17,IF($B$14='2. Customer Classes'!$B$11,+G24/'4. Customer Growth'!$O17)))))))</f>
        <v>7228.3619299677057</v>
      </c>
      <c r="I24" s="77"/>
      <c r="J24" s="173">
        <f t="shared" si="2"/>
        <v>2013</v>
      </c>
      <c r="K24" s="65">
        <f>IF($J$14='2. Customer Classes'!$B$5,+SUM('3. Consumption by Rate Class'!$D$112:$D$123),+IF($J$14='2. Customer Classes'!$B$6,+SUM('3. Consumption by Rate Class'!$F$112:$F$123),+IF($J$14='2. Customer Classes'!$B$7,+SUM('3. Consumption by Rate Class'!$H$112:$H$123),+IF($J$14='2. Customer Classes'!$B$8,+SUM('3. Consumption by Rate Class'!$J$112:$J$123),+IF($J$14='2. Customer Classes'!$B$9,+SUM('3. Consumption by Rate Class'!$L$112:$L$123),+IF($J$14='2. Customer Classes'!$B$10,+SUM('3. Consumption by Rate Class'!$O$112:$O$123),IF($J$14='2. Customer Classes'!$B$11,+SUM('3. Consumption by Rate Class'!$R$112:$R$123),0)))))))</f>
        <v>16432348.094357079</v>
      </c>
      <c r="L24" s="67">
        <f t="shared" si="3"/>
        <v>140022738.8160786</v>
      </c>
      <c r="M24" s="67">
        <f t="shared" si="4"/>
        <v>139097908.02772683</v>
      </c>
      <c r="N24" s="68">
        <f t="shared" si="5"/>
        <v>0.11735485417080113</v>
      </c>
      <c r="O24" s="67">
        <f t="shared" si="6"/>
        <v>16323814.712057389</v>
      </c>
      <c r="P24" s="65">
        <f>IF($J$14='2. Customer Classes'!$B$5,+O24/'4. Customer Growth'!$C17,+IF($J$14='2. Customer Classes'!$B$6,+O24/'4. Customer Growth'!$E17,+IF($J$14='2. Customer Classes'!$B$7,+O24/'4. Customer Growth'!$G17,+IF($J$14='2. Customer Classes'!$B$8,+O24/'4. Customer Growth'!$I17,+IF($J$14='2. Customer Classes'!$B$9,+O24/'4. Customer Growth'!$K17,+IF($J$14='2. Customer Classes'!$B$10,+O24/'4. Customer Growth'!$M17,IF($J$14='2. Customer Classes'!$B$11,+O24/'4. Customer Growth'!$O17)))))))</f>
        <v>20821.192234767077</v>
      </c>
      <c r="Q24" s="77"/>
      <c r="R24" s="173">
        <f t="shared" si="7"/>
        <v>2013</v>
      </c>
      <c r="S24" s="65">
        <f>IF($R$14='2. Customer Classes'!$B$5,+SUM('3. Consumption by Rate Class'!$D$112:$D$123),+IF($R$14='2. Customer Classes'!$B$6,+SUM('3. Consumption by Rate Class'!$F$112:$F$123),+IF($R$14='2. Customer Classes'!$B$7,+SUM('3. Consumption by Rate Class'!$H$112:$H$123),+IF($R$14='2. Customer Classes'!$B$8,+SUM('3. Consumption by Rate Class'!$J$112:$J$123),+IF($R$14='2. Customer Classes'!$B$9,+SUM('3. Consumption by Rate Class'!$L$112:$L$123),+IF($R$14='2. Customer Classes'!$B$10,+SUM('3. Consumption by Rate Class'!$O$112:$O$123),IF($R$14='2. Customer Classes'!$B$11,+SUM('3. Consumption by Rate Class'!$R$112:$R$123),0)))))))</f>
        <v>264549.50046253472</v>
      </c>
      <c r="T24" s="220">
        <f t="shared" si="8"/>
        <v>140022738.8160786</v>
      </c>
      <c r="U24" s="220">
        <f t="shared" si="9"/>
        <v>139097908.02772683</v>
      </c>
      <c r="V24" s="68">
        <f t="shared" si="17"/>
        <v>1.8893324234289072E-3</v>
      </c>
      <c r="W24" s="220">
        <f t="shared" si="18"/>
        <v>262802.18766791635</v>
      </c>
      <c r="X24" s="986">
        <f>IF($R$14='2. Customer Classes'!$B$5,+W24/'4. Customer Growth'!$C17,+IF($R$14='2. Customer Classes'!$B$6,+W24/'4. Customer Growth'!$E17,+IF($R$14='2. Customer Classes'!$B$7,+W24/'4. Customer Growth'!$G17,+IF($R$14='2. Customer Classes'!$B$8,+W24/'4. Customer Growth'!$I17,+IF($R$14='2. Customer Classes'!$B$9,+W24/'4. Customer Growth'!$K17,+IF($R$14='2. Customer Classes'!$B$10,+W24/'4. Customer Growth'!$M17,IF($R$14='2. Customer Classes'!$B$11,+W24/'4. Customer Growth'!$O17)))))))</f>
        <v>6183.5808863039147</v>
      </c>
      <c r="Z24" s="173">
        <f t="shared" si="10"/>
        <v>2013</v>
      </c>
      <c r="AA24" s="65">
        <f>IF($Z$14='2. Customer Classes'!$B$5,+SUM('3. Consumption by Rate Class'!$D$112:$D$123),+IF($Z$14='2. Customer Classes'!$B$6,+SUM('3. Consumption by Rate Class'!$F$112:$F$123),+IF($Z$14='2. Customer Classes'!$B$7,+SUM('3. Consumption by Rate Class'!$H$112:$H$123),+IF($Z$14='2. Customer Classes'!$B$8,+SUM('3. Consumption by Rate Class'!$J$112:$J$123),+IF($Z$14='2. Customer Classes'!$B$9,+SUM('3. Consumption by Rate Class'!$L$112:$L$123),+IF($Z$14='2. Customer Classes'!$B$10,+SUM('3. Consumption by Rate Class'!$O$112:$O$123),IF($Z$14='2. Customer Classes'!$B$11,+SUM('3. Consumption by Rate Class'!$R$112:$R$123),0)))))))</f>
        <v>0</v>
      </c>
      <c r="AB24" s="220">
        <f t="shared" si="11"/>
        <v>140022738.8160786</v>
      </c>
      <c r="AC24" s="220">
        <f t="shared" si="12"/>
        <v>139097908.02772683</v>
      </c>
      <c r="AD24" s="68">
        <f t="shared" si="13"/>
        <v>0</v>
      </c>
      <c r="AE24" s="220">
        <f t="shared" si="19"/>
        <v>0</v>
      </c>
      <c r="AF24" s="65" t="b">
        <f>IF($Z$14='2. Customer Classes'!$B$5,+AE24/'4. Customer Growth'!$C17,+IF($Z$14='2. Customer Classes'!$B$6,+AE24/'4. Customer Growth'!$E17,+IF($Z$14='2. Customer Classes'!$B$7,+AE24/'4. Customer Growth'!$G17,+IF($Z$14='2. Customer Classes'!$B$8,+AE24/'4. Customer Growth'!$I17,+IF($Z$14='2. Customer Classes'!$B$9,+AE24/'4. Customer Growth'!$K17,+IF($Z$14='2. Customer Classes'!$B$10,+AE24/'4. Customer Growth'!$M17,IF($Z$14='2. Customer Classes'!$B$11,+AE24/'4. Customer Growth'!$O17)))))))</f>
        <v>0</v>
      </c>
      <c r="AH24" s="173">
        <f t="shared" si="20"/>
        <v>2013</v>
      </c>
      <c r="AI24" s="65">
        <f>IF($AH$14='2. Customer Classes'!$B$5,+SUM('3. Consumption by Rate Class'!$D$112:$D$123),+IF($AH$14='2. Customer Classes'!$B$6,+SUM('3. Consumption by Rate Class'!$F$112:$F$123),+IF($AH$14='2. Customer Classes'!$B$7,+SUM('3. Consumption by Rate Class'!$H$112:$H$123),+IF($AH$14='2. Customer Classes'!$B$8,+SUM('3. Consumption by Rate Class'!$J$112:$J$123),+IF($AH$14='2. Customer Classes'!$B$9,+SUM('3. Consumption by Rate Class'!$L$112:$L$123),+IF($AH$14='2. Customer Classes'!$B$10,+SUM('3. Consumption by Rate Class'!$O$112:$O$123),IF($AH$14='2. Customer Classes'!$B$11,+SUM('3. Consumption by Rate Class'!$R$112:$R$123),0)))))))</f>
        <v>0</v>
      </c>
      <c r="AJ24" s="220">
        <f t="shared" si="14"/>
        <v>140022738.8160786</v>
      </c>
      <c r="AK24" s="220">
        <f t="shared" si="15"/>
        <v>139097908.02772683</v>
      </c>
      <c r="AL24" s="68">
        <f t="shared" si="16"/>
        <v>0</v>
      </c>
      <c r="AM24" s="220">
        <f t="shared" si="21"/>
        <v>0</v>
      </c>
      <c r="AN24" s="65" t="b">
        <f>IF($AH$14='2. Customer Classes'!$B$5,+AM24/'4. Customer Growth'!$C17,+IF($AH$14='2. Customer Classes'!$B$6,+AM24/'4. Customer Growth'!$E17,+IF($AH$14='2. Customer Classes'!$B$7,+AM24/'4. Customer Growth'!$G17,+IF($AH$14='2. Customer Classes'!$B$8,+AM24/'4. Customer Growth'!$I17,+IF($AH$14='2. Customer Classes'!$B$9,+AM24/'4. Customer Growth'!$K17,+IF($AH$14='2. Customer Classes'!$B$10,+AM24/'4. Customer Growth'!$M17,IF($AH$14='2. Customer Classes'!$B$11,+AM24/'4. Customer Growth'!$O17)))))))</f>
        <v>0</v>
      </c>
    </row>
    <row r="25" spans="2:40" x14ac:dyDescent="0.2">
      <c r="B25" s="173">
        <f>'4. Customer Growth'!B18</f>
        <v>2014</v>
      </c>
      <c r="C25" s="65">
        <f>IF($B$14='2. Customer Classes'!$B$5,+SUM('3. Consumption by Rate Class'!$D$124:$D$135),+IF($B$14='2. Customer Classes'!$B$6,+SUM('3. Consumption by Rate Class'!$F$124:$F$135),+IF($B$14='2. Customer Classes'!$B$7,+SUM('3. Consumption by Rate Class'!$H$124:$H$135),+IF($B$14='2. Customer Classes'!$B$8,+SUM('3. Consumption by Rate Class'!$J$124:$J$135),+IF($B$14='2. Customer Classes'!$B$9,+SUM('3. Consumption by Rate Class'!$L$124:$L$135),+IF($B$14='2. Customer Classes'!$B$10,+SUM('3. Consumption by Rate Class'!$O$124:$O$135),IF($B$14='2. Customer Classes'!$B$11,+SUM('3. Consumption by Rate Class'!$R$124:$R$135),0)))))))</f>
        <v>87611189.555966705</v>
      </c>
      <c r="D25" s="220">
        <f>SUM('6. WS Regression Analysis'!J118:J129)</f>
        <v>141256275.46223882</v>
      </c>
      <c r="E25" s="220">
        <f>SUM('6. WS Regression Analysis'!R118:R129)</f>
        <v>139896381.2156412</v>
      </c>
      <c r="F25" s="68">
        <f>C25/D25</f>
        <v>0.62022865369536995</v>
      </c>
      <c r="G25" s="220">
        <f>E25*F25</f>
        <v>86767744.178231388</v>
      </c>
      <c r="H25" s="986">
        <f>IF($B$14='2. Customer Classes'!$B$5,+G25/'4. Customer Growth'!$C18,+IF($B$14='2. Customer Classes'!$B$6,+G25/'4. Customer Growth'!$E18,+IF($B$14='2. Customer Classes'!$B$7,+G25/'4. Customer Growth'!$G18,+IF($B$14='2. Customer Classes'!$B$8,+G25/'4. Customer Growth'!$I18,+IF($B$14='2. Customer Classes'!$B$9,+G25/'4. Customer Growth'!$K18,+IF($B$14='2. Customer Classes'!$B$10,+G25/'4. Customer Growth'!$M18,IF($B$14='2. Customer Classes'!$B$11,+G25/'4. Customer Growth'!$O18)))))))</f>
        <v>7181.5712777877325</v>
      </c>
      <c r="I25" s="77"/>
      <c r="J25" s="173">
        <f t="shared" si="2"/>
        <v>2014</v>
      </c>
      <c r="K25" s="65">
        <f>IF($J$14='2. Customer Classes'!$B$5,+SUM('3. Consumption by Rate Class'!$D$124:$D$135),+IF($J$14='2. Customer Classes'!$B$6,+SUM('3. Consumption by Rate Class'!$F$124:$F$135),+IF($J$14='2. Customer Classes'!$B$7,+SUM('3. Consumption by Rate Class'!$H$124:$H$135),+IF($J$14='2. Customer Classes'!$B$8,+SUM('3. Consumption by Rate Class'!$J$124:$J$135),+IF($J$14='2. Customer Classes'!$B$9,+SUM('3. Consumption by Rate Class'!$L$124:$L$135),+IF($J$14='2. Customer Classes'!$B$10,+SUM('3. Consumption by Rate Class'!$O$124:$O$135),IF($J$14='2. Customer Classes'!$B$11,+SUM('3. Consumption by Rate Class'!$R$124:$R$135),0)))))))</f>
        <v>16552639.278445883</v>
      </c>
      <c r="L25" s="67">
        <f t="shared" si="3"/>
        <v>141256275.46223882</v>
      </c>
      <c r="M25" s="67">
        <f t="shared" si="4"/>
        <v>139896381.2156412</v>
      </c>
      <c r="N25" s="68">
        <f>K25/L25</f>
        <v>0.11718162059901402</v>
      </c>
      <c r="O25" s="67">
        <f t="shared" si="6"/>
        <v>16393284.666786298</v>
      </c>
      <c r="P25" s="65">
        <f>IF($J$14='2. Customer Classes'!$B$5,+O25/'4. Customer Growth'!$C18,+IF($J$14='2. Customer Classes'!$B$6,+O25/'4. Customer Growth'!$E18,+IF($J$14='2. Customer Classes'!$B$7,+O25/'4. Customer Growth'!$G18,+IF($J$14='2. Customer Classes'!$B$8,+O25/'4. Customer Growth'!$I18,+IF($J$14='2. Customer Classes'!$B$9,+O25/'4. Customer Growth'!$K18,+IF($J$14='2. Customer Classes'!$B$10,+O25/'4. Customer Growth'!$M18,IF($J$14='2. Customer Classes'!$B$11,+O25/'4. Customer Growth'!$O18)))))))</f>
        <v>20936.50659870536</v>
      </c>
      <c r="Q25" s="77"/>
      <c r="R25" s="173">
        <f t="shared" si="7"/>
        <v>2014</v>
      </c>
      <c r="S25" s="65">
        <f>IF($R$14='2. Customer Classes'!$B$5,+SUM('3. Consumption by Rate Class'!$D$124:$D$135),+IF($R$14='2. Customer Classes'!$B$6,+SUM('3. Consumption by Rate Class'!$F$124:$F$135),+IF($R$14='2. Customer Classes'!$B$7,+SUM('3. Consumption by Rate Class'!$H$124:$H$135),+IF($R$14='2. Customer Classes'!$B$8,+SUM('3. Consumption by Rate Class'!$J$124:$J$135),+IF($R$14='2. Customer Classes'!$B$9,+SUM('3. Consumption by Rate Class'!$L$124:$L$135),+IF($R$14='2. Customer Classes'!$B$10,+SUM('3. Consumption by Rate Class'!$O$124:$O$135),IF($R$14='2. Customer Classes'!$B$11,+SUM('3. Consumption by Rate Class'!$R$124:$R$135),0)))))))</f>
        <v>250495.81036077708</v>
      </c>
      <c r="T25" s="220">
        <f t="shared" si="8"/>
        <v>141256275.46223882</v>
      </c>
      <c r="U25" s="220">
        <f t="shared" si="9"/>
        <v>139896381.2156412</v>
      </c>
      <c r="V25" s="68">
        <f>S25/T25</f>
        <v>1.7733428801026301E-3</v>
      </c>
      <c r="W25" s="220">
        <f t="shared" si="18"/>
        <v>248084.25158088063</v>
      </c>
      <c r="X25" s="986">
        <f>IF($R$14='2. Customer Classes'!$B$5,+W25/'4. Customer Growth'!$C18,+IF($R$14='2. Customer Classes'!$B$6,+W25/'4. Customer Growth'!$E18,+IF($R$14='2. Customer Classes'!$B$7,+W25/'4. Customer Growth'!$G18,+IF($R$14='2. Customer Classes'!$B$8,+W25/'4. Customer Growth'!$I18,+IF($R$14='2. Customer Classes'!$B$9,+W25/'4. Customer Growth'!$K18,+IF($R$14='2. Customer Classes'!$B$10,+W25/'4. Customer Growth'!$M18,IF($R$14='2. Customer Classes'!$B$11,+W25/'4. Customer Growth'!$O18)))))))</f>
        <v>6050.8354044117232</v>
      </c>
      <c r="Z25" s="173">
        <f t="shared" si="10"/>
        <v>2014</v>
      </c>
      <c r="AA25" s="65">
        <f>IF($Z$14='2. Customer Classes'!$B$5,+SUM('3. Consumption by Rate Class'!$D$124:$D$135),+IF($Z$14='2. Customer Classes'!$B$6,+SUM('3. Consumption by Rate Class'!$F$124:$F$135),+IF($Z$14='2. Customer Classes'!$B$7,+SUM('3. Consumption by Rate Class'!$H$124:$H$135),+IF($Z$14='2. Customer Classes'!$B$8,+SUM('3. Consumption by Rate Class'!$J$124:$J$135),+IF($Z$14='2. Customer Classes'!$B$9,+SUM('3. Consumption by Rate Class'!$L$124:$L$135),+IF($Z$14='2. Customer Classes'!$B$10,+SUM('3. Consumption by Rate Class'!$O$124:$O$135),IF($Z$14='2. Customer Classes'!$B$11,+SUM('3. Consumption by Rate Class'!$R$124:$R$135),0)))))))</f>
        <v>0</v>
      </c>
      <c r="AB25" s="220">
        <f t="shared" si="11"/>
        <v>141256275.46223882</v>
      </c>
      <c r="AC25" s="220">
        <f t="shared" si="12"/>
        <v>139896381.2156412</v>
      </c>
      <c r="AD25" s="68">
        <f t="shared" si="13"/>
        <v>0</v>
      </c>
      <c r="AE25" s="220">
        <f t="shared" si="19"/>
        <v>0</v>
      </c>
      <c r="AF25" s="65" t="b">
        <f>IF($Z$14='2. Customer Classes'!$B$5,+AE25/'4. Customer Growth'!$C18,+IF($Z$14='2. Customer Classes'!$B$6,+AE25/'4. Customer Growth'!$E18,+IF($Z$14='2. Customer Classes'!$B$7,+AE25/'4. Customer Growth'!$G18,+IF($Z$14='2. Customer Classes'!$B$8,+AE25/'4. Customer Growth'!$I18,+IF($Z$14='2. Customer Classes'!$B$9,+AE25/'4. Customer Growth'!$K18,+IF($Z$14='2. Customer Classes'!$B$10,+AE25/'4. Customer Growth'!$M18,IF($Z$14='2. Customer Classes'!$B$11,+AE25/'4. Customer Growth'!$O18)))))))</f>
        <v>0</v>
      </c>
      <c r="AH25" s="173">
        <f t="shared" si="20"/>
        <v>2014</v>
      </c>
      <c r="AI25" s="65">
        <f>IF($AH$14='2. Customer Classes'!$B$5,+SUM('3. Consumption by Rate Class'!$D$124:$D$135),+IF($AH$14='2. Customer Classes'!$B$6,+SUM('3. Consumption by Rate Class'!$F$124:$F$135),+IF($AH$14='2. Customer Classes'!$B$7,+SUM('3. Consumption by Rate Class'!$H$124:$H$135),+IF($AH$14='2. Customer Classes'!$B$8,+SUM('3. Consumption by Rate Class'!$J$124:$J$135),+IF($AH$14='2. Customer Classes'!$B$9,+SUM('3. Consumption by Rate Class'!$L$124:$L$135),+IF($AH$14='2. Customer Classes'!$B$10,+SUM('3. Consumption by Rate Class'!$O$124:$O$135),IF($AH$14='2. Customer Classes'!$B$11,+SUM('3. Consumption by Rate Class'!$R$124:$R$135),0)))))))</f>
        <v>0</v>
      </c>
      <c r="AJ25" s="220">
        <f t="shared" si="14"/>
        <v>141256275.46223882</v>
      </c>
      <c r="AK25" s="220">
        <f t="shared" si="15"/>
        <v>139896381.2156412</v>
      </c>
      <c r="AL25" s="68">
        <f t="shared" si="16"/>
        <v>0</v>
      </c>
      <c r="AM25" s="220">
        <f t="shared" si="21"/>
        <v>0</v>
      </c>
      <c r="AN25" s="65" t="b">
        <f>IF($AH$14='2. Customer Classes'!$B$5,+AM25/'4. Customer Growth'!$C18,+IF($AH$14='2. Customer Classes'!$B$6,+AM25/'4. Customer Growth'!$E18,+IF($AH$14='2. Customer Classes'!$B$7,+AM25/'4. Customer Growth'!$G18,+IF($AH$14='2. Customer Classes'!$B$8,+AM25/'4. Customer Growth'!$I18,+IF($AH$14='2. Customer Classes'!$B$9,+AM25/'4. Customer Growth'!$K18,+IF($AH$14='2. Customer Classes'!$B$10,+AM25/'4. Customer Growth'!$M18,IF($AH$14='2. Customer Classes'!$B$11,+AM25/'4. Customer Growth'!$O18)))))))</f>
        <v>0</v>
      </c>
    </row>
    <row r="26" spans="2:40" ht="14.25" customHeight="1" x14ac:dyDescent="0.2">
      <c r="B26" s="174" t="str">
        <f>'4. Customer Growth'!B22</f>
        <v>2015</v>
      </c>
      <c r="C26" s="70"/>
      <c r="D26" s="70"/>
      <c r="E26" s="979">
        <f>SUM('6. WS Regression Analysis'!R130:R141)</f>
        <v>141872714.09228328</v>
      </c>
      <c r="F26" s="71"/>
      <c r="G26" s="979">
        <f>'7.2. Weather Sensitive'!D15</f>
        <v>89941440.885840833</v>
      </c>
      <c r="H26" s="986">
        <f>IF($B$14='2. Customer Classes'!$B$5,+G26/'4. Customer Growth'!$C34,+IF($B$14='2. Customer Classes'!$B$6,+G26/'4. Customer Growth'!$E34,+IF($B$14='2. Customer Classes'!$B$7,+G26/'4. Customer Growth'!$G34,+IF($B$14='2. Customer Classes'!$B$8,+G26/'4. Customer Growth'!$I34,+IF($B$14='2. Customer Classes'!$B$9,+G26/'4. Customer Growth'!$K34,+IF($B$14='2. Customer Classes'!$B$10,+G26/'4. Customer Growth'!$M34,IF($B$14='2. Customer Classes'!$B$11,+G26/'4. Customer Growth'!$O34)))))))</f>
        <v>7331.9834422304421</v>
      </c>
      <c r="I26" s="77"/>
      <c r="J26" s="174" t="str">
        <f t="shared" si="2"/>
        <v>2015</v>
      </c>
      <c r="K26" s="70"/>
      <c r="L26" s="70"/>
      <c r="M26" s="157">
        <f>E26</f>
        <v>141872714.09228328</v>
      </c>
      <c r="N26" s="71"/>
      <c r="O26" s="157">
        <f>'7.2. Weather Sensitive'!E15</f>
        <v>17745457.151925799</v>
      </c>
      <c r="P26" s="65">
        <f>IF($J$14='2. Customer Classes'!$B$5,+O26/'4. Customer Growth'!$C34,+IF($J$14='2. Customer Classes'!$B$6,+O26/'4. Customer Growth'!$E34,+IF($J$14='2. Customer Classes'!$B$7,+O26/'4. Customer Growth'!$G34,+IF($J$14='2. Customer Classes'!$B$8,+O26/'4. Customer Growth'!$I34,+IF($J$14='2. Customer Classes'!$B$9,+O26/'4. Customer Growth'!$K34,+IF($J$14='2. Customer Classes'!$B$10,+O26/'4. Customer Growth'!$M34,IF($J$14='2. Customer Classes'!$B$11,+O26/'4. Customer Growth'!$O34)))))))</f>
        <v>22576.917496088801</v>
      </c>
      <c r="Q26" s="77"/>
      <c r="R26" s="174" t="str">
        <f t="shared" si="7"/>
        <v>2015</v>
      </c>
      <c r="S26" s="70"/>
      <c r="T26" s="70"/>
      <c r="U26" s="979">
        <f>M26</f>
        <v>141872714.09228328</v>
      </c>
      <c r="V26" s="71"/>
      <c r="W26" s="979">
        <f>'7.2. Weather Sensitive'!F15</f>
        <v>232410.61456023974</v>
      </c>
      <c r="X26" s="986">
        <f>IF($R$14='2. Customer Classes'!$B$5,+W26/'4. Customer Growth'!$C34,+IF($R$14='2. Customer Classes'!$B$6,+W26/'4. Customer Growth'!$E34,+IF($R$14='2. Customer Classes'!$B$7,+W26/'4. Customer Growth'!$G34,+IF($R$14='2. Customer Classes'!$B$8,+W26/'4. Customer Growth'!$I34,+IF($R$14='2. Customer Classes'!$B$9,+W26/'4. Customer Growth'!$K34,+IF($R$14='2. Customer Classes'!$B$10,+W26/'4. Customer Growth'!$M34,IF($R$14='2. Customer Classes'!$B$11,+W26/'4. Customer Growth'!$O34)))))))</f>
        <v>5810.2653640059934</v>
      </c>
      <c r="Z26" s="174" t="str">
        <f t="shared" si="10"/>
        <v>2015</v>
      </c>
      <c r="AA26" s="70"/>
      <c r="AB26" s="70"/>
      <c r="AC26" s="296">
        <f>U26</f>
        <v>141872714.09228328</v>
      </c>
      <c r="AD26" s="71">
        <f>AD25</f>
        <v>0</v>
      </c>
      <c r="AE26" s="296">
        <f>AC26*AD26</f>
        <v>0</v>
      </c>
      <c r="AF26" s="65" t="b">
        <f>IF($Z$14='2. Customer Classes'!$B$5,+AE26/'4. Customer Growth'!$C34,+IF($Z$14='2. Customer Classes'!$B$6,+AE26/'4. Customer Growth'!$E34,+IF($Z$14='2. Customer Classes'!$B$7,+AE26/'4. Customer Growth'!$G34,+IF($Z$14='2. Customer Classes'!$B$8,+AE26/'4. Customer Growth'!$I34,+IF($Z$14='2. Customer Classes'!$B$9,+AE26/'4. Customer Growth'!$K34,+IF($Z$14='2. Customer Classes'!$B$10,+AE26/'4. Customer Growth'!$M34,IF($Z$14='2. Customer Classes'!$B$11,+AE26/'4. Customer Growth'!$O34)))))))</f>
        <v>0</v>
      </c>
      <c r="AH26" s="174" t="str">
        <f t="shared" si="20"/>
        <v>2015</v>
      </c>
      <c r="AI26" s="70"/>
      <c r="AJ26" s="70"/>
      <c r="AK26" s="296">
        <f>AC26</f>
        <v>141872714.09228328</v>
      </c>
      <c r="AL26" s="71">
        <f>AL25</f>
        <v>0</v>
      </c>
      <c r="AM26" s="296">
        <f>AK26*AL26</f>
        <v>0</v>
      </c>
      <c r="AN26" s="65" t="b">
        <f>IF($AH$14='2. Customer Classes'!$B$5,+AM26/'4. Customer Growth'!$C34,+IF($AH$14='2. Customer Classes'!$B$6,+AM26/'4. Customer Growth'!$E34,+IF($AH$14='2. Customer Classes'!$B$7,+AM26/'4. Customer Growth'!$G34,+IF($AH$14='2. Customer Classes'!$B$8,+AM26/'4. Customer Growth'!$I34,+IF($AH$14='2. Customer Classes'!$B$9,+AM26/'4. Customer Growth'!$K34,+IF($AH$14='2. Customer Classes'!$B$10,+AM26/'4. Customer Growth'!$M34,IF($AH$14='2. Customer Classes'!$B$11,+AM26/'4. Customer Growth'!$O34)))))))</f>
        <v>0</v>
      </c>
    </row>
    <row r="27" spans="2:40" ht="14.25" customHeight="1" thickBot="1" x14ac:dyDescent="0.25">
      <c r="B27" s="175" t="str">
        <f>'4. Customer Growth'!B23</f>
        <v>2016</v>
      </c>
      <c r="C27" s="72"/>
      <c r="D27" s="72"/>
      <c r="E27" s="977">
        <f>SUM('6. WS Regression Analysis'!R142:R153)</f>
        <v>143022343.84272504</v>
      </c>
      <c r="F27" s="73"/>
      <c r="G27" s="977">
        <f>'7.2. Weather Sensitive'!D16</f>
        <v>90565097.962379649</v>
      </c>
      <c r="H27" s="986">
        <f>IF($B$14='2. Customer Classes'!$B$5,+G27/'4. Customer Growth'!$C35,+IF($B$14='2. Customer Classes'!$B$6,+G27/'4. Customer Growth'!$E35,+IF($B$14='2. Customer Classes'!$B$7,+G27/'4. Customer Growth'!$G35,+IF($B$14='2. Customer Classes'!$B$8,+G27/'4. Customer Growth'!$I35,+IF($B$14='2. Customer Classes'!$B$9,+G27/'4. Customer Growth'!$K35,+IF($B$14='2. Customer Classes'!$B$10,+G27/'4. Customer Growth'!$M35,IF($B$14='2. Customer Classes'!$B$11,+G27/'4. Customer Growth'!$O35)))))))</f>
        <v>7261.5556901769996</v>
      </c>
      <c r="I27" s="77"/>
      <c r="J27" s="175" t="str">
        <f t="shared" si="2"/>
        <v>2016</v>
      </c>
      <c r="K27" s="72"/>
      <c r="L27" s="72"/>
      <c r="M27" s="158">
        <f>E27</f>
        <v>143022343.84272504</v>
      </c>
      <c r="N27" s="73"/>
      <c r="O27" s="158">
        <f>'7.2. Weather Sensitive'!E16</f>
        <v>18032738.374179009</v>
      </c>
      <c r="P27" s="65">
        <f>IF($J$14='2. Customer Classes'!$B$5,+O27/'4. Customer Growth'!$C35,+IF($J$14='2. Customer Classes'!$B$6,+O27/'4. Customer Growth'!$E35,+IF($J$14='2. Customer Classes'!$B$7,+O27/'4. Customer Growth'!$G35,+IF($J$14='2. Customer Classes'!$B$8,+O27/'4. Customer Growth'!$I35,+IF($J$14='2. Customer Classes'!$B$9,+O27/'4. Customer Growth'!$K35,+IF($J$14='2. Customer Classes'!$B$10,+O27/'4. Customer Growth'!$M35,IF($J$14='2. Customer Classes'!$B$11,+O27/'4. Customer Growth'!$O35)))))))</f>
        <v>22855.181716323204</v>
      </c>
      <c r="Q27" s="77"/>
      <c r="R27" s="175" t="str">
        <f t="shared" si="7"/>
        <v>2016</v>
      </c>
      <c r="S27" s="72"/>
      <c r="T27" s="72"/>
      <c r="U27" s="977">
        <f>M27</f>
        <v>143022343.84272504</v>
      </c>
      <c r="V27" s="73"/>
      <c r="W27" s="977">
        <f>'7.2. Weather Sensitive'!F16</f>
        <v>221021.90461603086</v>
      </c>
      <c r="X27" s="985">
        <f>IF($R$14='2. Customer Classes'!$B$5,+W27/'4. Customer Growth'!$C35,+IF($R$14='2. Customer Classes'!$B$6,+W27/'4. Customer Growth'!$E35,+IF($R$14='2. Customer Classes'!$B$7,+W27/'4. Customer Growth'!$G35,+IF($R$14='2. Customer Classes'!$B$8,+W27/'4. Customer Growth'!$I35,+IF($R$14='2. Customer Classes'!$B$9,+W27/'4. Customer Growth'!$K35,+IF($R$14='2. Customer Classes'!$B$10,+W27/'4. Customer Growth'!$M35,IF($R$14='2. Customer Classes'!$B$11,+W27/'4. Customer Growth'!$O35)))))))</f>
        <v>5525.547615400772</v>
      </c>
      <c r="Z27" s="174" t="str">
        <f t="shared" si="10"/>
        <v>2016</v>
      </c>
      <c r="AA27" s="72"/>
      <c r="AB27" s="72"/>
      <c r="AC27" s="295">
        <f>U27</f>
        <v>143022343.84272504</v>
      </c>
      <c r="AD27" s="73">
        <f>AD26</f>
        <v>0</v>
      </c>
      <c r="AE27" s="295">
        <f>AC27*AD27</f>
        <v>0</v>
      </c>
      <c r="AF27" s="65" t="b">
        <f>IF($Z$14='2. Customer Classes'!$B$5,+AE27/'4. Customer Growth'!$C35,+IF($Z$14='2. Customer Classes'!$B$6,+AE27/'4. Customer Growth'!$E35,+IF($Z$14='2. Customer Classes'!$B$7,+AE27/'4. Customer Growth'!$G35,+IF($Z$14='2. Customer Classes'!$B$8,+AE27/'4. Customer Growth'!$I35,+IF($Z$14='2. Customer Classes'!$B$9,+AE27/'4. Customer Growth'!$K35,+IF($Z$14='2. Customer Classes'!$B$10,+AE27/'4. Customer Growth'!$M35,IF($Z$14='2. Customer Classes'!$B$11,+AE27/'4. Customer Growth'!$O35)))))))</f>
        <v>0</v>
      </c>
      <c r="AH27" s="174" t="str">
        <f t="shared" si="20"/>
        <v>2016</v>
      </c>
      <c r="AI27" s="72"/>
      <c r="AJ27" s="72"/>
      <c r="AK27" s="295">
        <f>AC27</f>
        <v>143022343.84272504</v>
      </c>
      <c r="AL27" s="73">
        <f>AL26</f>
        <v>0</v>
      </c>
      <c r="AM27" s="295">
        <f>AK27*AL27</f>
        <v>0</v>
      </c>
      <c r="AN27" s="65" t="b">
        <f>IF($AH$14='2. Customer Classes'!$B$5,+AM27/'4. Customer Growth'!$C35,+IF($AH$14='2. Customer Classes'!$B$6,+AM27/'4. Customer Growth'!$E35,+IF($AH$14='2. Customer Classes'!$B$7,+AM27/'4. Customer Growth'!$G35,+IF($AH$14='2. Customer Classes'!$B$8,+AM27/'4. Customer Growth'!$I35,+IF($AH$14='2. Customer Classes'!$B$9,+AM27/'4. Customer Growth'!$K35,+IF($AH$14='2. Customer Classes'!$B$10,+AM27/'4. Customer Growth'!$M35,IF($AH$14='2. Customer Classes'!$B$11,+AM27/'4. Customer Growth'!$O35)))))))</f>
        <v>0</v>
      </c>
    </row>
    <row r="28" spans="2:40" ht="13.5" customHeight="1" x14ac:dyDescent="0.2">
      <c r="B28" s="1361" t="s">
        <v>148</v>
      </c>
      <c r="C28" s="1361"/>
      <c r="D28" s="1361"/>
      <c r="E28" s="1361"/>
      <c r="F28" s="1361"/>
      <c r="G28" s="1361"/>
      <c r="H28" s="1361"/>
      <c r="I28" s="31"/>
      <c r="J28" s="1361" t="s">
        <v>148</v>
      </c>
      <c r="K28" s="1361"/>
      <c r="L28" s="1361"/>
      <c r="M28" s="1361"/>
      <c r="N28" s="1361"/>
      <c r="O28" s="1361"/>
      <c r="P28" s="1361"/>
      <c r="R28" s="1361" t="s">
        <v>148</v>
      </c>
      <c r="S28" s="1361"/>
      <c r="T28" s="1361"/>
      <c r="U28" s="1361"/>
      <c r="V28" s="1361"/>
      <c r="W28" s="1361"/>
      <c r="X28" s="1361"/>
      <c r="Z28" s="1361" t="s">
        <v>148</v>
      </c>
      <c r="AA28" s="1361"/>
      <c r="AB28" s="1361"/>
      <c r="AC28" s="1361"/>
      <c r="AD28" s="1361"/>
      <c r="AE28" s="1361"/>
      <c r="AF28" s="1361"/>
      <c r="AH28" s="1361" t="s">
        <v>148</v>
      </c>
      <c r="AI28" s="1361"/>
      <c r="AJ28" s="1361"/>
      <c r="AK28" s="1361"/>
      <c r="AL28" s="1361"/>
      <c r="AM28" s="1361"/>
      <c r="AN28" s="1361"/>
    </row>
    <row r="29" spans="2:40" x14ac:dyDescent="0.2">
      <c r="B29" s="142"/>
      <c r="C29" s="142"/>
      <c r="D29" s="142"/>
      <c r="E29" s="143"/>
      <c r="F29" s="144"/>
      <c r="G29" s="145"/>
      <c r="H29" s="147"/>
      <c r="I29" s="31"/>
      <c r="J29" s="146"/>
      <c r="K29" s="146"/>
      <c r="L29" s="146"/>
      <c r="M29" s="146"/>
      <c r="N29" s="146"/>
      <c r="O29" s="145"/>
      <c r="P29" s="146"/>
      <c r="R29" s="146"/>
      <c r="S29" s="146"/>
      <c r="T29" s="146"/>
      <c r="U29" s="146"/>
      <c r="V29" s="146"/>
      <c r="W29" s="145"/>
      <c r="X29" s="146"/>
      <c r="Z29" s="146"/>
      <c r="AA29" s="146"/>
      <c r="AB29" s="146"/>
      <c r="AC29" s="146"/>
      <c r="AD29" s="146"/>
      <c r="AE29" s="145"/>
      <c r="AF29" s="146"/>
      <c r="AH29" s="146"/>
      <c r="AI29" s="146"/>
      <c r="AJ29" s="146"/>
      <c r="AK29" s="146"/>
      <c r="AL29" s="146"/>
      <c r="AM29" s="145"/>
      <c r="AN29" s="146"/>
    </row>
    <row r="30" spans="2:40" x14ac:dyDescent="0.2">
      <c r="B30" s="142"/>
      <c r="C30" s="142"/>
      <c r="D30" s="142"/>
      <c r="E30" s="143"/>
      <c r="F30" s="144"/>
      <c r="G30" s="145"/>
      <c r="H30" s="147"/>
      <c r="I30" s="31"/>
      <c r="J30" s="146"/>
      <c r="K30" s="146"/>
      <c r="L30" s="146"/>
      <c r="M30" s="146"/>
      <c r="N30" s="146"/>
      <c r="O30" s="145"/>
      <c r="P30" s="146"/>
      <c r="R30" s="146"/>
      <c r="S30" s="146"/>
      <c r="T30" s="146"/>
      <c r="U30" s="146"/>
      <c r="V30" s="146"/>
      <c r="W30" s="145"/>
      <c r="X30" s="146"/>
      <c r="Z30" s="146"/>
      <c r="AA30" s="146"/>
      <c r="AB30" s="146"/>
      <c r="AC30" s="146"/>
      <c r="AD30" s="146"/>
      <c r="AE30" s="145"/>
      <c r="AF30" s="146"/>
      <c r="AH30" s="146"/>
      <c r="AI30" s="146"/>
      <c r="AJ30" s="146"/>
      <c r="AK30" s="146"/>
      <c r="AL30" s="146"/>
      <c r="AM30" s="145"/>
      <c r="AN30" s="146"/>
    </row>
    <row r="31" spans="2:40" x14ac:dyDescent="0.2">
      <c r="B31" s="142"/>
      <c r="C31" s="142"/>
      <c r="D31" s="142"/>
      <c r="E31" s="143"/>
      <c r="F31" s="144"/>
      <c r="G31" s="145"/>
      <c r="H31" s="147"/>
      <c r="I31" s="31"/>
      <c r="J31" s="146"/>
      <c r="K31" s="146"/>
      <c r="L31" s="146"/>
      <c r="M31" s="146"/>
      <c r="N31" s="146"/>
      <c r="O31" s="145"/>
      <c r="P31" s="146"/>
      <c r="R31" s="146"/>
      <c r="S31" s="146"/>
      <c r="T31" s="146"/>
      <c r="U31" s="146"/>
      <c r="V31" s="146"/>
      <c r="W31" s="145"/>
      <c r="X31" s="146"/>
      <c r="Z31" s="146"/>
      <c r="AA31" s="146"/>
      <c r="AB31" s="146"/>
      <c r="AC31" s="146"/>
      <c r="AD31" s="146"/>
      <c r="AE31" s="145"/>
      <c r="AF31" s="146"/>
      <c r="AH31" s="146"/>
      <c r="AI31" s="146"/>
      <c r="AJ31" s="146"/>
      <c r="AK31" s="146"/>
      <c r="AL31" s="146"/>
      <c r="AM31" s="145"/>
      <c r="AN31" s="146"/>
    </row>
    <row r="32" spans="2:40" x14ac:dyDescent="0.2">
      <c r="B32" s="142"/>
      <c r="C32" s="142"/>
      <c r="D32" s="142"/>
      <c r="E32" s="143"/>
      <c r="F32" s="144"/>
      <c r="G32" s="145"/>
      <c r="H32" s="147"/>
      <c r="I32" s="31"/>
      <c r="J32" s="146"/>
      <c r="K32" s="146"/>
      <c r="L32" s="146"/>
      <c r="M32" s="146"/>
      <c r="N32" s="146"/>
      <c r="O32" s="145"/>
      <c r="P32" s="146"/>
      <c r="R32" s="146"/>
      <c r="S32" s="146"/>
      <c r="T32" s="146"/>
      <c r="U32" s="146"/>
      <c r="V32" s="146"/>
      <c r="W32" s="145"/>
      <c r="X32" s="146"/>
      <c r="Z32" s="146"/>
      <c r="AA32" s="146"/>
      <c r="AB32" s="146"/>
      <c r="AC32" s="146"/>
      <c r="AD32" s="146"/>
      <c r="AE32" s="145"/>
      <c r="AF32" s="146"/>
      <c r="AH32" s="146"/>
      <c r="AI32" s="146"/>
      <c r="AJ32" s="146"/>
      <c r="AK32" s="146"/>
      <c r="AL32" s="146"/>
      <c r="AM32" s="145"/>
      <c r="AN32" s="146"/>
    </row>
    <row r="33" spans="2:40" ht="15" x14ac:dyDescent="0.2">
      <c r="B33" s="1362" t="s">
        <v>176</v>
      </c>
      <c r="C33" s="1362"/>
      <c r="D33" s="1362"/>
      <c r="E33" s="1362"/>
      <c r="F33" s="1362"/>
      <c r="G33" s="1362"/>
      <c r="H33" s="1362"/>
      <c r="I33" s="77"/>
      <c r="J33" s="1362" t="s">
        <v>176</v>
      </c>
      <c r="K33" s="1362"/>
      <c r="L33" s="1362"/>
      <c r="M33" s="1362"/>
      <c r="N33" s="1362"/>
      <c r="O33" s="1362"/>
      <c r="P33" s="1362"/>
      <c r="Q33" s="77"/>
      <c r="R33" s="1362" t="s">
        <v>176</v>
      </c>
      <c r="S33" s="1362"/>
      <c r="T33" s="1362"/>
      <c r="U33" s="1362"/>
      <c r="V33" s="1362"/>
      <c r="W33" s="1362"/>
      <c r="X33" s="1362"/>
      <c r="Z33" s="1362" t="s">
        <v>176</v>
      </c>
      <c r="AA33" s="1362"/>
      <c r="AB33" s="1362"/>
      <c r="AC33" s="1362"/>
      <c r="AD33" s="1362"/>
      <c r="AE33" s="1362"/>
      <c r="AF33" s="1362"/>
      <c r="AH33" s="1362" t="s">
        <v>176</v>
      </c>
      <c r="AI33" s="1362"/>
      <c r="AJ33" s="1362"/>
      <c r="AK33" s="1362"/>
      <c r="AL33" s="1362"/>
      <c r="AM33" s="1362"/>
      <c r="AN33" s="1362"/>
    </row>
    <row r="34" spans="2:40" ht="13.5" thickBot="1" x14ac:dyDescent="0.25">
      <c r="B34" s="74"/>
      <c r="C34" s="75"/>
      <c r="D34" s="75"/>
      <c r="E34" s="75"/>
      <c r="F34" s="75"/>
      <c r="G34" s="75"/>
      <c r="H34" s="77"/>
      <c r="I34" s="77"/>
      <c r="J34" s="74"/>
      <c r="K34" s="75"/>
      <c r="L34" s="75"/>
      <c r="M34" s="75"/>
      <c r="N34" s="75"/>
      <c r="O34" s="75"/>
      <c r="P34" s="77"/>
      <c r="Q34" s="77"/>
      <c r="R34" s="74"/>
      <c r="S34" s="75"/>
      <c r="T34" s="75"/>
      <c r="U34" s="75"/>
      <c r="V34" s="75"/>
      <c r="W34" s="75"/>
      <c r="X34" s="77"/>
      <c r="Z34" s="74"/>
      <c r="AA34" s="75"/>
      <c r="AB34" s="75"/>
      <c r="AC34" s="75"/>
      <c r="AD34" s="75"/>
      <c r="AE34" s="75"/>
      <c r="AF34" s="77"/>
      <c r="AH34" s="74"/>
      <c r="AI34" s="75"/>
      <c r="AJ34" s="75"/>
      <c r="AK34" s="75"/>
      <c r="AL34" s="75"/>
      <c r="AM34" s="75"/>
      <c r="AN34" s="77"/>
    </row>
    <row r="35" spans="2:40" ht="14.25" customHeight="1" thickBot="1" x14ac:dyDescent="0.25">
      <c r="B35" s="1363" t="str">
        <f>B14</f>
        <v>Residential</v>
      </c>
      <c r="C35" s="1364"/>
      <c r="D35" s="1364"/>
      <c r="E35" s="1364"/>
      <c r="F35" s="1364"/>
      <c r="G35" s="1364"/>
      <c r="H35" s="1365"/>
      <c r="I35" s="139"/>
      <c r="J35" s="1363" t="str">
        <f>J14</f>
        <v>General Service &lt; 50 kW</v>
      </c>
      <c r="K35" s="1364"/>
      <c r="L35" s="1364"/>
      <c r="M35" s="1364"/>
      <c r="N35" s="1364"/>
      <c r="O35" s="1364"/>
      <c r="P35" s="1365"/>
      <c r="Q35" s="139"/>
      <c r="R35" s="1363" t="str">
        <f>R14</f>
        <v>Unmetered Scattered Load</v>
      </c>
      <c r="S35" s="1364"/>
      <c r="T35" s="1364"/>
      <c r="U35" s="1364"/>
      <c r="V35" s="1364"/>
      <c r="W35" s="1364"/>
      <c r="X35" s="1365"/>
      <c r="Z35" s="1363" t="str">
        <f>Z14</f>
        <v>N/A</v>
      </c>
      <c r="AA35" s="1364"/>
      <c r="AB35" s="1364"/>
      <c r="AC35" s="1364"/>
      <c r="AD35" s="1364"/>
      <c r="AE35" s="1364"/>
      <c r="AF35" s="1365"/>
      <c r="AH35" s="1363" t="str">
        <f>AH14</f>
        <v>N/A</v>
      </c>
      <c r="AI35" s="1364"/>
      <c r="AJ35" s="1364"/>
      <c r="AK35" s="1364"/>
      <c r="AL35" s="1364"/>
      <c r="AM35" s="1364"/>
      <c r="AN35" s="1365"/>
    </row>
    <row r="36" spans="2:40" ht="42" customHeight="1" x14ac:dyDescent="0.2">
      <c r="B36" s="64" t="s">
        <v>33</v>
      </c>
      <c r="C36" s="978" t="s">
        <v>40</v>
      </c>
      <c r="D36" s="1375" t="s">
        <v>155</v>
      </c>
      <c r="E36" s="1375"/>
      <c r="F36" s="1380" t="s">
        <v>39</v>
      </c>
      <c r="G36" s="1381"/>
      <c r="H36" s="76" t="s">
        <v>16</v>
      </c>
      <c r="I36" s="140"/>
      <c r="J36" s="64" t="s">
        <v>33</v>
      </c>
      <c r="K36" s="298" t="s">
        <v>40</v>
      </c>
      <c r="L36" s="1375" t="s">
        <v>155</v>
      </c>
      <c r="M36" s="1375"/>
      <c r="N36" s="1376" t="s">
        <v>39</v>
      </c>
      <c r="O36" s="1377"/>
      <c r="P36" s="76" t="s">
        <v>16</v>
      </c>
      <c r="Q36" s="140"/>
      <c r="R36" s="64" t="s">
        <v>33</v>
      </c>
      <c r="S36" s="298" t="s">
        <v>40</v>
      </c>
      <c r="T36" s="1375" t="s">
        <v>155</v>
      </c>
      <c r="U36" s="1375"/>
      <c r="V36" s="1376" t="s">
        <v>39</v>
      </c>
      <c r="W36" s="1377"/>
      <c r="X36" s="76" t="s">
        <v>16</v>
      </c>
      <c r="Z36" s="64" t="s">
        <v>33</v>
      </c>
      <c r="AA36" s="298" t="s">
        <v>40</v>
      </c>
      <c r="AB36" s="1375" t="s">
        <v>155</v>
      </c>
      <c r="AC36" s="1375"/>
      <c r="AD36" s="1376" t="s">
        <v>39</v>
      </c>
      <c r="AE36" s="1377"/>
      <c r="AF36" s="76" t="s">
        <v>16</v>
      </c>
      <c r="AH36" s="399" t="s">
        <v>33</v>
      </c>
      <c r="AI36" s="400" t="s">
        <v>40</v>
      </c>
      <c r="AJ36" s="1366" t="s">
        <v>155</v>
      </c>
      <c r="AK36" s="1366"/>
      <c r="AL36" s="1367" t="s">
        <v>39</v>
      </c>
      <c r="AM36" s="1368"/>
      <c r="AN36" s="378" t="s">
        <v>16</v>
      </c>
    </row>
    <row r="37" spans="2:40" x14ac:dyDescent="0.2">
      <c r="B37" s="176" t="str">
        <f>B26</f>
        <v>2015</v>
      </c>
      <c r="C37" s="65">
        <f>IF($B$14='2. Customer Classes'!$B$5,+('4. Customer Growth'!$C$34-'4. Customer Growth'!$C$18),+IF($B$14='2. Customer Classes'!$B$6,+('4. Customer Growth'!$E$34-'4. Customer Growth'!$E$18),+IF($B$14='2. Customer Classes'!$B$7,+('4. Customer Growth'!$G$34-'4. Customer Growth'!$G$18),+IF($B$14='2. Customer Classes'!$B$8,+('4. Customer Growth'!$I$34-'4. Customer Growth'!$I$18),+IF($B$14='2. Customer Classes'!$B$9,+('4. Customer Growth'!$K$34-'4. Customer Growth'!$K$18),+IF($B$14='2. Customer Classes'!$B$10,+('4. Customer Growth'!$M$34-'4. Customer Growth'!$M$18),IF($B$14='2. Customer Classes'!$B$11,+('4. Customer Growth'!$O$34-'4. Customer Growth'!$O$18),0)))))))</f>
        <v>185</v>
      </c>
      <c r="D37" s="1369">
        <f>IF(F25&gt;0,+H26,0)</f>
        <v>7331.9834422304421</v>
      </c>
      <c r="E37" s="1369"/>
      <c r="F37" s="1370">
        <f>IF(+$G$11="yes",+C37*D37,0)</f>
        <v>0</v>
      </c>
      <c r="G37" s="1371"/>
      <c r="H37" s="78">
        <f>G26+F37</f>
        <v>89941440.885840833</v>
      </c>
      <c r="I37" s="141"/>
      <c r="J37" s="176" t="str">
        <f>B37</f>
        <v>2015</v>
      </c>
      <c r="K37" s="65">
        <f>IF($J$14='2. Customer Classes'!$B$5,+('4. Customer Growth'!$C$34-'4. Customer Growth'!$C$18),+IF($J$14='2. Customer Classes'!$B$6,+('4. Customer Growth'!$E$34-'4. Customer Growth'!$E$18),+IF($J$14='2. Customer Classes'!$B$7,+('4. Customer Growth'!$G$34-'4. Customer Growth'!$G$18),+IF($J$14='2. Customer Classes'!$B$8,+('4. Customer Growth'!$I$34-'4. Customer Growth'!$I$18),+IF($J$14='2. Customer Classes'!$B$9,+('4. Customer Growth'!$K$34-'4. Customer Growth'!$K$18),+IF($J$14='2. Customer Classes'!$B$10,+('4. Customer Growth'!$M$34-'4. Customer Growth'!$M$18),IF($J$14='2. Customer Classes'!$B$11,+('4. Customer Growth'!$O$34-'4. Customer Growth'!$O$18),0)))))))</f>
        <v>3</v>
      </c>
      <c r="L37" s="1369">
        <f>IF(N25&gt;0,+P26,0)</f>
        <v>22576.917496088801</v>
      </c>
      <c r="M37" s="1369"/>
      <c r="N37" s="1370">
        <f>IF(+$G$11="yes",+K37*L37,0)</f>
        <v>0</v>
      </c>
      <c r="O37" s="1371"/>
      <c r="P37" s="78">
        <f>O26+N37</f>
        <v>17745457.151925799</v>
      </c>
      <c r="Q37" s="141"/>
      <c r="R37" s="176" t="str">
        <f>B37</f>
        <v>2015</v>
      </c>
      <c r="S37" s="65">
        <f>IF($R$14='2. Customer Classes'!$B$5,+('4. Customer Growth'!$C$34-'4. Customer Growth'!$C$18),+IF($R$14='2. Customer Classes'!$B$6,+('4. Customer Growth'!$E$34-'4. Customer Growth'!$E$18),+IF($R$14='2. Customer Classes'!$B$7,+('4. Customer Growth'!$G$34-'4. Customer Growth'!$G$18),+IF($R$14='2. Customer Classes'!$B$8,+('4. Customer Growth'!$I$34-'4. Customer Growth'!$I$18),+IF($R$14='2. Customer Classes'!$B$9,+('4. Customer Growth'!$K$34-'4. Customer Growth'!$K$18),+IF($R$14='2. Customer Classes'!$B$10,+('4. Customer Growth'!$M$34-'4. Customer Growth'!$M$18),IF($R$14='2. Customer Classes'!$B$11,+('4. Customer Growth'!$O$34-'4. Customer Growth'!$O$18),0)))))))</f>
        <v>-1</v>
      </c>
      <c r="T37" s="1369">
        <f>IF(V25&gt;0,+X26,0)</f>
        <v>5810.2653640059934</v>
      </c>
      <c r="U37" s="1369"/>
      <c r="V37" s="1370">
        <f>IF(+$G$11="yes",+S37*T37,0)</f>
        <v>0</v>
      </c>
      <c r="W37" s="1371"/>
      <c r="X37" s="78">
        <f>W26+V37</f>
        <v>232410.61456023974</v>
      </c>
      <c r="Z37" s="176" t="str">
        <f>J37</f>
        <v>2015</v>
      </c>
      <c r="AA37" s="65">
        <f>IF($Z$14='2. Customer Classes'!$B$5,+('4. Customer Growth'!$C$34-'4. Customer Growth'!$C$18),+IF($Z$14='2. Customer Classes'!$B$6,+('4. Customer Growth'!$E$34-'4. Customer Growth'!$E$18),+IF($Z$14='2. Customer Classes'!$B$7,+('4. Customer Growth'!$G$34-'4. Customer Growth'!$G$18),+IF($Z$14='2. Customer Classes'!$B$8,+('4. Customer Growth'!$I$34-'4. Customer Growth'!$I$18),+IF($Z$14='2. Customer Classes'!$B$9,+('4. Customer Growth'!$K$34-'4. Customer Growth'!$K$18),+IF($Z$14='2. Customer Classes'!$B$10,+('4. Customer Growth'!$M$34-'4. Customer Growth'!$M$18),IF($Z$14='2. Customer Classes'!$B$11,+('4. Customer Growth'!$O$34-'4. Customer Growth'!$O$18),0)))))))</f>
        <v>0</v>
      </c>
      <c r="AB37" s="1369">
        <f>IF(AD25&gt;0,+AF26,0)</f>
        <v>0</v>
      </c>
      <c r="AC37" s="1369"/>
      <c r="AD37" s="1370">
        <f>IF(+$G$11="yes",+AA37*AB37,0)</f>
        <v>0</v>
      </c>
      <c r="AE37" s="1371"/>
      <c r="AF37" s="78">
        <f>AE26+AD37</f>
        <v>0</v>
      </c>
      <c r="AH37" s="176" t="str">
        <f>R37</f>
        <v>2015</v>
      </c>
      <c r="AI37" s="65">
        <f>IF($AH$14='2. Customer Classes'!$B$5,+('4. Customer Growth'!$C$34-'4. Customer Growth'!$C$18),+IF($AH$14='2. Customer Classes'!$B$6,+('4. Customer Growth'!$E$34-'4. Customer Growth'!$E$18),+IF($AH$14='2. Customer Classes'!$B$7,+('4. Customer Growth'!$G$34-'4. Customer Growth'!$G$18),+IF($AH$14='2. Customer Classes'!$B$8,+('4. Customer Growth'!$I$34-'4. Customer Growth'!$I$18),+IF($AH$14='2. Customer Classes'!$B$9,+('4. Customer Growth'!$K$34-'4. Customer Growth'!$K$18),+IF($AH$14='2. Customer Classes'!$B$10,+('4. Customer Growth'!$M$34-'4. Customer Growth'!$M$18),IF($AH$14='2. Customer Classes'!$B$11,+('4. Customer Growth'!$O$34-'4. Customer Growth'!$O$18),0)))))))</f>
        <v>0</v>
      </c>
      <c r="AJ37" s="1369">
        <f>IF(AL25&gt;0,+AN26,0)</f>
        <v>0</v>
      </c>
      <c r="AK37" s="1369"/>
      <c r="AL37" s="1370">
        <f>IF(+$G$11="yes",+AI37*AJ37,0)</f>
        <v>0</v>
      </c>
      <c r="AM37" s="1371"/>
      <c r="AN37" s="78">
        <f>AM26+AL37</f>
        <v>0</v>
      </c>
    </row>
    <row r="38" spans="2:40" ht="13.5" thickBot="1" x14ac:dyDescent="0.25">
      <c r="B38" s="344" t="str">
        <f>B27</f>
        <v>2016</v>
      </c>
      <c r="C38" s="345">
        <f>IF($B$14='2. Customer Classes'!$B$5,+('4. Customer Growth'!$C$35-'4. Customer Growth'!$C$18),+IF($B$14='2. Customer Classes'!$B$6,+('4. Customer Growth'!$E$35-'4. Customer Growth'!$E$18),+IF($B$14='2. Customer Classes'!$B$7,+('4. Customer Growth'!$G$35-'4. Customer Growth'!$G$18),+IF($B$14='2. Customer Classes'!$B$8,+('4. Customer Growth'!$I$35-'4. Customer Growth'!$I$18),+IF($B$14='2. Customer Classes'!$B$9,+('4. Customer Growth'!$K$35-'4. Customer Growth'!$K$18),+IF($B$14='2. Customer Classes'!$B$10,+('4. Customer Growth'!$M$35-'4. Customer Growth'!$M$18),IF($B$14='2. Customer Classes'!$B$11,+('4. Customer Growth'!$O$35-'4. Customer Growth'!$O$18),0)))))))</f>
        <v>389.85889999999927</v>
      </c>
      <c r="D38" s="1372">
        <f>IF(F25&gt;0,+H27,0)</f>
        <v>7261.5556901769996</v>
      </c>
      <c r="E38" s="1372"/>
      <c r="F38" s="1373">
        <f>IF(+$G$11="yes",+C38*D38,0)</f>
        <v>0</v>
      </c>
      <c r="G38" s="1374"/>
      <c r="H38" s="79">
        <f>G27+F38</f>
        <v>90565097.962379649</v>
      </c>
      <c r="I38" s="141"/>
      <c r="J38" s="344" t="str">
        <f>B38</f>
        <v>2016</v>
      </c>
      <c r="K38" s="345">
        <f>IF($J$14='2. Customer Classes'!$B$5,+('4. Customer Growth'!$C$35-'4. Customer Growth'!$C$18),+IF($J$14='2. Customer Classes'!$B$6,+('4. Customer Growth'!$E$35-'4. Customer Growth'!$E$18),+IF($J$14='2. Customer Classes'!$B$7,+('4. Customer Growth'!$G$35-'4. Customer Growth'!$G$18),+IF($J$14='2. Customer Classes'!$B$8,+('4. Customer Growth'!$I$35-'4. Customer Growth'!$I$18),+IF($J$14='2. Customer Classes'!$B$9,+('4. Customer Growth'!$K$35-'4. Customer Growth'!$K$18),+IF($J$14='2. Customer Classes'!$B$10,+('4. Customer Growth'!$M$35-'4. Customer Growth'!$M$18),IF($J$14='2. Customer Classes'!$B$11,+('4. Customer Growth'!$O$35-'4. Customer Growth'!$O$18),0)))))))</f>
        <v>6</v>
      </c>
      <c r="L38" s="1372">
        <f>IF(N25&gt;0,+P27,0)</f>
        <v>22855.181716323204</v>
      </c>
      <c r="M38" s="1372"/>
      <c r="N38" s="1373">
        <f>IF(+$G$11="yes",+K38*L38,0)</f>
        <v>0</v>
      </c>
      <c r="O38" s="1374"/>
      <c r="P38" s="79">
        <f>O27+N38</f>
        <v>18032738.374179009</v>
      </c>
      <c r="Q38" s="141"/>
      <c r="R38" s="344" t="str">
        <f>B38</f>
        <v>2016</v>
      </c>
      <c r="S38" s="345">
        <f>IF($R$14='2. Customer Classes'!$B$5,+('4. Customer Growth'!$C$35-'4. Customer Growth'!$C$18),+IF($R$14='2. Customer Classes'!$B$6,+('4. Customer Growth'!$E$35-'4. Customer Growth'!$E$18),+IF($R$14='2. Customer Classes'!$B$7,+('4. Customer Growth'!$G$35-'4. Customer Growth'!$G$18),+IF($R$14='2. Customer Classes'!$B$8,+('4. Customer Growth'!$I$35-'4. Customer Growth'!$I$18),+IF($R$14='2. Customer Classes'!$B$9,+('4. Customer Growth'!$K$35-'4. Customer Growth'!$K$18),+IF($R$14='2. Customer Classes'!$B$10,+('4. Customer Growth'!$M$35-'4. Customer Growth'!$M$18),IF($R$14='2. Customer Classes'!$B$11,+('4. Customer Growth'!$O$35-'4. Customer Growth'!$O$18),0)))))))</f>
        <v>-1</v>
      </c>
      <c r="T38" s="1372">
        <f>IF(V25&gt;0,+X27,0)</f>
        <v>5525.547615400772</v>
      </c>
      <c r="U38" s="1372"/>
      <c r="V38" s="1373">
        <f>IF(+$G$11="yes",+S38*T38,0)</f>
        <v>0</v>
      </c>
      <c r="W38" s="1374"/>
      <c r="X38" s="79">
        <f>W27+V38</f>
        <v>221021.90461603086</v>
      </c>
      <c r="Z38" s="344" t="str">
        <f>J38</f>
        <v>2016</v>
      </c>
      <c r="AA38" s="345">
        <f>IF($Z$14='2. Customer Classes'!$B$5,+('4. Customer Growth'!$C$35-'4. Customer Growth'!$C$18),+IF($Z$14='2. Customer Classes'!$B$6,+('4. Customer Growth'!$E$35-'4. Customer Growth'!$E$18),+IF($Z$14='2. Customer Classes'!$B$7,+('4. Customer Growth'!$G$35-'4. Customer Growth'!$G$18),+IF($Z$14='2. Customer Classes'!$B$8,+('4. Customer Growth'!$I$35-'4. Customer Growth'!$I$18),+IF($Z$14='2. Customer Classes'!$B$9,+('4. Customer Growth'!$K$35-'4. Customer Growth'!$K$18),+IF($Z$14='2. Customer Classes'!$B$10,+('4. Customer Growth'!$M$35-'4. Customer Growth'!$M$18),IF($Z$14='2. Customer Classes'!$B$11,+('4. Customer Growth'!$O$35-'4. Customer Growth'!$O$18),0)))))))</f>
        <v>0</v>
      </c>
      <c r="AB38" s="1372">
        <f>IF(AD25&gt;0,+AF27,0)</f>
        <v>0</v>
      </c>
      <c r="AC38" s="1372"/>
      <c r="AD38" s="1373">
        <f>IF(+$G$11="yes",+AA38*AB38,0)</f>
        <v>0</v>
      </c>
      <c r="AE38" s="1374"/>
      <c r="AF38" s="79">
        <f>AE27+AD38</f>
        <v>0</v>
      </c>
      <c r="AG38" s="346"/>
      <c r="AH38" s="344" t="str">
        <f>R38</f>
        <v>2016</v>
      </c>
      <c r="AI38" s="345">
        <f>IF($AH$14='2. Customer Classes'!$B$5,+('4. Customer Growth'!$C$35-'4. Customer Growth'!$C$18),+IF($AH$14='2. Customer Classes'!$B$6,+('4. Customer Growth'!$E$35-'4. Customer Growth'!$E$18),+IF($AH$14='2. Customer Classes'!$B$7,+('4. Customer Growth'!$G$35-'4. Customer Growth'!$G$18),+IF($AH$14='2. Customer Classes'!$B$8,+('4. Customer Growth'!$I$35-'4. Customer Growth'!$I$18),+IF($AH$14='2. Customer Classes'!$B$9,+('4. Customer Growth'!$K$35-'4. Customer Growth'!$K$18),+IF($AH$14='2. Customer Classes'!$B$10,+('4. Customer Growth'!$M$35-'4. Customer Growth'!$M$18),IF($AH$14='2. Customer Classes'!$B$11,+('4. Customer Growth'!$O$35-'4. Customer Growth'!$O$18),0)))))))</f>
        <v>0</v>
      </c>
      <c r="AJ38" s="1372">
        <f>IF(AL25&gt;0,+AN27,0)</f>
        <v>0</v>
      </c>
      <c r="AK38" s="1372"/>
      <c r="AL38" s="1373">
        <f>IF(+$G$11="yes",+AI38*AJ38,0)</f>
        <v>0</v>
      </c>
      <c r="AM38" s="1374"/>
      <c r="AN38" s="79">
        <f>AM27+AL38</f>
        <v>0</v>
      </c>
    </row>
    <row r="39" spans="2:40" x14ac:dyDescent="0.2">
      <c r="B39" s="1"/>
      <c r="C39" s="1"/>
      <c r="D39" s="1"/>
      <c r="E39" s="1"/>
      <c r="F39" s="1"/>
      <c r="G39" s="1"/>
    </row>
    <row r="40" spans="2:40" x14ac:dyDescent="0.2">
      <c r="C40" s="395"/>
      <c r="F40" s="745"/>
      <c r="H40" s="744"/>
    </row>
    <row r="41" spans="2:40" x14ac:dyDescent="0.2">
      <c r="F41" s="746"/>
      <c r="H41" s="744"/>
      <c r="X41" s="292"/>
    </row>
    <row r="48" spans="2:40" ht="13.5" hidden="1" thickBot="1" x14ac:dyDescent="0.25"/>
    <row r="49" spans="2:3" hidden="1" x14ac:dyDescent="0.2">
      <c r="B49" s="1378" t="s">
        <v>177</v>
      </c>
      <c r="C49" s="1379"/>
    </row>
    <row r="50" spans="2:3" hidden="1" x14ac:dyDescent="0.2">
      <c r="B50" s="355" t="s">
        <v>178</v>
      </c>
      <c r="C50" s="352"/>
    </row>
    <row r="51" spans="2:3" hidden="1" x14ac:dyDescent="0.2">
      <c r="B51" s="355" t="s">
        <v>179</v>
      </c>
      <c r="C51" s="352"/>
    </row>
    <row r="52" spans="2:3" ht="13.5" hidden="1" thickBot="1" x14ac:dyDescent="0.25">
      <c r="B52" s="785" t="s">
        <v>384</v>
      </c>
      <c r="C52" s="784"/>
    </row>
    <row r="53" spans="2:3" hidden="1" x14ac:dyDescent="0.2"/>
  </sheetData>
  <mergeCells count="51">
    <mergeCell ref="B49:C49"/>
    <mergeCell ref="T38:U38"/>
    <mergeCell ref="V38:W38"/>
    <mergeCell ref="F38:G38"/>
    <mergeCell ref="N36:O36"/>
    <mergeCell ref="N37:O37"/>
    <mergeCell ref="N38:O38"/>
    <mergeCell ref="T36:U36"/>
    <mergeCell ref="V36:W36"/>
    <mergeCell ref="T37:U37"/>
    <mergeCell ref="V37:W37"/>
    <mergeCell ref="D38:E38"/>
    <mergeCell ref="L36:M36"/>
    <mergeCell ref="L37:M37"/>
    <mergeCell ref="L38:M38"/>
    <mergeCell ref="F36:G36"/>
    <mergeCell ref="F37:G37"/>
    <mergeCell ref="D36:E36"/>
    <mergeCell ref="D37:E37"/>
    <mergeCell ref="J14:P14"/>
    <mergeCell ref="R14:X14"/>
    <mergeCell ref="B14:H14"/>
    <mergeCell ref="B35:H35"/>
    <mergeCell ref="J35:P35"/>
    <mergeCell ref="R35:X35"/>
    <mergeCell ref="B33:H33"/>
    <mergeCell ref="J33:P33"/>
    <mergeCell ref="R33:X33"/>
    <mergeCell ref="B28:H28"/>
    <mergeCell ref="J28:P28"/>
    <mergeCell ref="R28:X28"/>
    <mergeCell ref="Z14:AF14"/>
    <mergeCell ref="Z28:AF28"/>
    <mergeCell ref="Z33:AF33"/>
    <mergeCell ref="Z35:AF35"/>
    <mergeCell ref="AB36:AC36"/>
    <mergeCell ref="AD36:AE36"/>
    <mergeCell ref="AB37:AC37"/>
    <mergeCell ref="AD37:AE37"/>
    <mergeCell ref="AJ37:AK37"/>
    <mergeCell ref="AL37:AM37"/>
    <mergeCell ref="AB38:AC38"/>
    <mergeCell ref="AD38:AE38"/>
    <mergeCell ref="AJ38:AK38"/>
    <mergeCell ref="AL38:AM38"/>
    <mergeCell ref="AH14:AN14"/>
    <mergeCell ref="AH28:AN28"/>
    <mergeCell ref="AH33:AN33"/>
    <mergeCell ref="AH35:AN35"/>
    <mergeCell ref="AJ36:AK36"/>
    <mergeCell ref="AL36:AM36"/>
  </mergeCells>
  <dataValidations count="1">
    <dataValidation type="list" allowBlank="1" showInputMessage="1" showErrorMessage="1" sqref="G11">
      <formula1>$B$50:$B$51</formula1>
    </dataValidation>
  </dataValidation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Classes'!$B$5:$B$12</xm:f>
          </x14:formula1>
          <xm:sqref>Z14:AF14 J14:P14 R14:X14 B14 AH14:AN14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59"/>
  <sheetViews>
    <sheetView showGridLines="0" workbookViewId="0"/>
  </sheetViews>
  <sheetFormatPr defaultColWidth="11.1640625" defaultRowHeight="12.75" x14ac:dyDescent="0.2"/>
  <cols>
    <col min="1" max="1" width="14" style="1" customWidth="1"/>
    <col min="2" max="6" width="15.1640625" style="51" customWidth="1"/>
    <col min="7" max="7" width="17" style="51" customWidth="1"/>
    <col min="8" max="8" width="16.6640625" style="51" customWidth="1"/>
    <col min="9" max="9" width="17.83203125" style="51" customWidth="1"/>
    <col min="10" max="10" width="16.1640625" style="51" customWidth="1"/>
    <col min="11" max="12" width="4.33203125" style="51" customWidth="1"/>
    <col min="13" max="15" width="15.1640625" style="139" customWidth="1"/>
    <col min="16" max="16" width="15.1640625" style="51" customWidth="1"/>
    <col min="17" max="21" width="15.1640625" style="1" customWidth="1"/>
    <col min="22" max="22" width="4.33203125" style="1" customWidth="1"/>
    <col min="23" max="29" width="15.1640625" style="1" customWidth="1"/>
    <col min="30" max="30" width="13.83203125" style="59" customWidth="1"/>
    <col min="31" max="31" width="13.83203125" style="1" customWidth="1"/>
    <col min="32" max="32" width="2.33203125" style="1" customWidth="1"/>
    <col min="33" max="40" width="15.1640625" style="1" hidden="1" customWidth="1"/>
    <col min="41" max="41" width="20.33203125" style="1" hidden="1" customWidth="1"/>
    <col min="42" max="42" width="3.33203125" style="1" hidden="1" customWidth="1"/>
    <col min="43" max="51" width="15.1640625" style="1" hidden="1" customWidth="1"/>
    <col min="52" max="16384" width="11.1640625" style="1"/>
  </cols>
  <sheetData>
    <row r="2" spans="2:51" ht="13.5" thickBot="1" x14ac:dyDescent="0.25"/>
    <row r="3" spans="2:51" ht="24" thickBot="1" x14ac:dyDescent="0.25">
      <c r="B3" s="127" t="s">
        <v>414</v>
      </c>
      <c r="C3" s="127"/>
      <c r="D3" s="127"/>
      <c r="Q3" s="331"/>
      <c r="R3" s="358" t="s">
        <v>231</v>
      </c>
    </row>
    <row r="4" spans="2:51" ht="23.25" x14ac:dyDescent="0.2">
      <c r="B4" s="127"/>
      <c r="C4" s="127"/>
      <c r="D4" s="127"/>
    </row>
    <row r="5" spans="2:51" ht="23.25" x14ac:dyDescent="0.2">
      <c r="B5" s="127"/>
      <c r="C5" s="127"/>
      <c r="D5" s="127"/>
    </row>
    <row r="6" spans="2:51" ht="23.25" x14ac:dyDescent="0.2">
      <c r="B6" s="127"/>
      <c r="C6" s="127"/>
      <c r="D6" s="127"/>
    </row>
    <row r="7" spans="2:51" ht="23.25" x14ac:dyDescent="0.2">
      <c r="B7" s="127"/>
      <c r="C7" s="127"/>
      <c r="D7" s="127"/>
    </row>
    <row r="8" spans="2:51" ht="13.5" thickBot="1" x14ac:dyDescent="0.25">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1"/>
      <c r="AD8" s="31"/>
    </row>
    <row r="9" spans="2:51" ht="12.75" customHeight="1" thickBot="1" x14ac:dyDescent="0.25">
      <c r="B9" s="1358" t="s">
        <v>665</v>
      </c>
      <c r="C9" s="1359"/>
      <c r="D9" s="1359"/>
      <c r="E9" s="1359"/>
      <c r="F9" s="1359"/>
      <c r="G9" s="1359"/>
      <c r="H9" s="1359"/>
      <c r="I9" s="1359"/>
      <c r="J9" s="1360"/>
      <c r="K9" s="180"/>
      <c r="L9" s="180"/>
      <c r="M9" s="1358" t="s">
        <v>666</v>
      </c>
      <c r="N9" s="1359"/>
      <c r="O9" s="1359"/>
      <c r="P9" s="1359"/>
      <c r="Q9" s="1359"/>
      <c r="R9" s="1359"/>
      <c r="S9" s="1359"/>
      <c r="T9" s="1359"/>
      <c r="U9" s="1360"/>
      <c r="V9" s="180"/>
      <c r="W9" s="1358" t="s">
        <v>98</v>
      </c>
      <c r="X9" s="1359"/>
      <c r="Y9" s="1359"/>
      <c r="Z9" s="1359"/>
      <c r="AA9" s="1359"/>
      <c r="AB9" s="1359"/>
      <c r="AC9" s="1359"/>
      <c r="AD9" s="1359"/>
      <c r="AE9" s="1360"/>
      <c r="AG9" s="1358" t="s">
        <v>238</v>
      </c>
      <c r="AH9" s="1359"/>
      <c r="AI9" s="1359"/>
      <c r="AJ9" s="1359"/>
      <c r="AK9" s="1359"/>
      <c r="AL9" s="1359"/>
      <c r="AM9" s="1359"/>
      <c r="AN9" s="1359"/>
      <c r="AO9" s="1360"/>
      <c r="AQ9" s="1358" t="s">
        <v>238</v>
      </c>
      <c r="AR9" s="1359"/>
      <c r="AS9" s="1359"/>
      <c r="AT9" s="1359"/>
      <c r="AU9" s="1359"/>
      <c r="AV9" s="1359"/>
      <c r="AW9" s="1359"/>
      <c r="AX9" s="1359"/>
      <c r="AY9" s="1360"/>
    </row>
    <row r="10" spans="2:51" ht="46.5" customHeight="1" x14ac:dyDescent="0.2">
      <c r="B10" s="448" t="s">
        <v>33</v>
      </c>
      <c r="C10" s="662" t="s">
        <v>36</v>
      </c>
      <c r="D10" s="662" t="s">
        <v>230</v>
      </c>
      <c r="E10" s="446" t="s">
        <v>36</v>
      </c>
      <c r="F10" s="446" t="s">
        <v>37</v>
      </c>
      <c r="G10" s="446" t="s">
        <v>184</v>
      </c>
      <c r="H10" s="446" t="s">
        <v>182</v>
      </c>
      <c r="I10" s="446" t="s">
        <v>183</v>
      </c>
      <c r="J10" s="447" t="s">
        <v>41</v>
      </c>
      <c r="K10" s="181"/>
      <c r="L10" s="181"/>
      <c r="M10" s="448" t="s">
        <v>33</v>
      </c>
      <c r="N10" s="662" t="s">
        <v>36</v>
      </c>
      <c r="O10" s="662" t="s">
        <v>230</v>
      </c>
      <c r="P10" s="446" t="s">
        <v>36</v>
      </c>
      <c r="Q10" s="446" t="s">
        <v>37</v>
      </c>
      <c r="R10" s="446" t="s">
        <v>184</v>
      </c>
      <c r="S10" s="446" t="s">
        <v>182</v>
      </c>
      <c r="T10" s="446" t="s">
        <v>183</v>
      </c>
      <c r="U10" s="447" t="s">
        <v>41</v>
      </c>
      <c r="V10" s="59"/>
      <c r="W10" s="422" t="s">
        <v>33</v>
      </c>
      <c r="X10" s="662" t="s">
        <v>36</v>
      </c>
      <c r="Y10" s="662" t="s">
        <v>230</v>
      </c>
      <c r="Z10" s="417" t="s">
        <v>36</v>
      </c>
      <c r="AA10" s="417" t="s">
        <v>37</v>
      </c>
      <c r="AB10" s="417" t="s">
        <v>184</v>
      </c>
      <c r="AC10" s="417" t="s">
        <v>182</v>
      </c>
      <c r="AD10" s="417" t="s">
        <v>183</v>
      </c>
      <c r="AE10" s="376" t="s">
        <v>41</v>
      </c>
      <c r="AG10" s="448" t="s">
        <v>33</v>
      </c>
      <c r="AH10" s="662" t="s">
        <v>36</v>
      </c>
      <c r="AI10" s="662" t="s">
        <v>230</v>
      </c>
      <c r="AJ10" s="417" t="s">
        <v>36</v>
      </c>
      <c r="AK10" s="446" t="s">
        <v>37</v>
      </c>
      <c r="AL10" s="446" t="s">
        <v>184</v>
      </c>
      <c r="AM10" s="446" t="s">
        <v>182</v>
      </c>
      <c r="AN10" s="446" t="s">
        <v>183</v>
      </c>
      <c r="AO10" s="447" t="s">
        <v>41</v>
      </c>
      <c r="AQ10" s="448" t="s">
        <v>33</v>
      </c>
      <c r="AR10" s="662" t="s">
        <v>36</v>
      </c>
      <c r="AS10" s="662" t="s">
        <v>230</v>
      </c>
      <c r="AT10" s="417" t="s">
        <v>36</v>
      </c>
      <c r="AU10" s="446" t="s">
        <v>37</v>
      </c>
      <c r="AV10" s="446" t="s">
        <v>184</v>
      </c>
      <c r="AW10" s="446" t="s">
        <v>182</v>
      </c>
      <c r="AX10" s="446" t="s">
        <v>183</v>
      </c>
      <c r="AY10" s="447" t="s">
        <v>41</v>
      </c>
    </row>
    <row r="11" spans="2:51" x14ac:dyDescent="0.2">
      <c r="B11" s="91" t="s">
        <v>30</v>
      </c>
      <c r="C11" s="663"/>
      <c r="D11" s="663"/>
      <c r="E11" s="835"/>
      <c r="F11" s="92"/>
      <c r="G11" s="370"/>
      <c r="H11" s="370"/>
      <c r="I11" s="220"/>
      <c r="J11" s="419"/>
      <c r="K11" s="140"/>
      <c r="L11" s="140"/>
      <c r="M11" s="91" t="s">
        <v>30</v>
      </c>
      <c r="N11" s="663"/>
      <c r="O11" s="663"/>
      <c r="P11" s="92"/>
      <c r="Q11" s="92"/>
      <c r="R11" s="92"/>
      <c r="S11" s="92"/>
      <c r="T11" s="92"/>
      <c r="U11" s="93"/>
      <c r="V11" s="59"/>
      <c r="W11" s="91" t="s">
        <v>30</v>
      </c>
      <c r="X11" s="663"/>
      <c r="Y11" s="663"/>
      <c r="Z11" s="92"/>
      <c r="AA11" s="92"/>
      <c r="AB11" s="92"/>
      <c r="AC11" s="92"/>
      <c r="AD11" s="92"/>
      <c r="AE11" s="236"/>
      <c r="AG11" s="91" t="s">
        <v>30</v>
      </c>
      <c r="AH11" s="663"/>
      <c r="AI11" s="663"/>
      <c r="AJ11" s="92"/>
      <c r="AK11" s="92"/>
      <c r="AL11" s="92"/>
      <c r="AM11" s="92"/>
      <c r="AN11" s="92"/>
      <c r="AO11" s="236"/>
      <c r="AQ11" s="91" t="s">
        <v>30</v>
      </c>
      <c r="AR11" s="663"/>
      <c r="AS11" s="663"/>
      <c r="AT11" s="92"/>
      <c r="AU11" s="92"/>
      <c r="AV11" s="92"/>
      <c r="AW11" s="92"/>
      <c r="AX11" s="92"/>
      <c r="AY11" s="236"/>
    </row>
    <row r="12" spans="2:51" ht="12.75" customHeight="1" x14ac:dyDescent="0.2">
      <c r="B12" s="186">
        <f>'4. Customer Growth'!B9</f>
        <v>2005</v>
      </c>
      <c r="C12" s="65">
        <f>IF($B$9='2. Customer Classes'!$B$5,+SUM('3. Consumption by Rate Class'!$D$16:$D$27),+IF($B$9='2. Customer Classes'!$B$6,+SUM('3. Consumption by Rate Class'!$F$16:$F$27),+IF($B$9='2. Customer Classes'!$B$7,+SUM('3. Consumption by Rate Class'!$H$16:$H$27),+IF($B$9='2. Customer Classes'!$B$8,+SUM('3. Consumption by Rate Class'!$J$16:$J$27),+IF($B$9='2. Customer Classes'!$B$9,+SUM('3. Consumption by Rate Class'!$L$16:$L$27),+IF($B$9='2. Customer Classes'!$B$10,+SUM('3. Consumption by Rate Class'!$O$16:$O$27),IF($B$9='2. Customer Classes'!$B$11,+SUM('3. Consumption by Rate Class'!$R$16:$R$27),0)))))))</f>
        <v>12388793.66</v>
      </c>
      <c r="D12" s="617"/>
      <c r="E12" s="836">
        <f>+D12+C12</f>
        <v>12388793.66</v>
      </c>
      <c r="F12" s="65">
        <f>+IF($B$9='2. Customer Classes'!$B$9,+SUM('3. Consumption by Rate Class'!$M$16:$M$27),+IF($B$9='2. Customer Classes'!$B$10,+SUM('3. Consumption by Rate Class'!$P$16:$P$27),IF($B$9='2. Customer Classes'!$B$11,+SUM('3. Consumption by Rate Class'!$S$16:$S$27),0)))</f>
        <v>0</v>
      </c>
      <c r="G12" s="65">
        <f>IF($B$9='2. Customer Classes'!$B$5,+'4. Customer Growth'!$C9,+IF($B$9='2. Customer Classes'!$B$6,+'4. Customer Growth'!$E9,+IF($B$9='2. Customer Classes'!$B$7,+'4. Customer Growth'!$G9,+IF($B$9='2. Customer Classes'!$B$8,+'4. Customer Growth'!$I9,+IF($B$9='2. Customer Classes'!$B$9,+'4. Customer Growth'!$K9,+IF($B$9='2. Customer Classes'!$B$10,+'4. Customer Growth'!$M9,IF($B$9='2. Customer Classes'!$B$11,+'4. Customer Growth'!$O9,0)))))))</f>
        <v>42</v>
      </c>
      <c r="H12" s="418">
        <f>IF(F12&gt;0,+E12/G12,0)</f>
        <v>0</v>
      </c>
      <c r="I12" s="421">
        <f>IF(F12&gt;0,+F12/G12,0)</f>
        <v>0</v>
      </c>
      <c r="J12" s="382">
        <f>IF(F12&gt;0,+F12/E12,0)</f>
        <v>0</v>
      </c>
      <c r="K12" s="178"/>
      <c r="L12" s="178"/>
      <c r="M12" s="186">
        <f t="shared" ref="M12:M23" si="0">B12</f>
        <v>2005</v>
      </c>
      <c r="N12" s="65">
        <f>IF($M$9='2. Customer Classes'!$B$5,+SUM('3. Consumption by Rate Class'!$D$16:$D$27),+IF($M$9='2. Customer Classes'!$B$6,+SUM('3. Consumption by Rate Class'!$F$16:$F$27),+IF($M$9='2. Customer Classes'!$B$7,+SUM('3. Consumption by Rate Class'!$H$16:$H$27),+IF($M$9='2. Customer Classes'!$B$8,+SUM('3. Consumption by Rate Class'!$J$16:$J$27),+IF($M$9='2. Customer Classes'!$B$9,+SUM('3. Consumption by Rate Class'!$L$16:$L$27),+IF($M$9='2. Customer Classes'!$B$10,+SUM('3. Consumption by Rate Class'!$O$16:$O$27),IF($M$9='2. Customer Classes'!$B$11,+SUM('3. Consumption by Rate Class'!$R$16:$R$27),0)))))))</f>
        <v>994198.57999999984</v>
      </c>
      <c r="O12" s="617"/>
      <c r="P12" s="65">
        <f>+N12+O12</f>
        <v>994198.57999999984</v>
      </c>
      <c r="Q12" s="220">
        <f>+IF($M$9='2. Customer Classes'!$B$9,+SUM('3. Consumption by Rate Class'!$M$16:$M$27),+IF($M$9='2. Customer Classes'!$B$10,+SUM('3. Consumption by Rate Class'!$P$16:$P$27),IF($M$9='2. Customer Classes'!$B$11,+SUM('3. Consumption by Rate Class'!$S$16:$S$27),0)))</f>
        <v>0</v>
      </c>
      <c r="R12" s="220">
        <f>IF($M$9='2. Customer Classes'!$B$5,+'4. Customer Growth'!$C9,+IF($M$9='2. Customer Classes'!$B$6,+'4. Customer Growth'!$E9,+IF($M$9='2. Customer Classes'!$B$7,+'4. Customer Growth'!$G9,+IF($M$9='2. Customer Classes'!$B$8,+'4. Customer Growth'!$I9,+IF($M$9='2. Customer Classes'!$B$9,+'4. Customer Growth'!$K9,+IF($M$9='2. Customer Classes'!$B$10,+'4. Customer Growth'!$M9,IF($M$9='2. Customer Classes'!$B$11,+'4. Customer Growth'!$O9,0)))))))</f>
        <v>1</v>
      </c>
      <c r="S12" s="418">
        <f>IF(Q12&gt;0,+P12/R12,0)</f>
        <v>0</v>
      </c>
      <c r="T12" s="421">
        <f>IF(Q12&gt;0,+Q12/R12,0)</f>
        <v>0</v>
      </c>
      <c r="U12" s="382">
        <f>IF(Q12&gt;0,+Q12/P12,0)</f>
        <v>0</v>
      </c>
      <c r="V12" s="59"/>
      <c r="W12" s="186">
        <f t="shared" ref="W12:W23" si="1">B12</f>
        <v>2005</v>
      </c>
      <c r="X12" s="65">
        <f>IF($W$9='2. Customer Classes'!$B$5,+SUM('3. Consumption by Rate Class'!$D$16:$D$27),+IF($W$9='2. Customer Classes'!$B$6,+SUM('3. Consumption by Rate Class'!$F$16:$F$27),+IF($W$9='2. Customer Classes'!$B$7,+SUM('3. Consumption by Rate Class'!$H$16:$H$27),+IF($W$9='2. Customer Classes'!$B$8,+SUM('3. Consumption by Rate Class'!$J$16:$J$27),+IF($W$9='2. Customer Classes'!$B$9,+SUM('3. Consumption by Rate Class'!$L$16:$L$27),+IF($W$9='2. Customer Classes'!$B$10,+SUM('3. Consumption by Rate Class'!$O$16:$O$27),IF($W$9='2. Customer Classes'!$B$11,+SUM('3. Consumption by Rate Class'!$R$16:$R$27),0)))))))</f>
        <v>1506679.0199999998</v>
      </c>
      <c r="Y12" s="617"/>
      <c r="Z12" s="65">
        <f>+X12+Y12</f>
        <v>1506679.0199999998</v>
      </c>
      <c r="AA12" s="220">
        <f>+IF($W$9='2. Customer Classes'!$B$9,+SUM('3. Consumption by Rate Class'!$M$16:$M$27),+IF($W$9='2. Customer Classes'!$B$10,+SUM('3. Consumption by Rate Class'!$P$16:$P$27),IF($W$9='2. Customer Classes'!$B$11,+SUM('3. Consumption by Rate Class'!$S$16:$S$27),0)))</f>
        <v>0</v>
      </c>
      <c r="AB12" s="220">
        <f>IF($W$9='2. Customer Classes'!$B$5,+'4. Customer Growth'!$C9,+IF($W$9='2. Customer Classes'!$B$6,+'4. Customer Growth'!$E9,+IF($W$9='2. Customer Classes'!$B$7,+'4. Customer Growth'!$G9,+IF($W$9='2. Customer Classes'!$B$8,+'4. Customer Growth'!$I9,+IF($W$9='2. Customer Classes'!$B$9,+'4. Customer Growth'!$K9,+IF($W$9='2. Customer Classes'!$B$10,+'4. Customer Growth'!$M9,IF($W$9='2. Customer Classes'!$B$11,+'4. Customer Growth'!$O9,0)))))))</f>
        <v>2181.5</v>
      </c>
      <c r="AC12" s="418">
        <f>IF(AA12&gt;0,+Z12/AB12,0)</f>
        <v>0</v>
      </c>
      <c r="AD12" s="421">
        <f>IF(AA12&gt;0,+AA12/AB12,0)</f>
        <v>0</v>
      </c>
      <c r="AE12" s="382">
        <f t="shared" ref="AE12:AE21" si="2">IF(AA12&gt;0,+AA12/Z12,0)</f>
        <v>0</v>
      </c>
      <c r="AG12" s="397">
        <f>+B12</f>
        <v>2005</v>
      </c>
      <c r="AH12" s="65">
        <f>IF($AG$9='2. Customer Classes'!$B$5,+SUM('3. Consumption by Rate Class'!$D$16:$D$27),+IF($AG$9='2. Customer Classes'!$B$6,+SUM('3. Consumption by Rate Class'!$F$16:$F$27),+IF($AG$9='2. Customer Classes'!$B$7,+SUM('3. Consumption by Rate Class'!$H$16:$H$27),+IF($AG$9='2. Customer Classes'!$B$8,+SUM('3. Consumption by Rate Class'!$J$16:$J$27),+IF($AG$9='2. Customer Classes'!$B$9,+SUM('3. Consumption by Rate Class'!$L$16:$L$27),+IF($AG$9='2. Customer Classes'!$B$10,+SUM('3. Consumption by Rate Class'!$O$16:$O$27),IF($AG$9='2. Customer Classes'!$B$11,+SUM('3. Consumption by Rate Class'!$R$16:$R$27),0)))))))</f>
        <v>0</v>
      </c>
      <c r="AI12" s="617"/>
      <c r="AJ12" s="65">
        <f>+AH12+AI12</f>
        <v>0</v>
      </c>
      <c r="AK12" s="220">
        <f>+IF($AG$9='2. Customer Classes'!$B$9,+SUM('3. Consumption by Rate Class'!$M$16:$M$27),+IF($AG$9='2. Customer Classes'!$B$10,+SUM('3. Consumption by Rate Class'!$P$16:$P$27),IF($AG$9='2. Customer Classes'!$B$11,+SUM('3. Consumption by Rate Class'!$S$16:$S$27),0)))</f>
        <v>0</v>
      </c>
      <c r="AL12" s="220">
        <f>IF($AG$9='2. Customer Classes'!$B$5,+'4. Customer Growth'!$C9,+IF($AG$9='2. Customer Classes'!$B$6,+'4. Customer Growth'!$E9,+IF($AG$9='2. Customer Classes'!$B$7,+'4. Customer Growth'!$G9,+IF($AG$9='2. Customer Classes'!$B$8,+'4. Customer Growth'!$I9,+IF($AG$9='2. Customer Classes'!$B$9,+'4. Customer Growth'!$K9,+IF($AG$9='2. Customer Classes'!$B$10,+'4. Customer Growth'!$M9,IF($AG$9='2. Customer Classes'!$B$11,+'4. Customer Growth'!$O9,0)))))))</f>
        <v>0</v>
      </c>
      <c r="AM12" s="418">
        <f>IF(AK12&gt;0,+AJ12/AL12,0)</f>
        <v>0</v>
      </c>
      <c r="AN12" s="421">
        <f>IF(AK12&gt;0,+AK12/AL12,0)</f>
        <v>0</v>
      </c>
      <c r="AO12" s="382">
        <f>IF(AK12&gt;0,+AK12/AJ12,0)</f>
        <v>0</v>
      </c>
      <c r="AQ12" s="397">
        <f>+B12</f>
        <v>2005</v>
      </c>
      <c r="AR12" s="65">
        <f>IF($AQ$9='2. Customer Classes'!$B$5,+SUM('3. Consumption by Rate Class'!$D$16:$D$27),+IF($AQ$9='2. Customer Classes'!$B$6,+SUM('3. Consumption by Rate Class'!$F$16:$F$27),+IF($AQ$9='2. Customer Classes'!$B$7,+SUM('3. Consumption by Rate Class'!$H$16:$H$27),+IF($AQ$9='2. Customer Classes'!$B$8,+SUM('3. Consumption by Rate Class'!$J$16:$J$27),+IF($AQ$9='2. Customer Classes'!$B$9,+SUM('3. Consumption by Rate Class'!$L$16:$L$27),+IF($AQ$9='2. Customer Classes'!$B$10,+SUM('3. Consumption by Rate Class'!$O$16:$O$27),IF($AQ$9='2. Customer Classes'!$B$11,+SUM('3. Consumption by Rate Class'!$R$16:$R$27),0)))))))</f>
        <v>0</v>
      </c>
      <c r="AS12" s="617"/>
      <c r="AT12" s="65">
        <f>+AR12+AS12</f>
        <v>0</v>
      </c>
      <c r="AU12" s="220">
        <f>+IF($AQ$9='2. Customer Classes'!$B$9,+SUM('3. Consumption by Rate Class'!$M$16:$M$27),+IF($AQ$9='2. Customer Classes'!$B$10,+SUM('3. Consumption by Rate Class'!$P$16:$P$27),IF($AQ$9='2. Customer Classes'!$B$11,+SUM('3. Consumption by Rate Class'!$S$16:$S$27),0)))</f>
        <v>0</v>
      </c>
      <c r="AV12" s="220">
        <f>IF($AQ$9='2. Customer Classes'!$B$5,+'4. Customer Growth'!$C9,+IF($AQ$9='2. Customer Classes'!$B$6,+'4. Customer Growth'!$E9,+IF($AQ$9='2. Customer Classes'!$B$7,+'4. Customer Growth'!$G9,+IF($AQ$9='2. Customer Classes'!$B$8,+'4. Customer Growth'!$I9,+IF($AQ$9='2. Customer Classes'!$B$9,+'4. Customer Growth'!$K9,+IF($AQ$9='2. Customer Classes'!$B$10,+'4. Customer Growth'!$M9,IF($AQ$9='2. Customer Classes'!$B$11,+'4. Customer Growth'!$O9,0)))))))</f>
        <v>0</v>
      </c>
      <c r="AW12" s="418">
        <f>IF(AU12&gt;0,+AT12/AV12,0)</f>
        <v>0</v>
      </c>
      <c r="AX12" s="421">
        <f>IF(AU12&gt;0,+AU12/AV12,0)</f>
        <v>0</v>
      </c>
      <c r="AY12" s="382">
        <f>IF(AU12&gt;0,+AU12/AT12,0)</f>
        <v>0</v>
      </c>
    </row>
    <row r="13" spans="2:51" ht="12.75" customHeight="1" x14ac:dyDescent="0.2">
      <c r="B13" s="186">
        <f>'4. Customer Growth'!B10</f>
        <v>2006</v>
      </c>
      <c r="C13" s="65">
        <f>IF($B$9='2. Customer Classes'!$B$5,+SUM('3. Consumption by Rate Class'!$D$28:$D$39),+IF($B$9='2. Customer Classes'!$B$6,+SUM('3. Consumption by Rate Class'!$F$28:$F$39),+IF($B$9='2. Customer Classes'!$B$7,+SUM('3. Consumption by Rate Class'!$H$28:$H$39),+IF($B$9='2. Customer Classes'!$B$8,+SUM('3. Consumption by Rate Class'!$J$28:$J$39),+IF($B$9='2. Customer Classes'!$B$9,+SUM('3. Consumption by Rate Class'!$L$28:$L$39),+IF($B$9='2. Customer Classes'!$B$10,+SUM('3. Consumption by Rate Class'!$O$28:$O$39),IF($B$9='2. Customer Classes'!$B$11,+SUM('3. Consumption by Rate Class'!$R$28:$R$39),0)))))))</f>
        <v>12633563.929999998</v>
      </c>
      <c r="D13" s="617"/>
      <c r="E13" s="836">
        <f t="shared" ref="E13:E23" si="3">+D13+C13</f>
        <v>12633563.929999998</v>
      </c>
      <c r="F13" s="65">
        <f>+IF($B$9='2. Customer Classes'!$B$9,+SUM('3. Consumption by Rate Class'!$M$28:$M$39),+IF($B$9='2. Customer Classes'!$B$10,+SUM('3. Consumption by Rate Class'!$P$28:$P$39),IF($B$9='2. Customer Classes'!$B$11,+SUM('3. Consumption by Rate Class'!$S$28:$S$39),0)))</f>
        <v>0</v>
      </c>
      <c r="G13" s="65">
        <f>IF($B$9='2. Customer Classes'!$B$5,+'4. Customer Growth'!$C10,+IF($B$9='2. Customer Classes'!$B$6,+'4. Customer Growth'!$E10,+IF($B$9='2. Customer Classes'!$B$7,+'4. Customer Growth'!$G10,+IF($B$9='2. Customer Classes'!$B$8,+'4. Customer Growth'!$I10,+IF($B$9='2. Customer Classes'!$B$9,+'4. Customer Growth'!$K10,+IF($B$9='2. Customer Classes'!$B$10,+'4. Customer Growth'!$M10,IF($B$9='2. Customer Classes'!$B$11,+'4. Customer Growth'!$O10,0)))))))</f>
        <v>40.5</v>
      </c>
      <c r="H13" s="418">
        <f t="shared" ref="H13:H20" si="4">IF(F13&gt;0,+E13/G13,0)</f>
        <v>0</v>
      </c>
      <c r="I13" s="421">
        <f t="shared" ref="I13:I23" si="5">IF(F13&gt;0,+F13/G13,0)</f>
        <v>0</v>
      </c>
      <c r="J13" s="382">
        <f t="shared" ref="J13:J20" si="6">IF(F13&gt;0,+F13/E13,0)</f>
        <v>0</v>
      </c>
      <c r="K13" s="178"/>
      <c r="L13" s="178"/>
      <c r="M13" s="186">
        <f t="shared" si="0"/>
        <v>2006</v>
      </c>
      <c r="N13" s="65">
        <f>IF($M$9='2. Customer Classes'!$B$5,+SUM('3. Consumption by Rate Class'!$D$28:$D$39),+IF($M$9='2. Customer Classes'!$B$6,+SUM('3. Consumption by Rate Class'!$F$28:$F$39),+IF($M$9='2. Customer Classes'!$B$7,+SUM('3. Consumption by Rate Class'!$H$28:$H$39),+IF($M$9='2. Customer Classes'!$B$8,+SUM('3. Consumption by Rate Class'!$J$28:$J$39),+IF($M$9='2. Customer Classes'!$B$9,+SUM('3. Consumption by Rate Class'!$L$28:$L$39),+IF($M$9='2. Customer Classes'!$B$10,+SUM('3. Consumption by Rate Class'!$O$28:$O$39),IF($M$9='2. Customer Classes'!$B$11,+SUM('3. Consumption by Rate Class'!$R$28:$R$39),0)))))))</f>
        <v>4233263.5499999989</v>
      </c>
      <c r="O13" s="617"/>
      <c r="P13" s="65">
        <f t="shared" ref="P13:P23" si="7">+N13+O13</f>
        <v>4233263.5499999989</v>
      </c>
      <c r="Q13" s="220">
        <f>+IF($M$9='2. Customer Classes'!$B$9,+SUM('3. Consumption by Rate Class'!$M$28:$M$39),+IF($M$9='2. Customer Classes'!$B$10,+SUM('3. Consumption by Rate Class'!$P$28:$P$39),IF($M$9='2. Customer Classes'!$B$11,+SUM('3. Consumption by Rate Class'!$S$28:$S$39),0)))</f>
        <v>0</v>
      </c>
      <c r="R13" s="220">
        <f>IF($M$9='2. Customer Classes'!$B$5,+'4. Customer Growth'!$C10,+IF($M$9='2. Customer Classes'!$B$6,+'4. Customer Growth'!$E10,+IF($M$9='2. Customer Classes'!$B$7,+'4. Customer Growth'!$G10,+IF($M$9='2. Customer Classes'!$B$8,+'4. Customer Growth'!$I10,+IF($M$9='2. Customer Classes'!$B$9,+'4. Customer Growth'!$K10,+IF($M$9='2. Customer Classes'!$B$10,+'4. Customer Growth'!$M10,IF($M$9='2. Customer Classes'!$B$11,+'4. Customer Growth'!$O10,0)))))))</f>
        <v>1</v>
      </c>
      <c r="S13" s="418">
        <f t="shared" ref="S13:S23" si="8">IF(Q13&gt;0,+P13/R13,0)</f>
        <v>0</v>
      </c>
      <c r="T13" s="421">
        <f t="shared" ref="T13:T23" si="9">IF(Q13&gt;0,+Q13/R13,0)</f>
        <v>0</v>
      </c>
      <c r="U13" s="382">
        <f t="shared" ref="U13:U21" si="10">IF(Q13&gt;0,+Q13/P13,0)</f>
        <v>0</v>
      </c>
      <c r="V13" s="59"/>
      <c r="W13" s="186">
        <f t="shared" si="1"/>
        <v>2006</v>
      </c>
      <c r="X13" s="65">
        <f>IF($W$9='2. Customer Classes'!$B$5,+SUM('3. Consumption by Rate Class'!$D$28:$D$39),+IF($W$9='2. Customer Classes'!$B$6,+SUM('3. Consumption by Rate Class'!$F$28:$F$39),+IF($W$9='2. Customer Classes'!$B$7,+SUM('3. Consumption by Rate Class'!$H$28:$H$39),+IF($W$9='2. Customer Classes'!$B$8,+SUM('3. Consumption by Rate Class'!$J$28:$J$39),+IF($W$9='2. Customer Classes'!$B$9,+SUM('3. Consumption by Rate Class'!$L$28:$L$39),+IF($W$9='2. Customer Classes'!$B$10,+SUM('3. Consumption by Rate Class'!$O$28:$O$39),IF($W$9='2. Customer Classes'!$B$11,+SUM('3. Consumption by Rate Class'!$R$28:$R$39),0)))))))</f>
        <v>1581464.98</v>
      </c>
      <c r="Y13" s="617"/>
      <c r="Z13" s="65">
        <f t="shared" ref="Z13:Z23" si="11">+X13+Y13</f>
        <v>1581464.98</v>
      </c>
      <c r="AA13" s="220">
        <f>+IF($W$9='2. Customer Classes'!$B$9,+SUM('3. Consumption by Rate Class'!$M$28:$M$39),+IF($W$9='2. Customer Classes'!$B$10,+SUM('3. Consumption by Rate Class'!$P$28:$P$39),IF($W$9='2. Customer Classes'!$B$11,+SUM('3. Consumption by Rate Class'!$S$28:$S$39),0)))</f>
        <v>0</v>
      </c>
      <c r="AB13" s="220">
        <f>IF($W$9='2. Customer Classes'!$B$5,+'4. Customer Growth'!$C10,+IF($W$9='2. Customer Classes'!$B$6,+'4. Customer Growth'!$E10,+IF($W$9='2. Customer Classes'!$B$7,+'4. Customer Growth'!$G10,+IF($W$9='2. Customer Classes'!$B$8,+'4. Customer Growth'!$I10,+IF($W$9='2. Customer Classes'!$B$9,+'4. Customer Growth'!$K10,+IF($W$9='2. Customer Classes'!$B$10,+'4. Customer Growth'!$M10,IF($W$9='2. Customer Classes'!$B$11,+'4. Customer Growth'!$O10,0)))))))</f>
        <v>2259.5</v>
      </c>
      <c r="AC13" s="418">
        <f t="shared" ref="AC13:AC23" si="12">IF(AA13&gt;0,+Z13/AB13,0)</f>
        <v>0</v>
      </c>
      <c r="AD13" s="421">
        <f t="shared" ref="AD13:AD23" si="13">IF(AA13&gt;0,+AA13/AB13,0)</f>
        <v>0</v>
      </c>
      <c r="AE13" s="382">
        <f t="shared" si="2"/>
        <v>0</v>
      </c>
      <c r="AG13" s="397">
        <f t="shared" ref="AG13:AG23" si="14">+B13</f>
        <v>2006</v>
      </c>
      <c r="AH13" s="65">
        <f>IF($AG$9='2. Customer Classes'!$B$5,+SUM('3. Consumption by Rate Class'!$D$28:$D$39),+IF($AG$9='2. Customer Classes'!$B$6,+SUM('3. Consumption by Rate Class'!$F$28:$F$39),+IF($AG$9='2. Customer Classes'!$B$7,+SUM('3. Consumption by Rate Class'!$H$28:$H$39),+IF($AG$9='2. Customer Classes'!$B$8,+SUM('3. Consumption by Rate Class'!$J$28:$J$39),+IF($AG$9='2. Customer Classes'!$B$9,+SUM('3. Consumption by Rate Class'!$L$28:$L$39),+IF($AG$9='2. Customer Classes'!$B$10,+SUM('3. Consumption by Rate Class'!$O$28:$O$39),IF($AG$9='2. Customer Classes'!$B$11,+SUM('3. Consumption by Rate Class'!$R$28:$R$39),0)))))))</f>
        <v>0</v>
      </c>
      <c r="AI13" s="617"/>
      <c r="AJ13" s="65">
        <f t="shared" ref="AJ13:AJ23" si="15">+AH13+AI13</f>
        <v>0</v>
      </c>
      <c r="AK13" s="220">
        <f>+IF($AG$9='2. Customer Classes'!$B$9,+SUM('3. Consumption by Rate Class'!$M$28:$M$39),+IF($AG$9='2. Customer Classes'!$B$10,+SUM('3. Consumption by Rate Class'!$P$28:$P$39),IF($AG$9='2. Customer Classes'!$B$11,+SUM('3. Consumption by Rate Class'!$S$28:$S$39),0)))</f>
        <v>0</v>
      </c>
      <c r="AL13" s="220">
        <f>IF($AG$9='2. Customer Classes'!$B$5,+'4. Customer Growth'!$C10,+IF($AG$9='2. Customer Classes'!$B$6,+'4. Customer Growth'!$E10,+IF($AG$9='2. Customer Classes'!$B$7,+'4. Customer Growth'!$G10,+IF($AG$9='2. Customer Classes'!$B$8,+'4. Customer Growth'!$I10,+IF($AG$9='2. Customer Classes'!$B$9,+'4. Customer Growth'!$K10,+IF($AG$9='2. Customer Classes'!$B$10,+'4. Customer Growth'!$M10,IF($AG$9='2. Customer Classes'!$B$11,+'4. Customer Growth'!$O10,0)))))))</f>
        <v>0</v>
      </c>
      <c r="AM13" s="418">
        <f t="shared" ref="AM13:AM23" si="16">IF(AK13&gt;0,+AJ13/AL13,0)</f>
        <v>0</v>
      </c>
      <c r="AN13" s="421">
        <f t="shared" ref="AN13:AN23" si="17">IF(AK13&gt;0,+AK13/AL13,0)</f>
        <v>0</v>
      </c>
      <c r="AO13" s="382">
        <f t="shared" ref="AO13:AO21" si="18">IF(AK13&gt;0,+AK13/AJ13,0)</f>
        <v>0</v>
      </c>
      <c r="AQ13" s="397">
        <f t="shared" ref="AQ13:AQ23" si="19">+B13</f>
        <v>2006</v>
      </c>
      <c r="AR13" s="65">
        <f>IF($AQ$9='2. Customer Classes'!$B$5,+SUM('3. Consumption by Rate Class'!$D$28:$D$39),+IF($AQ$9='2. Customer Classes'!$B$6,+SUM('3. Consumption by Rate Class'!$F$28:$F$39),+IF($AQ$9='2. Customer Classes'!$B$7,+SUM('3. Consumption by Rate Class'!$H$28:$H$39),+IF($AQ$9='2. Customer Classes'!$B$8,+SUM('3. Consumption by Rate Class'!$J$28:$J$39),+IF($AQ$9='2. Customer Classes'!$B$9,+SUM('3. Consumption by Rate Class'!$L$28:$L$39),+IF($AQ$9='2. Customer Classes'!$B$10,+SUM('3. Consumption by Rate Class'!$O$28:$O$39),IF($AQ$9='2. Customer Classes'!$B$11,+SUM('3. Consumption by Rate Class'!$R$28:$R$39),0)))))))</f>
        <v>0</v>
      </c>
      <c r="AS13" s="617"/>
      <c r="AT13" s="65">
        <f t="shared" ref="AT13:AT23" si="20">+AR13+AS13</f>
        <v>0</v>
      </c>
      <c r="AU13" s="220">
        <f>+IF($AQ$9='2. Customer Classes'!$B$9,+SUM('3. Consumption by Rate Class'!$M$28:$M$39),+IF($AQ$9='2. Customer Classes'!$B$10,+SUM('3. Consumption by Rate Class'!$P$28:$P$39),IF($AQ$9='2. Customer Classes'!$B$11,+SUM('3. Consumption by Rate Class'!$S$28:$S$39),0)))</f>
        <v>0</v>
      </c>
      <c r="AV13" s="220">
        <f>IF($AQ$9='2. Customer Classes'!$B$5,+'4. Customer Growth'!$C10,+IF($AQ$9='2. Customer Classes'!$B$6,+'4. Customer Growth'!$E10,+IF($AQ$9='2. Customer Classes'!$B$7,+'4. Customer Growth'!$G10,+IF($AQ$9='2. Customer Classes'!$B$8,+'4. Customer Growth'!$I10,+IF($AQ$9='2. Customer Classes'!$B$9,+'4. Customer Growth'!$K10,+IF($AQ$9='2. Customer Classes'!$B$10,+'4. Customer Growth'!$M10,IF($AQ$9='2. Customer Classes'!$B$11,+'4. Customer Growth'!$O10,0)))))))</f>
        <v>0</v>
      </c>
      <c r="AW13" s="418">
        <f t="shared" ref="AW13:AW23" si="21">IF(AU13&gt;0,+AT13/AV13,0)</f>
        <v>0</v>
      </c>
      <c r="AX13" s="421">
        <f t="shared" ref="AX13:AX23" si="22">IF(AU13&gt;0,+AU13/AV13,0)</f>
        <v>0</v>
      </c>
      <c r="AY13" s="382">
        <f t="shared" ref="AY13:AY21" si="23">IF(AU13&gt;0,+AU13/AT13,0)</f>
        <v>0</v>
      </c>
    </row>
    <row r="14" spans="2:51" ht="12.75" customHeight="1" x14ac:dyDescent="0.2">
      <c r="B14" s="186">
        <f>'4. Customer Growth'!B11</f>
        <v>2007</v>
      </c>
      <c r="C14" s="65">
        <f>IF($B$9='2. Customer Classes'!$B$5,+SUM('3. Consumption by Rate Class'!$D$40:$D$51),+IF($B$9='2. Customer Classes'!$B$6,+SUM('3. Consumption by Rate Class'!$F$40:$F$51),+IF($B$9='2. Customer Classes'!$B$7,+SUM('3. Consumption by Rate Class'!$H$40:$H$51),+IF($B$9='2. Customer Classes'!$B$8,+SUM('3. Consumption by Rate Class'!$J$40:$J$51),+IF($B$9='2. Customer Classes'!$B$9,+SUM('3. Consumption by Rate Class'!$L$40:$L$51),+IF($B$9='2. Customer Classes'!$B$10,+SUM('3. Consumption by Rate Class'!$O$40:$O$51),IF($B$9='2. Customer Classes'!$B$11,+SUM('3. Consumption by Rate Class'!$R$40:$R$51),0)))))))</f>
        <v>14970174.015999999</v>
      </c>
      <c r="D14" s="617"/>
      <c r="E14" s="836">
        <f t="shared" si="3"/>
        <v>14970174.015999999</v>
      </c>
      <c r="F14" s="65">
        <f>+IF($B$9='2. Customer Classes'!$B$9,+SUM('3. Consumption by Rate Class'!$M$40:$M$51),+IF($B$9='2. Customer Classes'!$B$10,+SUM('3. Consumption by Rate Class'!$P$40:$P$51),IF($B$9='2. Customer Classes'!$B$11,+SUM('3. Consumption by Rate Class'!$S$40:$S$51),0)))</f>
        <v>0</v>
      </c>
      <c r="G14" s="65">
        <f>IF($B$9='2. Customer Classes'!$B$5,+'4. Customer Growth'!$C11,+IF($B$9='2. Customer Classes'!$B$6,+'4. Customer Growth'!$E11,+IF($B$9='2. Customer Classes'!$B$7,+'4. Customer Growth'!$G11,+IF($B$9='2. Customer Classes'!$B$8,+'4. Customer Growth'!$I11,+IF($B$9='2. Customer Classes'!$B$9,+'4. Customer Growth'!$K11,+IF($B$9='2. Customer Classes'!$B$10,+'4. Customer Growth'!$M11,IF($B$9='2. Customer Classes'!$B$11,+'4. Customer Growth'!$O11,0)))))))</f>
        <v>36</v>
      </c>
      <c r="H14" s="418">
        <f t="shared" si="4"/>
        <v>0</v>
      </c>
      <c r="I14" s="421">
        <f t="shared" si="5"/>
        <v>0</v>
      </c>
      <c r="J14" s="382">
        <f t="shared" si="6"/>
        <v>0</v>
      </c>
      <c r="K14" s="178"/>
      <c r="L14" s="178"/>
      <c r="M14" s="186">
        <f t="shared" si="0"/>
        <v>2007</v>
      </c>
      <c r="N14" s="65">
        <f>IF($M$9='2. Customer Classes'!$B$5,+SUM('3. Consumption by Rate Class'!$D$40:$D$51),+IF($M$9='2. Customer Classes'!$B$6,+SUM('3. Consumption by Rate Class'!$F$40:$F$51),+IF($M$9='2. Customer Classes'!$B$7,+SUM('3. Consumption by Rate Class'!$H$40:$H$51),+IF($M$9='2. Customer Classes'!$B$8,+SUM('3. Consumption by Rate Class'!$J$40:$J$51),+IF($M$9='2. Customer Classes'!$B$9,+SUM('3. Consumption by Rate Class'!$L$40:$L$51),+IF($M$9='2. Customer Classes'!$B$10,+SUM('3. Consumption by Rate Class'!$O$40:$O$51),IF($M$9='2. Customer Classes'!$B$11,+SUM('3. Consumption by Rate Class'!$R$40:$R$51),0)))))))</f>
        <v>4141943.8099999996</v>
      </c>
      <c r="O14" s="617"/>
      <c r="P14" s="65">
        <f t="shared" si="7"/>
        <v>4141943.8099999996</v>
      </c>
      <c r="Q14" s="220">
        <f>+IF($M$9='2. Customer Classes'!$B$9,+SUM('3. Consumption by Rate Class'!$M$40:$M$51),+IF($M$9='2. Customer Classes'!$B$10,+SUM('3. Consumption by Rate Class'!$P$40:$P$51),IF($M$9='2. Customer Classes'!$B$11,+SUM('3. Consumption by Rate Class'!$S$40:$S$51),0)))</f>
        <v>0</v>
      </c>
      <c r="R14" s="220">
        <f>IF($M$9='2. Customer Classes'!$B$5,+'4. Customer Growth'!$C11,+IF($M$9='2. Customer Classes'!$B$6,+'4. Customer Growth'!$E11,+IF($M$9='2. Customer Classes'!$B$7,+'4. Customer Growth'!$G11,+IF($M$9='2. Customer Classes'!$B$8,+'4. Customer Growth'!$I11,+IF($M$9='2. Customer Classes'!$B$9,+'4. Customer Growth'!$K11,+IF($M$9='2. Customer Classes'!$B$10,+'4. Customer Growth'!$M11,IF($M$9='2. Customer Classes'!$B$11,+'4. Customer Growth'!$O11,0)))))))</f>
        <v>1</v>
      </c>
      <c r="S14" s="418">
        <f t="shared" si="8"/>
        <v>0</v>
      </c>
      <c r="T14" s="421">
        <f t="shared" si="9"/>
        <v>0</v>
      </c>
      <c r="U14" s="382">
        <f t="shared" si="10"/>
        <v>0</v>
      </c>
      <c r="V14" s="59"/>
      <c r="W14" s="186">
        <f t="shared" si="1"/>
        <v>2007</v>
      </c>
      <c r="X14" s="65">
        <f>IF($W$9='2. Customer Classes'!$B$5,+SUM('3. Consumption by Rate Class'!$D$40:$D$51),+IF($W$9='2. Customer Classes'!$B$6,+SUM('3. Consumption by Rate Class'!$F$40:$F$51),+IF($W$9='2. Customer Classes'!$B$7,+SUM('3. Consumption by Rate Class'!$H$40:$H$51),+IF($W$9='2. Customer Classes'!$B$8,+SUM('3. Consumption by Rate Class'!$J$40:$J$51),+IF($W$9='2. Customer Classes'!$B$9,+SUM('3. Consumption by Rate Class'!$L$40:$L$51),+IF($W$9='2. Customer Classes'!$B$10,+SUM('3. Consumption by Rate Class'!$O$40:$O$51),IF($W$9='2. Customer Classes'!$B$11,+SUM('3. Consumption by Rate Class'!$R$40:$R$51),0)))))))</f>
        <v>1649562.9100000001</v>
      </c>
      <c r="Y14" s="617"/>
      <c r="Z14" s="65">
        <f t="shared" si="11"/>
        <v>1649562.9100000001</v>
      </c>
      <c r="AA14" s="220">
        <f>+IF($W$9='2. Customer Classes'!$B$9,+SUM('3. Consumption by Rate Class'!$M$40:$M$51),+IF($W$9='2. Customer Classes'!$B$10,+SUM('3. Consumption by Rate Class'!$P$40:$P$51),IF($W$9='2. Customer Classes'!$B$11,+SUM('3. Consumption by Rate Class'!$S$40:$S$51),0)))</f>
        <v>0</v>
      </c>
      <c r="AB14" s="220">
        <f>IF($W$9='2. Customer Classes'!$B$5,+'4. Customer Growth'!$C11,+IF($W$9='2. Customer Classes'!$B$6,+'4. Customer Growth'!$E11,+IF($W$9='2. Customer Classes'!$B$7,+'4. Customer Growth'!$G11,+IF($W$9='2. Customer Classes'!$B$8,+'4. Customer Growth'!$I11,+IF($W$9='2. Customer Classes'!$B$9,+'4. Customer Growth'!$K11,+IF($W$9='2. Customer Classes'!$B$10,+'4. Customer Growth'!$M11,IF($W$9='2. Customer Classes'!$B$11,+'4. Customer Growth'!$O11,0)))))))</f>
        <v>2340</v>
      </c>
      <c r="AC14" s="418">
        <f t="shared" si="12"/>
        <v>0</v>
      </c>
      <c r="AD14" s="421">
        <f t="shared" si="13"/>
        <v>0</v>
      </c>
      <c r="AE14" s="382">
        <f t="shared" si="2"/>
        <v>0</v>
      </c>
      <c r="AG14" s="397">
        <f t="shared" si="14"/>
        <v>2007</v>
      </c>
      <c r="AH14" s="65">
        <f>IF($AG$9='2. Customer Classes'!$B$5,+SUM('3. Consumption by Rate Class'!$D$40:$D$51),+IF($AG$9='2. Customer Classes'!$B$6,+SUM('3. Consumption by Rate Class'!$F$40:$F$51),+IF($AG$9='2. Customer Classes'!$B$7,+SUM('3. Consumption by Rate Class'!$H$40:$H$51),+IF($AG$9='2. Customer Classes'!$B$8,+SUM('3. Consumption by Rate Class'!$J$40:$J$51),+IF($AG$9='2. Customer Classes'!$B$9,+SUM('3. Consumption by Rate Class'!$L$40:$L$51),+IF($AG$9='2. Customer Classes'!$B$10,+SUM('3. Consumption by Rate Class'!$O$40:$O$51),IF($AG$9='2. Customer Classes'!$B$11,+SUM('3. Consumption by Rate Class'!$R$40:$R$51),0)))))))</f>
        <v>0</v>
      </c>
      <c r="AI14" s="617"/>
      <c r="AJ14" s="65">
        <f t="shared" si="15"/>
        <v>0</v>
      </c>
      <c r="AK14" s="220">
        <f>+IF($AG$9='2. Customer Classes'!$B$9,+SUM('3. Consumption by Rate Class'!$M$40:$M$51),+IF($AG$9='2. Customer Classes'!$B$10,+SUM('3. Consumption by Rate Class'!$P$40:$P$51),IF($AG$9='2. Customer Classes'!$B$11,+SUM('3. Consumption by Rate Class'!$S$40:$S$51),0)))</f>
        <v>0</v>
      </c>
      <c r="AL14" s="220">
        <f>IF($AG$9='2. Customer Classes'!$B$5,+'4. Customer Growth'!$C11,+IF($AG$9='2. Customer Classes'!$B$6,+'4. Customer Growth'!$E11,+IF($AG$9='2. Customer Classes'!$B$7,+'4. Customer Growth'!$G11,+IF($AG$9='2. Customer Classes'!$B$8,+'4. Customer Growth'!$I11,+IF($AG$9='2. Customer Classes'!$B$9,+'4. Customer Growth'!$K11,+IF($AG$9='2. Customer Classes'!$B$10,+'4. Customer Growth'!$M11,IF($AG$9='2. Customer Classes'!$B$11,+'4. Customer Growth'!$O11,0)))))))</f>
        <v>0</v>
      </c>
      <c r="AM14" s="418">
        <f t="shared" si="16"/>
        <v>0</v>
      </c>
      <c r="AN14" s="421">
        <f t="shared" si="17"/>
        <v>0</v>
      </c>
      <c r="AO14" s="382">
        <f t="shared" si="18"/>
        <v>0</v>
      </c>
      <c r="AQ14" s="397">
        <f t="shared" si="19"/>
        <v>2007</v>
      </c>
      <c r="AR14" s="65">
        <f>IF($AQ$9='2. Customer Classes'!$B$5,+SUM('3. Consumption by Rate Class'!$D$40:$D$51),+IF($AQ$9='2. Customer Classes'!$B$6,+SUM('3. Consumption by Rate Class'!$F$40:$F$51),+IF($AQ$9='2. Customer Classes'!$B$7,+SUM('3. Consumption by Rate Class'!$H$40:$H$51),+IF($AQ$9='2. Customer Classes'!$B$8,+SUM('3. Consumption by Rate Class'!$J$40:$J$51),+IF($AQ$9='2. Customer Classes'!$B$9,+SUM('3. Consumption by Rate Class'!$L$40:$L$51),+IF($AQ$9='2. Customer Classes'!$B$10,+SUM('3. Consumption by Rate Class'!$O$40:$O$51),IF($AQ$9='2. Customer Classes'!$B$11,+SUM('3. Consumption by Rate Class'!$R$40:$R$51),0)))))))</f>
        <v>0</v>
      </c>
      <c r="AS14" s="617"/>
      <c r="AT14" s="65">
        <f t="shared" si="20"/>
        <v>0</v>
      </c>
      <c r="AU14" s="220">
        <f>+IF($AQ$9='2. Customer Classes'!$B$9,+SUM('3. Consumption by Rate Class'!$M$40:$M$51),+IF($AQ$9='2. Customer Classes'!$B$10,+SUM('3. Consumption by Rate Class'!$P$40:$P$51),IF($AQ$9='2. Customer Classes'!$B$11,+SUM('3. Consumption by Rate Class'!$S$40:$S$51),0)))</f>
        <v>0</v>
      </c>
      <c r="AV14" s="220">
        <f>IF($AQ$9='2. Customer Classes'!$B$5,+'4. Customer Growth'!$C11,+IF($AQ$9='2. Customer Classes'!$B$6,+'4. Customer Growth'!$E11,+IF($AQ$9='2. Customer Classes'!$B$7,+'4. Customer Growth'!$G11,+IF($AQ$9='2. Customer Classes'!$B$8,+'4. Customer Growth'!$I11,+IF($AQ$9='2. Customer Classes'!$B$9,+'4. Customer Growth'!$K11,+IF($AQ$9='2. Customer Classes'!$B$10,+'4. Customer Growth'!$M11,IF($AQ$9='2. Customer Classes'!$B$11,+'4. Customer Growth'!$O11,0)))))))</f>
        <v>0</v>
      </c>
      <c r="AW14" s="418">
        <f t="shared" si="21"/>
        <v>0</v>
      </c>
      <c r="AX14" s="421">
        <f t="shared" si="22"/>
        <v>0</v>
      </c>
      <c r="AY14" s="382">
        <f t="shared" si="23"/>
        <v>0</v>
      </c>
    </row>
    <row r="15" spans="2:51" ht="12.75" customHeight="1" x14ac:dyDescent="0.2">
      <c r="B15" s="186">
        <f>'4. Customer Growth'!B12</f>
        <v>2008</v>
      </c>
      <c r="C15" s="65">
        <f>IF($B$9='2. Customer Classes'!$B$5,+SUM('3. Consumption by Rate Class'!$D$52:$D$63),+IF($B$9='2. Customer Classes'!$B$6,+SUM('3. Consumption by Rate Class'!$F$52:$F$63),+IF($B$9='2. Customer Classes'!$B$7,+SUM('3. Consumption by Rate Class'!$H$52:$H$63),+IF($B$9='2. Customer Classes'!$B$8,+SUM('3. Consumption by Rate Class'!$J$52:$J$63),+IF($B$9='2. Customer Classes'!$B$9,+SUM('3. Consumption by Rate Class'!$L$52:$L$63),+IF($B$9='2. Customer Classes'!$B$10,+SUM('3. Consumption by Rate Class'!$O$52:$O$63),IF($B$9='2. Customer Classes'!$B$11,+SUM('3. Consumption by Rate Class'!$R$52:$R$63),0)))))))</f>
        <v>17386048.783999998</v>
      </c>
      <c r="D15" s="617"/>
      <c r="E15" s="836">
        <f t="shared" si="3"/>
        <v>17386048.783999998</v>
      </c>
      <c r="F15" s="65">
        <f>+IF($B$9='2. Customer Classes'!$B$9,+SUM('3. Consumption by Rate Class'!$M$52:$M$63),+IF($B$9='2. Customer Classes'!$B$10,+SUM('3. Consumption by Rate Class'!$P$52:$P$63),IF($B$9='2. Customer Classes'!$B$11,+SUM('3. Consumption by Rate Class'!$S$52:$S$63),0)))</f>
        <v>0</v>
      </c>
      <c r="G15" s="65">
        <f>IF($B$9='2. Customer Classes'!$B$5,+'4. Customer Growth'!$C12,+IF($B$9='2. Customer Classes'!$B$6,+'4. Customer Growth'!$E12,+IF($B$9='2. Customer Classes'!$B$7,+'4. Customer Growth'!$G12,+IF($B$9='2. Customer Classes'!$B$8,+'4. Customer Growth'!$I12,+IF($B$9='2. Customer Classes'!$B$9,+'4. Customer Growth'!$K12,+IF($B$9='2. Customer Classes'!$B$10,+'4. Customer Growth'!$M12,IF($B$9='2. Customer Classes'!$B$11,+'4. Customer Growth'!$O12,0)))))))</f>
        <v>31</v>
      </c>
      <c r="H15" s="418">
        <f t="shared" si="4"/>
        <v>0</v>
      </c>
      <c r="I15" s="421">
        <f t="shared" si="5"/>
        <v>0</v>
      </c>
      <c r="J15" s="382">
        <f t="shared" si="6"/>
        <v>0</v>
      </c>
      <c r="K15" s="178"/>
      <c r="L15" s="178"/>
      <c r="M15" s="186">
        <f t="shared" si="0"/>
        <v>2008</v>
      </c>
      <c r="N15" s="65">
        <f>IF($M$9='2. Customer Classes'!$B$5,+SUM('3. Consumption by Rate Class'!$D$52:$D$63),+IF($M$9='2. Customer Classes'!$B$6,+SUM('3. Consumption by Rate Class'!$F$52:$F$63),+IF($M$9='2. Customer Classes'!$B$7,+SUM('3. Consumption by Rate Class'!$H$52:$H$63),+IF($M$9='2. Customer Classes'!$B$8,+SUM('3. Consumption by Rate Class'!$J$52:$J$63),+IF($M$9='2. Customer Classes'!$B$9,+SUM('3. Consumption by Rate Class'!$L$52:$L$63),+IF($M$9='2. Customer Classes'!$B$10,+SUM('3. Consumption by Rate Class'!$O$52:$O$63),IF($M$9='2. Customer Classes'!$B$11,+SUM('3. Consumption by Rate Class'!$R$52:$R$63),0)))))))</f>
        <v>4099392.6199999996</v>
      </c>
      <c r="O15" s="617"/>
      <c r="P15" s="65">
        <f t="shared" si="7"/>
        <v>4099392.6199999996</v>
      </c>
      <c r="Q15" s="220">
        <f>+IF($M$9='2. Customer Classes'!$B$9,+SUM('3. Consumption by Rate Class'!$M$52:$M$63),+IF($M$9='2. Customer Classes'!$B$10,+SUM('3. Consumption by Rate Class'!$P$52:$P$63),IF($M$9='2. Customer Classes'!$B$11,+SUM('3. Consumption by Rate Class'!$S$52:$S$63),0)))</f>
        <v>0</v>
      </c>
      <c r="R15" s="220">
        <f>IF($M$9='2. Customer Classes'!$B$5,+'4. Customer Growth'!$C12,+IF($M$9='2. Customer Classes'!$B$6,+'4. Customer Growth'!$E12,+IF($M$9='2. Customer Classes'!$B$7,+'4. Customer Growth'!$G12,+IF($M$9='2. Customer Classes'!$B$8,+'4. Customer Growth'!$I12,+IF($M$9='2. Customer Classes'!$B$9,+'4. Customer Growth'!$K12,+IF($M$9='2. Customer Classes'!$B$10,+'4. Customer Growth'!$M12,IF($M$9='2. Customer Classes'!$B$11,+'4. Customer Growth'!$O12,0)))))))</f>
        <v>1</v>
      </c>
      <c r="S15" s="418">
        <f t="shared" si="8"/>
        <v>0</v>
      </c>
      <c r="T15" s="421">
        <f t="shared" si="9"/>
        <v>0</v>
      </c>
      <c r="U15" s="382">
        <f t="shared" si="10"/>
        <v>0</v>
      </c>
      <c r="V15" s="59"/>
      <c r="W15" s="186">
        <f t="shared" si="1"/>
        <v>2008</v>
      </c>
      <c r="X15" s="65">
        <f>IF($W$9='2. Customer Classes'!$B$5,+SUM('3. Consumption by Rate Class'!$D$52:$D$63),+IF($W$9='2. Customer Classes'!$B$6,+SUM('3. Consumption by Rate Class'!$F$52:$F$63),+IF($W$9='2. Customer Classes'!$B$7,+SUM('3. Consumption by Rate Class'!$H$52:$H$63),+IF($W$9='2. Customer Classes'!$B$8,+SUM('3. Consumption by Rate Class'!$J$52:$J$63),+IF($W$9='2. Customer Classes'!$B$9,+SUM('3. Consumption by Rate Class'!$L$52:$L$63),+IF($W$9='2. Customer Classes'!$B$10,+SUM('3. Consumption by Rate Class'!$O$52:$O$63),IF($W$9='2. Customer Classes'!$B$11,+SUM('3. Consumption by Rate Class'!$R$52:$R$63),0)))))))</f>
        <v>1743399.895</v>
      </c>
      <c r="Y15" s="617"/>
      <c r="Z15" s="65">
        <f t="shared" si="11"/>
        <v>1743399.895</v>
      </c>
      <c r="AA15" s="220">
        <f>+IF($M$9='2. Customer Classes'!$B$9,+SUM('3. Consumption by Rate Class'!$M$52:$M$63),+IF($M$9='2. Customer Classes'!$B$10,+SUM('3. Consumption by Rate Class'!$P$52:$P$63),IF($M$9='2. Customer Classes'!$B$11,+SUM('3. Consumption by Rate Class'!$S$52:$S$63),0)))</f>
        <v>0</v>
      </c>
      <c r="AB15" s="220">
        <f>IF($W$9='2. Customer Classes'!$B$5,+'4. Customer Growth'!$C12,+IF($W$9='2. Customer Classes'!$B$6,+'4. Customer Growth'!$E12,+IF($W$9='2. Customer Classes'!$B$7,+'4. Customer Growth'!$G12,+IF($W$9='2. Customer Classes'!$B$8,+'4. Customer Growth'!$I12,+IF($W$9='2. Customer Classes'!$B$9,+'4. Customer Growth'!$K12,+IF($W$9='2. Customer Classes'!$B$10,+'4. Customer Growth'!$M12,IF($W$9='2. Customer Classes'!$B$11,+'4. Customer Growth'!$O12,0)))))))</f>
        <v>2421.5</v>
      </c>
      <c r="AC15" s="418">
        <f t="shared" si="12"/>
        <v>0</v>
      </c>
      <c r="AD15" s="421">
        <f t="shared" si="13"/>
        <v>0</v>
      </c>
      <c r="AE15" s="382">
        <f t="shared" si="2"/>
        <v>0</v>
      </c>
      <c r="AG15" s="397">
        <f t="shared" si="14"/>
        <v>2008</v>
      </c>
      <c r="AH15" s="65">
        <f>IF($AG$9='2. Customer Classes'!$B$5,+SUM('3. Consumption by Rate Class'!$D$52:$D$63),+IF($AG$9='2. Customer Classes'!$B$6,+SUM('3. Consumption by Rate Class'!$F$52:$F$63),+IF($AG$9='2. Customer Classes'!$B$7,+SUM('3. Consumption by Rate Class'!$H$52:$H$63),+IF($AG$9='2. Customer Classes'!$B$8,+SUM('3. Consumption by Rate Class'!$J$52:$J$63),+IF($AG$9='2. Customer Classes'!$B$9,+SUM('3. Consumption by Rate Class'!$L$52:$L$63),+IF($AG$9='2. Customer Classes'!$B$10,+SUM('3. Consumption by Rate Class'!$O$52:$O$63),IF($AG$9='2. Customer Classes'!$B$11,+SUM('3. Consumption by Rate Class'!$R$52:$R$63),0)))))))</f>
        <v>0</v>
      </c>
      <c r="AI15" s="617"/>
      <c r="AJ15" s="65">
        <f t="shared" si="15"/>
        <v>0</v>
      </c>
      <c r="AK15" s="220">
        <f>+IF($AG$9='2. Customer Classes'!$B$9,+SUM('3. Consumption by Rate Class'!$M$52:$M$63),+IF($AG$9='2. Customer Classes'!$B$10,+SUM('3. Consumption by Rate Class'!$P$52:$P$63),IF($AG$9='2. Customer Classes'!$B$11,+SUM('3. Consumption by Rate Class'!$S$52:$S$63),0)))</f>
        <v>0</v>
      </c>
      <c r="AL15" s="220">
        <f>IF($AG$9='2. Customer Classes'!$B$5,+'4. Customer Growth'!$C12,+IF($AG$9='2. Customer Classes'!$B$6,+'4. Customer Growth'!$E12,+IF($AG$9='2. Customer Classes'!$B$7,+'4. Customer Growth'!$G12,+IF($AG$9='2. Customer Classes'!$B$8,+'4. Customer Growth'!$I12,+IF($AG$9='2. Customer Classes'!$B$9,+'4. Customer Growth'!$K12,+IF($AG$9='2. Customer Classes'!$B$10,+'4. Customer Growth'!$M12,IF($AG$9='2. Customer Classes'!$B$11,+'4. Customer Growth'!$O12,0)))))))</f>
        <v>0</v>
      </c>
      <c r="AM15" s="418">
        <f t="shared" si="16"/>
        <v>0</v>
      </c>
      <c r="AN15" s="421">
        <f t="shared" si="17"/>
        <v>0</v>
      </c>
      <c r="AO15" s="382">
        <f t="shared" si="18"/>
        <v>0</v>
      </c>
      <c r="AQ15" s="397">
        <f t="shared" si="19"/>
        <v>2008</v>
      </c>
      <c r="AR15" s="65">
        <f>IF($AQ$9='2. Customer Classes'!$B$5,+SUM('3. Consumption by Rate Class'!$D$52:$D$63),+IF($AQ$9='2. Customer Classes'!$B$6,+SUM('3. Consumption by Rate Class'!$F$52:$F$63),+IF($AQ$9='2. Customer Classes'!$B$7,+SUM('3. Consumption by Rate Class'!$H$52:$H$63),+IF($AQ$9='2. Customer Classes'!$B$8,+SUM('3. Consumption by Rate Class'!$J$52:$J$63),+IF($AQ$9='2. Customer Classes'!$B$9,+SUM('3. Consumption by Rate Class'!$L$52:$L$63),+IF($AQ$9='2. Customer Classes'!$B$10,+SUM('3. Consumption by Rate Class'!$O$52:$O$63),IF($AQ$9='2. Customer Classes'!$B$11,+SUM('3. Consumption by Rate Class'!$R$52:$R$63),0)))))))</f>
        <v>0</v>
      </c>
      <c r="AS15" s="617"/>
      <c r="AT15" s="65">
        <f t="shared" si="20"/>
        <v>0</v>
      </c>
      <c r="AU15" s="220">
        <f>+IF($AQ$9='2. Customer Classes'!$B$9,+SUM('3. Consumption by Rate Class'!$M$52:$M$63),+IF($AQ$9='2. Customer Classes'!$B$10,+SUM('3. Consumption by Rate Class'!$P$52:$P$63),IF($AQ$9='2. Customer Classes'!$B$11,+SUM('3. Consumption by Rate Class'!$S$52:$S$63),0)))</f>
        <v>0</v>
      </c>
      <c r="AV15" s="220">
        <f>IF($AQ$9='2. Customer Classes'!$B$5,+'4. Customer Growth'!$C12,+IF($AQ$9='2. Customer Classes'!$B$6,+'4. Customer Growth'!$E12,+IF($AQ$9='2. Customer Classes'!$B$7,+'4. Customer Growth'!$G12,+IF($AQ$9='2. Customer Classes'!$B$8,+'4. Customer Growth'!$I12,+IF($AQ$9='2. Customer Classes'!$B$9,+'4. Customer Growth'!$K12,+IF($AQ$9='2. Customer Classes'!$B$10,+'4. Customer Growth'!$M12,IF($AQ$9='2. Customer Classes'!$B$11,+'4. Customer Growth'!$O12,0)))))))</f>
        <v>0</v>
      </c>
      <c r="AW15" s="418">
        <f t="shared" si="21"/>
        <v>0</v>
      </c>
      <c r="AX15" s="421">
        <f t="shared" si="22"/>
        <v>0</v>
      </c>
      <c r="AY15" s="382">
        <f t="shared" si="23"/>
        <v>0</v>
      </c>
    </row>
    <row r="16" spans="2:51" ht="12.75" customHeight="1" x14ac:dyDescent="0.2">
      <c r="B16" s="186">
        <f>'4. Customer Growth'!B13</f>
        <v>2009</v>
      </c>
      <c r="C16" s="65">
        <f>IF($B$9='2. Customer Classes'!$B$5,+SUM('3. Consumption by Rate Class'!$D$64:$D$75),+IF($B$9='2. Customer Classes'!$B$6,+SUM('3. Consumption by Rate Class'!$F$64:$F$75),+IF($B$9='2. Customer Classes'!$B$7,+SUM('3. Consumption by Rate Class'!$H$64:$H$75),+IF($B$9='2. Customer Classes'!$B$8,+SUM('3. Consumption by Rate Class'!$J$64:$J$75),+IF($B$9='2. Customer Classes'!$B$9,+SUM('3. Consumption by Rate Class'!$L$64:$L$75),+IF($B$9='2. Customer Classes'!$B$10,+SUM('3. Consumption by Rate Class'!$O$64:$O$75),IF($B$9='2. Customer Classes'!$B$11,+SUM('3. Consumption by Rate Class'!$R$64:$R$75),0)))))))</f>
        <v>16872487.509999998</v>
      </c>
      <c r="D16" s="617"/>
      <c r="E16" s="836">
        <f t="shared" si="3"/>
        <v>16872487.509999998</v>
      </c>
      <c r="F16" s="65">
        <f>+IF($B$9='2. Customer Classes'!$B$9,+SUM('3. Consumption by Rate Class'!$M$64:$M$75),+IF($B$9='2. Customer Classes'!$B$10,+SUM('3. Consumption by Rate Class'!$P$64:$P$75),IF($B$9='2. Customer Classes'!$B$11,+SUM('3. Consumption by Rate Class'!$S$64:$S$75),0)))</f>
        <v>43811.69</v>
      </c>
      <c r="G16" s="65">
        <f>IF($B$9='2. Customer Classes'!$B$5,+'4. Customer Growth'!$C13,+IF($B$9='2. Customer Classes'!$B$6,+'4. Customer Growth'!$E13,+IF($B$9='2. Customer Classes'!$B$7,+'4. Customer Growth'!$G13,+IF($B$9='2. Customer Classes'!$B$8,+'4. Customer Growth'!$I13,+IF($B$9='2. Customer Classes'!$B$9,+'4. Customer Growth'!$K13,+IF($B$9='2. Customer Classes'!$B$10,+'4. Customer Growth'!$M13,IF($B$9='2. Customer Classes'!$B$11,+'4. Customer Growth'!$O13,0)))))))</f>
        <v>30</v>
      </c>
      <c r="H16" s="418">
        <f t="shared" si="4"/>
        <v>562416.25033333327</v>
      </c>
      <c r="I16" s="421">
        <f t="shared" si="5"/>
        <v>1460.3896666666667</v>
      </c>
      <c r="J16" s="382">
        <f t="shared" si="6"/>
        <v>2.5966349048433825E-3</v>
      </c>
      <c r="K16" s="178"/>
      <c r="L16" s="178"/>
      <c r="M16" s="186">
        <f t="shared" si="0"/>
        <v>2009</v>
      </c>
      <c r="N16" s="65">
        <f>IF($M$9='2. Customer Classes'!$B$5,+SUM('3. Consumption by Rate Class'!$D$64:$D$75),+IF($M$9='2. Customer Classes'!$B$6,+SUM('3. Consumption by Rate Class'!$F$64:$F$75),+IF($M$9='2. Customer Classes'!$B$7,+SUM('3. Consumption by Rate Class'!$H$64:$H$75),+IF($M$9='2. Customer Classes'!$B$8,+SUM('3. Consumption by Rate Class'!$J$64:$J$75),+IF($M$9='2. Customer Classes'!$B$9,+SUM('3. Consumption by Rate Class'!$L$64:$L$75),+IF($M$9='2. Customer Classes'!$B$10,+SUM('3. Consumption by Rate Class'!$O$64:$O$75),IF($M$9='2. Customer Classes'!$B$11,+SUM('3. Consumption by Rate Class'!$R$64:$R$75),0)))))))</f>
        <v>4143210.3299999996</v>
      </c>
      <c r="O16" s="617"/>
      <c r="P16" s="65">
        <f t="shared" si="7"/>
        <v>4143210.3299999996</v>
      </c>
      <c r="Q16" s="220">
        <f>+IF($M$9='2. Customer Classes'!$B$9,+SUM('3. Consumption by Rate Class'!$M$64:$M$75),+IF($M$9='2. Customer Classes'!$B$10,+SUM('3. Consumption by Rate Class'!$P$64:$P$75),IF($M$9='2. Customer Classes'!$B$11,+SUM('3. Consumption by Rate Class'!$S$64:$S$75),0)))</f>
        <v>7024.26</v>
      </c>
      <c r="R16" s="220">
        <f>IF($M$9='2. Customer Classes'!$B$5,+'4. Customer Growth'!$C13,+IF($M$9='2. Customer Classes'!$B$6,+'4. Customer Growth'!$E13,+IF($M$9='2. Customer Classes'!$B$7,+'4. Customer Growth'!$G13,+IF($M$9='2. Customer Classes'!$B$8,+'4. Customer Growth'!$I13,+IF($M$9='2. Customer Classes'!$B$9,+'4. Customer Growth'!$K13,+IF($M$9='2. Customer Classes'!$B$10,+'4. Customer Growth'!$M13,IF($M$9='2. Customer Classes'!$B$11,+'4. Customer Growth'!$O13,0)))))))</f>
        <v>1</v>
      </c>
      <c r="S16" s="418">
        <f t="shared" si="8"/>
        <v>4143210.3299999996</v>
      </c>
      <c r="T16" s="421">
        <f t="shared" si="9"/>
        <v>7024.26</v>
      </c>
      <c r="U16" s="382">
        <f t="shared" si="10"/>
        <v>1.6953665009808955E-3</v>
      </c>
      <c r="V16" s="59"/>
      <c r="W16" s="186">
        <f t="shared" si="1"/>
        <v>2009</v>
      </c>
      <c r="X16" s="65">
        <f>IF($W$9='2. Customer Classes'!$B$5,+SUM('3. Consumption by Rate Class'!$D$64:$D$75),+IF($W$9='2. Customer Classes'!$B$6,+SUM('3. Consumption by Rate Class'!$F$64:$F$75),+IF($W$9='2. Customer Classes'!$B$7,+SUM('3. Consumption by Rate Class'!$H$64:$H$75),+IF($W$9='2. Customer Classes'!$B$8,+SUM('3. Consumption by Rate Class'!$J$64:$J$75),+IF($W$9='2. Customer Classes'!$B$9,+SUM('3. Consumption by Rate Class'!$L$64:$L$75),+IF($W$9='2. Customer Classes'!$B$10,+SUM('3. Consumption by Rate Class'!$O$64:$O$75),IF($W$9='2. Customer Classes'!$B$11,+SUM('3. Consumption by Rate Class'!$R$64:$R$75),0)))))))</f>
        <v>1723126.175</v>
      </c>
      <c r="Y16" s="617"/>
      <c r="Z16" s="65">
        <f t="shared" si="11"/>
        <v>1723126.175</v>
      </c>
      <c r="AA16" s="220">
        <f>+IF($W$9='2. Customer Classes'!$B$9,+SUM('3. Consumption by Rate Class'!$M$64:$M$75),+IF($W$9='2. Customer Classes'!$B$10,+SUM('3. Consumption by Rate Class'!$P$64:$P$75),IF($W$9='2. Customer Classes'!$B$11,+SUM('3. Consumption by Rate Class'!$S$64:$S$75),0)))</f>
        <v>4962.5399999999991</v>
      </c>
      <c r="AB16" s="220">
        <f>IF($W$9='2. Customer Classes'!$B$5,+'4. Customer Growth'!$C13,+IF($W$9='2. Customer Classes'!$B$6,+'4. Customer Growth'!$E13,+IF($W$9='2. Customer Classes'!$B$7,+'4. Customer Growth'!$G13,+IF($W$9='2. Customer Classes'!$B$8,+'4. Customer Growth'!$I13,+IF($W$9='2. Customer Classes'!$B$9,+'4. Customer Growth'!$K13,+IF($W$9='2. Customer Classes'!$B$10,+'4. Customer Growth'!$M13,IF($W$9='2. Customer Classes'!$B$11,+'4. Customer Growth'!$O13,0)))))))</f>
        <v>2473</v>
      </c>
      <c r="AC16" s="418">
        <f t="shared" si="12"/>
        <v>696.7756469874646</v>
      </c>
      <c r="AD16" s="421">
        <f t="shared" si="13"/>
        <v>2.0066882329154869</v>
      </c>
      <c r="AE16" s="382">
        <f t="shared" si="2"/>
        <v>2.8799632156942881E-3</v>
      </c>
      <c r="AG16" s="397">
        <f t="shared" si="14"/>
        <v>2009</v>
      </c>
      <c r="AH16" s="65">
        <f>IF($AG$9='2. Customer Classes'!$B$5,+SUM('3. Consumption by Rate Class'!$D$64:$D$75),+IF($AG$9='2. Customer Classes'!$B$6,+SUM('3. Consumption by Rate Class'!$F$64:$F$75),+IF($AG$9='2. Customer Classes'!$B$7,+SUM('3. Consumption by Rate Class'!$H$64:$H$75),+IF($AG$9='2. Customer Classes'!$B$8,+SUM('3. Consumption by Rate Class'!$J$64:$J$75),+IF($AG$9='2. Customer Classes'!$B$9,+SUM('3. Consumption by Rate Class'!$L$64:$L$75),+IF($AG$9='2. Customer Classes'!$B$10,+SUM('3. Consumption by Rate Class'!$O$64:$O$75),IF($AG$9='2. Customer Classes'!$B$11,+SUM('3. Consumption by Rate Class'!$R$64:$R$75),0)))))))</f>
        <v>0</v>
      </c>
      <c r="AI16" s="617"/>
      <c r="AJ16" s="65">
        <f t="shared" si="15"/>
        <v>0</v>
      </c>
      <c r="AK16" s="220">
        <f>+IF($AG$9='2. Customer Classes'!$B$9,+SUM('3. Consumption by Rate Class'!$M$64:$M$75),+IF($AG$9='2. Customer Classes'!$B$10,+SUM('3. Consumption by Rate Class'!$P$64:$P$75),IF($AG$9='2. Customer Classes'!$B$11,+SUM('3. Consumption by Rate Class'!$S$64:$S$75),0)))</f>
        <v>0</v>
      </c>
      <c r="AL16" s="220">
        <f>IF($AG$9='2. Customer Classes'!$B$5,+'4. Customer Growth'!$C13,+IF($AG$9='2. Customer Classes'!$B$6,+'4. Customer Growth'!$E13,+IF($AG$9='2. Customer Classes'!$B$7,+'4. Customer Growth'!$G13,+IF($AG$9='2. Customer Classes'!$B$8,+'4. Customer Growth'!$I13,+IF($AG$9='2. Customer Classes'!$B$9,+'4. Customer Growth'!$K13,+IF($AG$9='2. Customer Classes'!$B$10,+'4. Customer Growth'!$M13,IF($AG$9='2. Customer Classes'!$B$11,+'4. Customer Growth'!$O13,0)))))))</f>
        <v>0</v>
      </c>
      <c r="AM16" s="418">
        <f t="shared" si="16"/>
        <v>0</v>
      </c>
      <c r="AN16" s="421">
        <f t="shared" si="17"/>
        <v>0</v>
      </c>
      <c r="AO16" s="382">
        <f t="shared" si="18"/>
        <v>0</v>
      </c>
      <c r="AQ16" s="397">
        <f t="shared" si="19"/>
        <v>2009</v>
      </c>
      <c r="AR16" s="65">
        <f>IF($AQ$9='2. Customer Classes'!$B$5,+SUM('3. Consumption by Rate Class'!$D$64:$D$75),+IF($AQ$9='2. Customer Classes'!$B$6,+SUM('3. Consumption by Rate Class'!$F$64:$F$75),+IF($AQ$9='2. Customer Classes'!$B$7,+SUM('3. Consumption by Rate Class'!$H$64:$H$75),+IF($AQ$9='2. Customer Classes'!$B$8,+SUM('3. Consumption by Rate Class'!$J$64:$J$75),+IF($AQ$9='2. Customer Classes'!$B$9,+SUM('3. Consumption by Rate Class'!$L$64:$L$75),+IF($AQ$9='2. Customer Classes'!$B$10,+SUM('3. Consumption by Rate Class'!$O$64:$O$75),IF($AQ$9='2. Customer Classes'!$B$11,+SUM('3. Consumption by Rate Class'!$R$64:$R$75),0)))))))</f>
        <v>0</v>
      </c>
      <c r="AS16" s="617"/>
      <c r="AT16" s="65">
        <f t="shared" si="20"/>
        <v>0</v>
      </c>
      <c r="AU16" s="220">
        <f>+IF($AQ$9='2. Customer Classes'!$B$9,+SUM('3. Consumption by Rate Class'!$M$64:$M$75),+IF($AQ$9='2. Customer Classes'!$B$10,+SUM('3. Consumption by Rate Class'!$P$64:$P$75),IF($AQ$9='2. Customer Classes'!$B$11,+SUM('3. Consumption by Rate Class'!$S$64:$S$75),0)))</f>
        <v>0</v>
      </c>
      <c r="AV16" s="220">
        <f>IF($AQ$9='2. Customer Classes'!$B$5,+'4. Customer Growth'!$C13,+IF($AQ$9='2. Customer Classes'!$B$6,+'4. Customer Growth'!$E13,+IF($AQ$9='2. Customer Classes'!$B$7,+'4. Customer Growth'!$G13,+IF($AQ$9='2. Customer Classes'!$B$8,+'4. Customer Growth'!$I13,+IF($AQ$9='2. Customer Classes'!$B$9,+'4. Customer Growth'!$K13,+IF($AQ$9='2. Customer Classes'!$B$10,+'4. Customer Growth'!$M13,IF($AQ$9='2. Customer Classes'!$B$11,+'4. Customer Growth'!$O13,0)))))))</f>
        <v>0</v>
      </c>
      <c r="AW16" s="418">
        <f t="shared" si="21"/>
        <v>0</v>
      </c>
      <c r="AX16" s="421">
        <f t="shared" si="22"/>
        <v>0</v>
      </c>
      <c r="AY16" s="382">
        <f t="shared" si="23"/>
        <v>0</v>
      </c>
    </row>
    <row r="17" spans="2:51" ht="12.75" customHeight="1" x14ac:dyDescent="0.2">
      <c r="B17" s="186">
        <f>'4. Customer Growth'!B14</f>
        <v>2010</v>
      </c>
      <c r="C17" s="65">
        <f>IF($B$9='2. Customer Classes'!$B$5,+SUM('3. Consumption by Rate Class'!$D$76:$D$87),+IF($B$9='2. Customer Classes'!$B$6,+SUM('3. Consumption by Rate Class'!$F$76:$F$87),+IF($B$9='2. Customer Classes'!$B$7,+SUM('3. Consumption by Rate Class'!$H$76:$H$87),+IF($B$9='2. Customer Classes'!$B$8,+SUM('3. Consumption by Rate Class'!$J$76:$J$87),+IF($B$9='2. Customer Classes'!$B$9,+SUM('3. Consumption by Rate Class'!$L$76:$L$87),+IF($B$9='2. Customer Classes'!$B$10,+SUM('3. Consumption by Rate Class'!$O$76:$O$87),IF($B$9='2. Customer Classes'!$B$11,+SUM('3. Consumption by Rate Class'!$R$76:$R$87),0)))))))</f>
        <v>17629407.020000003</v>
      </c>
      <c r="D17" s="617"/>
      <c r="E17" s="836">
        <f t="shared" si="3"/>
        <v>17629407.020000003</v>
      </c>
      <c r="F17" s="65">
        <f>+IF($B$9='2. Customer Classes'!$B$9,+SUM('3. Consumption by Rate Class'!$M$76:$M$87),+IF($B$9='2. Customer Classes'!$B$10,+SUM('3. Consumption by Rate Class'!$P$76:$P$87),IF($B$9='2. Customer Classes'!$B$11,+SUM('3. Consumption by Rate Class'!$S$76:$S$87),0)))</f>
        <v>44115.7</v>
      </c>
      <c r="G17" s="65">
        <f>IF($B$9='2. Customer Classes'!$B$5,+'4. Customer Growth'!$C14,+IF($B$9='2. Customer Classes'!$B$6,+'4. Customer Growth'!$E14,+IF($B$9='2. Customer Classes'!$B$7,+'4. Customer Growth'!$G14,+IF($B$9='2. Customer Classes'!$B$8,+'4. Customer Growth'!$I14,+IF($B$9='2. Customer Classes'!$B$9,+'4. Customer Growth'!$K14,+IF($B$9='2. Customer Classes'!$B$10,+'4. Customer Growth'!$M14,IF($B$9='2. Customer Classes'!$B$11,+'4. Customer Growth'!$O14,0)))))))</f>
        <v>31</v>
      </c>
      <c r="H17" s="418">
        <f t="shared" si="4"/>
        <v>568690.54903225822</v>
      </c>
      <c r="I17" s="421">
        <f t="shared" si="5"/>
        <v>1423.0870967741935</v>
      </c>
      <c r="J17" s="382">
        <f t="shared" si="6"/>
        <v>2.5023927322088673E-3</v>
      </c>
      <c r="K17" s="178"/>
      <c r="L17" s="178"/>
      <c r="M17" s="186">
        <f t="shared" si="0"/>
        <v>2010</v>
      </c>
      <c r="N17" s="65">
        <f>IF($M$9='2. Customer Classes'!$B$5,+SUM('3. Consumption by Rate Class'!$D$76:$D$87),+IF($M$9='2. Customer Classes'!$B$6,+SUM('3. Consumption by Rate Class'!$F$76:$F$87),+IF($M$9='2. Customer Classes'!$B$7,+SUM('3. Consumption by Rate Class'!$H$76:$H$87),+IF($M$9='2. Customer Classes'!$B$8,+SUM('3. Consumption by Rate Class'!$J$76:$J$87),+IF($M$9='2. Customer Classes'!$B$9,+SUM('3. Consumption by Rate Class'!$L$76:$L$87),+IF($M$9='2. Customer Classes'!$B$10,+SUM('3. Consumption by Rate Class'!$O$76:$O$87),IF($M$9='2. Customer Classes'!$B$11,+SUM('3. Consumption by Rate Class'!$R$76:$R$87),0)))))))</f>
        <v>4263662.9799999995</v>
      </c>
      <c r="O17" s="617"/>
      <c r="P17" s="65">
        <f t="shared" si="7"/>
        <v>4263662.9799999995</v>
      </c>
      <c r="Q17" s="220">
        <f>+IF($M$9='2. Customer Classes'!$B$9,+SUM('3. Consumption by Rate Class'!$M$76:$M$87),+IF($M$9='2. Customer Classes'!$B$10,+SUM('3. Consumption by Rate Class'!$P$76:$P$87),IF($M$9='2. Customer Classes'!$B$11,+SUM('3. Consumption by Rate Class'!$S$76:$S$87),0)))</f>
        <v>7300.7999999999993</v>
      </c>
      <c r="R17" s="220">
        <f>IF($M$9='2. Customer Classes'!$B$5,+'4. Customer Growth'!$C14,+IF($M$9='2. Customer Classes'!$B$6,+'4. Customer Growth'!$E14,+IF($M$9='2. Customer Classes'!$B$7,+'4. Customer Growth'!$G14,+IF($M$9='2. Customer Classes'!$B$8,+'4. Customer Growth'!$I14,+IF($M$9='2. Customer Classes'!$B$9,+'4. Customer Growth'!$K14,+IF($M$9='2. Customer Classes'!$B$10,+'4. Customer Growth'!$M14,IF($M$9='2. Customer Classes'!$B$11,+'4. Customer Growth'!$O14,0)))))))</f>
        <v>1</v>
      </c>
      <c r="S17" s="418">
        <f t="shared" si="8"/>
        <v>4263662.9799999995</v>
      </c>
      <c r="T17" s="421">
        <f t="shared" si="9"/>
        <v>7300.7999999999993</v>
      </c>
      <c r="U17" s="382">
        <f t="shared" si="10"/>
        <v>1.7123304619165748E-3</v>
      </c>
      <c r="V17" s="59"/>
      <c r="W17" s="186">
        <f t="shared" si="1"/>
        <v>2010</v>
      </c>
      <c r="X17" s="65">
        <f>IF($W$9='2. Customer Classes'!$B$5,+SUM('3. Consumption by Rate Class'!$D$76:$D$87),+IF($W$9='2. Customer Classes'!$B$6,+SUM('3. Consumption by Rate Class'!$F$76:$F$87),+IF($W$9='2. Customer Classes'!$B$7,+SUM('3. Consumption by Rate Class'!$H$76:$H$87),+IF($W$9='2. Customer Classes'!$B$8,+SUM('3. Consumption by Rate Class'!$J$76:$J$87),+IF($W$9='2. Customer Classes'!$B$9,+SUM('3. Consumption by Rate Class'!$L$76:$L$87),+IF($W$9='2. Customer Classes'!$B$10,+SUM('3. Consumption by Rate Class'!$O$76:$O$87),IF($W$9='2. Customer Classes'!$B$11,+SUM('3. Consumption by Rate Class'!$R$76:$R$87),0)))))))</f>
        <v>1736181.47</v>
      </c>
      <c r="Y17" s="617"/>
      <c r="Z17" s="65">
        <f t="shared" si="11"/>
        <v>1736181.47</v>
      </c>
      <c r="AA17" s="220">
        <f>+IF($W$9='2. Customer Classes'!$B$9,+SUM('3. Consumption by Rate Class'!$M$76:$M$87),+IF($W$9='2. Customer Classes'!$B$10,+SUM('3. Consumption by Rate Class'!$P$76:$P$87),IF($W$9='2. Customer Classes'!$B$11,+SUM('3. Consumption by Rate Class'!$S$76:$S$87),0)))</f>
        <v>4976.3099999999995</v>
      </c>
      <c r="AB17" s="220">
        <f>IF($W$9='2. Customer Classes'!$B$5,+'4. Customer Growth'!$C14,+IF($W$9='2. Customer Classes'!$B$6,+'4. Customer Growth'!$E14,+IF($W$9='2. Customer Classes'!$B$7,+'4. Customer Growth'!$G14,+IF($W$9='2. Customer Classes'!$B$8,+'4. Customer Growth'!$I14,+IF($W$9='2. Customer Classes'!$B$9,+'4. Customer Growth'!$K14,+IF($W$9='2. Customer Classes'!$B$10,+'4. Customer Growth'!$M14,IF($W$9='2. Customer Classes'!$B$11,+'4. Customer Growth'!$O14,0)))))))</f>
        <v>2483</v>
      </c>
      <c r="AC17" s="418">
        <f t="shared" si="12"/>
        <v>699.22733387031815</v>
      </c>
      <c r="AD17" s="421">
        <f t="shared" si="13"/>
        <v>2.0041522351993555</v>
      </c>
      <c r="AE17" s="382">
        <f t="shared" si="2"/>
        <v>2.8662384007588789E-3</v>
      </c>
      <c r="AG17" s="397">
        <f t="shared" si="14"/>
        <v>2010</v>
      </c>
      <c r="AH17" s="65">
        <f>IF($AG$9='2. Customer Classes'!$B$5,+SUM('3. Consumption by Rate Class'!$D$76:$D$87),+IF($AG$9='2. Customer Classes'!$B$6,+SUM('3. Consumption by Rate Class'!$F$76:$F$87),+IF($AG$9='2. Customer Classes'!$B$7,+SUM('3. Consumption by Rate Class'!$H$76:$H$87),+IF($AG$9='2. Customer Classes'!$B$8,+SUM('3. Consumption by Rate Class'!$J$76:$J$87),+IF($AG$9='2. Customer Classes'!$B$9,+SUM('3. Consumption by Rate Class'!$L$76:$L$87),+IF($AG$9='2. Customer Classes'!$B$10,+SUM('3. Consumption by Rate Class'!$O$76:$O$87),IF($AG$9='2. Customer Classes'!$B$11,+SUM('3. Consumption by Rate Class'!$R$76:$R$87),0)))))))</f>
        <v>0</v>
      </c>
      <c r="AI17" s="617"/>
      <c r="AJ17" s="65">
        <f t="shared" si="15"/>
        <v>0</v>
      </c>
      <c r="AK17" s="220">
        <f>+IF($AG$9='2. Customer Classes'!$B$9,+SUM('3. Consumption by Rate Class'!$M$76:$M$87),+IF($AG$9='2. Customer Classes'!$B$10,+SUM('3. Consumption by Rate Class'!$P$76:$P$87),IF($AG$9='2. Customer Classes'!$B$11,+SUM('3. Consumption by Rate Class'!$S$76:$S$87),0)))</f>
        <v>0</v>
      </c>
      <c r="AL17" s="220">
        <f>IF($AG$9='2. Customer Classes'!$B$5,+'4. Customer Growth'!$C14,+IF($AG$9='2. Customer Classes'!$B$6,+'4. Customer Growth'!$E14,+IF($AG$9='2. Customer Classes'!$B$7,+'4. Customer Growth'!$G14,+IF($AG$9='2. Customer Classes'!$B$8,+'4. Customer Growth'!$I14,+IF($AG$9='2. Customer Classes'!$B$9,+'4. Customer Growth'!$K14,+IF($AG$9='2. Customer Classes'!$B$10,+'4. Customer Growth'!$M14,IF($AG$9='2. Customer Classes'!$B$11,+'4. Customer Growth'!$O14,0)))))))</f>
        <v>0</v>
      </c>
      <c r="AM17" s="418">
        <f t="shared" si="16"/>
        <v>0</v>
      </c>
      <c r="AN17" s="421">
        <f t="shared" si="17"/>
        <v>0</v>
      </c>
      <c r="AO17" s="382">
        <f t="shared" si="18"/>
        <v>0</v>
      </c>
      <c r="AQ17" s="397">
        <f t="shared" si="19"/>
        <v>2010</v>
      </c>
      <c r="AR17" s="65">
        <f>IF($AQ$9='2. Customer Classes'!$B$5,+SUM('3. Consumption by Rate Class'!$D$76:$D$87),+IF($AQ$9='2. Customer Classes'!$B$6,+SUM('3. Consumption by Rate Class'!$F$76:$F$87),+IF($AQ$9='2. Customer Classes'!$B$7,+SUM('3. Consumption by Rate Class'!$H$76:$H$87),+IF($AQ$9='2. Customer Classes'!$B$8,+SUM('3. Consumption by Rate Class'!$J$76:$J$87),+IF($AQ$9='2. Customer Classes'!$B$9,+SUM('3. Consumption by Rate Class'!$L$76:$L$87),+IF($AQ$9='2. Customer Classes'!$B$10,+SUM('3. Consumption by Rate Class'!$O$76:$O$87),IF($AQ$9='2. Customer Classes'!$B$11,+SUM('3. Consumption by Rate Class'!$R$76:$R$87),0)))))))</f>
        <v>0</v>
      </c>
      <c r="AS17" s="617"/>
      <c r="AT17" s="65">
        <f t="shared" si="20"/>
        <v>0</v>
      </c>
      <c r="AU17" s="220">
        <f>+IF($AQ$9='2. Customer Classes'!$B$9,+SUM('3. Consumption by Rate Class'!$M$76:$M$87),+IF($AQ$9='2. Customer Classes'!$B$10,+SUM('3. Consumption by Rate Class'!$P$76:$P$87),IF($AQ$9='2. Customer Classes'!$B$11,+SUM('3. Consumption by Rate Class'!$S$76:$S$87),0)))</f>
        <v>0</v>
      </c>
      <c r="AV17" s="220">
        <f>IF($AQ$9='2. Customer Classes'!$B$5,+'4. Customer Growth'!$C14,+IF($AQ$9='2. Customer Classes'!$B$6,+'4. Customer Growth'!$E14,+IF($AQ$9='2. Customer Classes'!$B$7,+'4. Customer Growth'!$G14,+IF($AQ$9='2. Customer Classes'!$B$8,+'4. Customer Growth'!$I14,+IF($AQ$9='2. Customer Classes'!$B$9,+'4. Customer Growth'!$K14,+IF($AQ$9='2. Customer Classes'!$B$10,+'4. Customer Growth'!$M14,IF($AQ$9='2. Customer Classes'!$B$11,+'4. Customer Growth'!$O14,0)))))))</f>
        <v>0</v>
      </c>
      <c r="AW17" s="418">
        <f t="shared" si="21"/>
        <v>0</v>
      </c>
      <c r="AX17" s="421">
        <f t="shared" si="22"/>
        <v>0</v>
      </c>
      <c r="AY17" s="382">
        <f t="shared" si="23"/>
        <v>0</v>
      </c>
    </row>
    <row r="18" spans="2:51" ht="12.75" customHeight="1" x14ac:dyDescent="0.2">
      <c r="B18" s="186">
        <f>'4. Customer Growth'!B15</f>
        <v>2011</v>
      </c>
      <c r="C18" s="65">
        <f>IF($B$9='2. Customer Classes'!$B$5,+SUM('3. Consumption by Rate Class'!$D$88:$D$99),+IF($B$9='2. Customer Classes'!$B$6,+SUM('3. Consumption by Rate Class'!$F$88:$F$99),+IF($B$9='2. Customer Classes'!$B$7,+SUM('3. Consumption by Rate Class'!$H$88:$H$99),+IF($B$9='2. Customer Classes'!$B$8,+SUM('3. Consumption by Rate Class'!$J$88:$J$99),+IF($B$9='2. Customer Classes'!$B$9,+SUM('3. Consumption by Rate Class'!$L$88:$L$99),+IF($B$9='2. Customer Classes'!$B$10,+SUM('3. Consumption by Rate Class'!$O$88:$O$99),IF($B$9='2. Customer Classes'!$B$11,+SUM('3. Consumption by Rate Class'!$R$88:$R$99),0)))))))</f>
        <v>17073810.420000002</v>
      </c>
      <c r="D18" s="617"/>
      <c r="E18" s="836">
        <f t="shared" si="3"/>
        <v>17073810.420000002</v>
      </c>
      <c r="F18" s="65">
        <f>+IF($B$9='2. Customer Classes'!$B$9,+SUM('3. Consumption by Rate Class'!$M$88:$M$99),+IF($B$9='2. Customer Classes'!$B$10,+SUM('3. Consumption by Rate Class'!$P$88:$P$99),IF($B$9='2. Customer Classes'!$B$11,+SUM('3. Consumption by Rate Class'!$S$88:$S$99),0)))</f>
        <v>45358.5</v>
      </c>
      <c r="G18" s="65">
        <f>IF($B$9='2. Customer Classes'!$B$5,+'4. Customer Growth'!$C15,+IF($B$9='2. Customer Classes'!$B$6,+'4. Customer Growth'!$E15,+IF($B$9='2. Customer Classes'!$B$7,+'4. Customer Growth'!$G15,+IF($B$9='2. Customer Classes'!$B$8,+'4. Customer Growth'!$I15,+IF($B$9='2. Customer Classes'!$B$9,+'4. Customer Growth'!$K15,+IF($B$9='2. Customer Classes'!$B$10,+'4. Customer Growth'!$M15,IF($B$9='2. Customer Classes'!$B$11,+'4. Customer Growth'!$O15,0)))))))</f>
        <v>32.5</v>
      </c>
      <c r="H18" s="418">
        <f t="shared" si="4"/>
        <v>525348.01292307698</v>
      </c>
      <c r="I18" s="421">
        <f t="shared" si="5"/>
        <v>1395.6461538461538</v>
      </c>
      <c r="J18" s="382">
        <f>IF(F18&gt;0,+F18/E18,0)</f>
        <v>2.6566126063381694E-3</v>
      </c>
      <c r="K18" s="178"/>
      <c r="L18" s="178"/>
      <c r="M18" s="186">
        <f t="shared" si="0"/>
        <v>2011</v>
      </c>
      <c r="N18" s="65">
        <f>IF($M$9='2. Customer Classes'!$B$5,+SUM('3. Consumption by Rate Class'!$D$88:$D$99),+IF($M$9='2. Customer Classes'!$B$6,+SUM('3. Consumption by Rate Class'!$F$88:$F$99),+IF($M$9='2. Customer Classes'!$B$7,+SUM('3. Consumption by Rate Class'!$H$88:$H$99),+IF($M$9='2. Customer Classes'!$B$8,+SUM('3. Consumption by Rate Class'!$J$88:$J$99),+IF($M$9='2. Customer Classes'!$B$9,+SUM('3. Consumption by Rate Class'!$L$88:$L$99),+IF($M$9='2. Customer Classes'!$B$10,+SUM('3. Consumption by Rate Class'!$O$88:$O$99),IF($M$9='2. Customer Classes'!$B$11,+SUM('3. Consumption by Rate Class'!$R$88:$R$99),0)))))))</f>
        <v>4201222.58</v>
      </c>
      <c r="O18" s="617"/>
      <c r="P18" s="65">
        <f t="shared" si="7"/>
        <v>4201222.58</v>
      </c>
      <c r="Q18" s="220">
        <f>+IF($M$9='2. Customer Classes'!$B$9,+SUM('3. Consumption by Rate Class'!$M$88:$M$99),+IF($M$9='2. Customer Classes'!$B$10,+SUM('3. Consumption by Rate Class'!$P$88:$P$99),IF($M$9='2. Customer Classes'!$B$11,+SUM('3. Consumption by Rate Class'!$S$88:$S$99),0)))</f>
        <v>7185.5999999999995</v>
      </c>
      <c r="R18" s="220">
        <f>IF($M$9='2. Customer Classes'!$B$5,+'4. Customer Growth'!$C15,+IF($M$9='2. Customer Classes'!$B$6,+'4. Customer Growth'!$E15,+IF($M$9='2. Customer Classes'!$B$7,+'4. Customer Growth'!$G15,+IF($M$9='2. Customer Classes'!$B$8,+'4. Customer Growth'!$I15,+IF($M$9='2. Customer Classes'!$B$9,+'4. Customer Growth'!$K15,+IF($M$9='2. Customer Classes'!$B$10,+'4. Customer Growth'!$M15,IF($M$9='2. Customer Classes'!$B$11,+'4. Customer Growth'!$O15,0)))))))</f>
        <v>1</v>
      </c>
      <c r="S18" s="418">
        <f t="shared" si="8"/>
        <v>4201222.58</v>
      </c>
      <c r="T18" s="421">
        <f t="shared" si="9"/>
        <v>7185.5999999999995</v>
      </c>
      <c r="U18" s="382">
        <f t="shared" si="10"/>
        <v>1.7103592735617447E-3</v>
      </c>
      <c r="V18" s="59"/>
      <c r="W18" s="186">
        <f t="shared" si="1"/>
        <v>2011</v>
      </c>
      <c r="X18" s="65">
        <f>IF($W$9='2. Customer Classes'!$B$5,+SUM('3. Consumption by Rate Class'!$D$88:$D$99),+IF($W$9='2. Customer Classes'!$B$6,+SUM('3. Consumption by Rate Class'!$F$88:$F$99),+IF($W$9='2. Customer Classes'!$B$7,+SUM('3. Consumption by Rate Class'!$H$88:$H$99),+IF($W$9='2. Customer Classes'!$B$8,+SUM('3. Consumption by Rate Class'!$J$88:$J$99),+IF($W$9='2. Customer Classes'!$B$9,+SUM('3. Consumption by Rate Class'!$L$88:$L$99),+IF($W$9='2. Customer Classes'!$B$10,+SUM('3. Consumption by Rate Class'!$O$88:$O$99),IF($W$9='2. Customer Classes'!$B$11,+SUM('3. Consumption by Rate Class'!$R$88:$R$99),0)))))))</f>
        <v>1695783</v>
      </c>
      <c r="Y18" s="617"/>
      <c r="Z18" s="65">
        <f t="shared" si="11"/>
        <v>1695783</v>
      </c>
      <c r="AA18" s="220">
        <f>+IF($W$9='2. Customer Classes'!$B$9,+SUM('3. Consumption by Rate Class'!$M$88:$M$99),+IF($W$9='2. Customer Classes'!$B$10,+SUM('3. Consumption by Rate Class'!$P$88:$P$99),IF($W$9='2. Customer Classes'!$B$11,+SUM('3. Consumption by Rate Class'!$S$88:$S$99),0)))</f>
        <v>5014.5</v>
      </c>
      <c r="AB18" s="220">
        <f>IF($W$9='2. Customer Classes'!$B$5,+'4. Customer Growth'!$C15,+IF($W$9='2. Customer Classes'!$B$6,+'4. Customer Growth'!$E15,+IF($W$9='2. Customer Classes'!$B$7,+'4. Customer Growth'!$G15,+IF($W$9='2. Customer Classes'!$B$8,+'4. Customer Growth'!$I15,+IF($W$9='2. Customer Classes'!$B$9,+'4. Customer Growth'!$K15,+IF($W$9='2. Customer Classes'!$B$10,+'4. Customer Growth'!$M15,IF($W$9='2. Customer Classes'!$B$11,+'4. Customer Growth'!$O15,0)))))))</f>
        <v>2493.5</v>
      </c>
      <c r="AC18" s="418">
        <f t="shared" si="12"/>
        <v>680.08141167034285</v>
      </c>
      <c r="AD18" s="421">
        <f t="shared" si="13"/>
        <v>2.0110286745538399</v>
      </c>
      <c r="AE18" s="382">
        <f t="shared" si="2"/>
        <v>2.9570410836763901E-3</v>
      </c>
      <c r="AG18" s="397">
        <f t="shared" si="14"/>
        <v>2011</v>
      </c>
      <c r="AH18" s="65">
        <f>IF($AG$9='2. Customer Classes'!$B$5,+SUM('3. Consumption by Rate Class'!$D$88:$D$99),+IF($AG$9='2. Customer Classes'!$B$6,+SUM('3. Consumption by Rate Class'!$F$88:$F$99),+IF($AG$9='2. Customer Classes'!$B$7,+SUM('3. Consumption by Rate Class'!$H$88:$H$99),+IF($AG$9='2. Customer Classes'!$B$8,+SUM('3. Consumption by Rate Class'!$J$88:$J$99),+IF($AG$9='2. Customer Classes'!$B$9,+SUM('3. Consumption by Rate Class'!$L$88:$L$99),+IF($AG$9='2. Customer Classes'!$B$10,+SUM('3. Consumption by Rate Class'!$O$88:$O$99),IF($AG$9='2. Customer Classes'!$B$11,+SUM('3. Consumption by Rate Class'!$R$88:$R$99),0)))))))</f>
        <v>0</v>
      </c>
      <c r="AI18" s="617"/>
      <c r="AJ18" s="65">
        <f t="shared" si="15"/>
        <v>0</v>
      </c>
      <c r="AK18" s="220">
        <f>+IF($AG$9='2. Customer Classes'!$B$9,+SUM('3. Consumption by Rate Class'!$M$88:$M$99),+IF($AG$9='2. Customer Classes'!$B$10,+SUM('3. Consumption by Rate Class'!$P$88:$P$99),IF($AG$9='2. Customer Classes'!$B$11,+SUM('3. Consumption by Rate Class'!$S$88:$S$99),0)))</f>
        <v>0</v>
      </c>
      <c r="AL18" s="220">
        <f>IF($AG$9='2. Customer Classes'!$B$5,+'4. Customer Growth'!$C15,+IF($AG$9='2. Customer Classes'!$B$6,+'4. Customer Growth'!$E15,+IF($AG$9='2. Customer Classes'!$B$7,+'4. Customer Growth'!$G15,+IF($AG$9='2. Customer Classes'!$B$8,+'4. Customer Growth'!$I15,+IF($AG$9='2. Customer Classes'!$B$9,+'4. Customer Growth'!$K15,+IF($AG$9='2. Customer Classes'!$B$10,+'4. Customer Growth'!$M15,IF($AG$9='2. Customer Classes'!$B$11,+'4. Customer Growth'!$O15,0)))))))</f>
        <v>0</v>
      </c>
      <c r="AM18" s="418">
        <f t="shared" si="16"/>
        <v>0</v>
      </c>
      <c r="AN18" s="421">
        <f t="shared" si="17"/>
        <v>0</v>
      </c>
      <c r="AO18" s="382">
        <f t="shared" si="18"/>
        <v>0</v>
      </c>
      <c r="AQ18" s="397">
        <f t="shared" si="19"/>
        <v>2011</v>
      </c>
      <c r="AR18" s="65">
        <f>IF($AQ$9='2. Customer Classes'!$B$5,+SUM('3. Consumption by Rate Class'!$D$88:$D$99),+IF($AQ$9='2. Customer Classes'!$B$6,+SUM('3. Consumption by Rate Class'!$F$88:$F$99),+IF($AQ$9='2. Customer Classes'!$B$7,+SUM('3. Consumption by Rate Class'!$H$88:$H$99),+IF($AQ$9='2. Customer Classes'!$B$8,+SUM('3. Consumption by Rate Class'!$J$88:$J$99),+IF($AQ$9='2. Customer Classes'!$B$9,+SUM('3. Consumption by Rate Class'!$L$88:$L$99),+IF($AQ$9='2. Customer Classes'!$B$10,+SUM('3. Consumption by Rate Class'!$O$88:$O$99),IF($AQ$9='2. Customer Classes'!$B$11,+SUM('3. Consumption by Rate Class'!$R$88:$R$99),0)))))))</f>
        <v>0</v>
      </c>
      <c r="AS18" s="617"/>
      <c r="AT18" s="65">
        <f t="shared" si="20"/>
        <v>0</v>
      </c>
      <c r="AU18" s="220">
        <f>+IF($AQ$9='2. Customer Classes'!$B$9,+SUM('3. Consumption by Rate Class'!$M$88:$M$99),+IF($AQ$9='2. Customer Classes'!$B$10,+SUM('3. Consumption by Rate Class'!$P$88:$P$99),IF($AQ$9='2. Customer Classes'!$B$11,+SUM('3. Consumption by Rate Class'!$S$88:$S$99),0)))</f>
        <v>0</v>
      </c>
      <c r="AV18" s="220">
        <f>IF($AQ$9='2. Customer Classes'!$B$5,+'4. Customer Growth'!$C15,+IF($AQ$9='2. Customer Classes'!$B$6,+'4. Customer Growth'!$E15,+IF($AQ$9='2. Customer Classes'!$B$7,+'4. Customer Growth'!$G15,+IF($AQ$9='2. Customer Classes'!$B$8,+'4. Customer Growth'!$I15,+IF($AQ$9='2. Customer Classes'!$B$9,+'4. Customer Growth'!$K15,+IF($AQ$9='2. Customer Classes'!$B$10,+'4. Customer Growth'!$M15,IF($AQ$9='2. Customer Classes'!$B$11,+'4. Customer Growth'!$O15,0)))))))</f>
        <v>0</v>
      </c>
      <c r="AW18" s="418">
        <f t="shared" si="21"/>
        <v>0</v>
      </c>
      <c r="AX18" s="421">
        <f t="shared" si="22"/>
        <v>0</v>
      </c>
      <c r="AY18" s="382">
        <f t="shared" si="23"/>
        <v>0</v>
      </c>
    </row>
    <row r="19" spans="2:51" ht="12.75" customHeight="1" x14ac:dyDescent="0.2">
      <c r="B19" s="186">
        <f>'4. Customer Growth'!B16</f>
        <v>2012</v>
      </c>
      <c r="C19" s="65">
        <f>IF($B$9='2. Customer Classes'!$B$5,+SUM('3. Consumption by Rate Class'!$D$100:$D$111),+IF($B$9='2. Customer Classes'!$B$6,+SUM('3. Consumption by Rate Class'!$F$100:$F$111),+IF($B$9='2. Customer Classes'!$B$7,+SUM('3. Consumption by Rate Class'!$H$100:$H$111),+IF($B$9='2. Customer Classes'!$B$8,+SUM('3. Consumption by Rate Class'!$J$100:$J$111),+IF($B$9='2. Customer Classes'!$B$9,+SUM('3. Consumption by Rate Class'!$L$100:$L$111),+IF($B$9='2. Customer Classes'!$B$10,+SUM('3. Consumption by Rate Class'!$O$100:$O$111),IF($B$9='2. Customer Classes'!$B$11,+SUM('3. Consumption by Rate Class'!$R$100:$R$111),0)))))))</f>
        <v>17613527.535856102</v>
      </c>
      <c r="D19" s="617"/>
      <c r="E19" s="836">
        <f>+D19+C19</f>
        <v>17613527.535856102</v>
      </c>
      <c r="F19" s="65">
        <f>+IF($B$9='2. Customer Classes'!$B$9,+SUM('3. Consumption by Rate Class'!$M$100:$M$111),+IF($B$9='2. Customer Classes'!$B$10,+SUM('3. Consumption by Rate Class'!$P$100:$P$111),IF($B$9='2. Customer Classes'!$B$11,+SUM('3. Consumption by Rate Class'!$S$100:$S$111),0)))</f>
        <v>47594.97</v>
      </c>
      <c r="G19" s="65">
        <f>IF($B$9='2. Customer Classes'!$B$5,+'4. Customer Growth'!$C16,+IF($B$9='2. Customer Classes'!$B$6,+'4. Customer Growth'!$E16,+IF($B$9='2. Customer Classes'!$B$7,+'4. Customer Growth'!$G16,+IF($B$9='2. Customer Classes'!$B$8,+'4. Customer Growth'!$I16,+IF($B$9='2. Customer Classes'!$B$9,+'4. Customer Growth'!$K16,+IF($B$9='2. Customer Classes'!$B$10,+'4. Customer Growth'!$M16,IF($B$9='2. Customer Classes'!$B$11,+'4. Customer Growth'!$O16,0)))))))</f>
        <v>35</v>
      </c>
      <c r="H19" s="418">
        <f t="shared" si="4"/>
        <v>503243.64388160291</v>
      </c>
      <c r="I19" s="421">
        <f t="shared" si="5"/>
        <v>1359.8562857142858</v>
      </c>
      <c r="J19" s="382">
        <f t="shared" si="6"/>
        <v>2.7021827344414833E-3</v>
      </c>
      <c r="K19" s="178"/>
      <c r="L19" s="178"/>
      <c r="M19" s="186">
        <f t="shared" si="0"/>
        <v>2012</v>
      </c>
      <c r="N19" s="65">
        <f>IF($M$9='2. Customer Classes'!$B$5,+SUM('3. Consumption by Rate Class'!$D$100:$D$111),+IF($M$9='2. Customer Classes'!$B$6,+SUM('3. Consumption by Rate Class'!$F$100:$F$111),+IF($M$9='2. Customer Classes'!$B$7,+SUM('3. Consumption by Rate Class'!$H$100:$H$111),+IF($M$9='2. Customer Classes'!$B$8,+SUM('3. Consumption by Rate Class'!$J$100:$J$111),+IF($M$9='2. Customer Classes'!$B$9,+SUM('3. Consumption by Rate Class'!$L$100:$L$111),+IF($M$9='2. Customer Classes'!$B$10,+SUM('3. Consumption by Rate Class'!$O$100:$O$111),IF($M$9='2. Customer Classes'!$B$11,+SUM('3. Consumption by Rate Class'!$R$100:$R$111),0)))))))</f>
        <v>3761855.8131238185</v>
      </c>
      <c r="O19" s="617"/>
      <c r="P19" s="65">
        <f t="shared" si="7"/>
        <v>3761855.8131238185</v>
      </c>
      <c r="Q19" s="220">
        <f>+IF($M$9='2. Customer Classes'!$B$9,+SUM('3. Consumption by Rate Class'!$M$100:$M$111),+IF($M$9='2. Customer Classes'!$B$10,+SUM('3. Consumption by Rate Class'!$P$100:$P$111),IF($M$9='2. Customer Classes'!$B$11,+SUM('3. Consumption by Rate Class'!$S$100:$S$111),0)))</f>
        <v>6698.9100000000008</v>
      </c>
      <c r="R19" s="220">
        <f>IF($M$9='2. Customer Classes'!$B$5,+'4. Customer Growth'!$C16,+IF($M$9='2. Customer Classes'!$B$6,+'4. Customer Growth'!$E16,+IF($M$9='2. Customer Classes'!$B$7,+'4. Customer Growth'!$G16,+IF($M$9='2. Customer Classes'!$B$8,+'4. Customer Growth'!$I16,+IF($M$9='2. Customer Classes'!$B$9,+'4. Customer Growth'!$K16,+IF($M$9='2. Customer Classes'!$B$10,+'4. Customer Growth'!$M16,IF($M$9='2. Customer Classes'!$B$11,+'4. Customer Growth'!$O16,0)))))))</f>
        <v>1</v>
      </c>
      <c r="S19" s="418">
        <f>IF(Q19&gt;0,+P19/R19,0)</f>
        <v>3761855.8131238185</v>
      </c>
      <c r="T19" s="421">
        <f>IF(Q19&gt;0,+Q19/R19,0)</f>
        <v>6698.9100000000008</v>
      </c>
      <c r="U19" s="382">
        <f t="shared" si="10"/>
        <v>1.7807460819284494E-3</v>
      </c>
      <c r="V19" s="59"/>
      <c r="W19" s="186">
        <f t="shared" si="1"/>
        <v>2012</v>
      </c>
      <c r="X19" s="65">
        <f>IF($W$9='2. Customer Classes'!$B$5,+SUM('3. Consumption by Rate Class'!$D$100:$D$111),+IF($W$9='2. Customer Classes'!$B$6,+SUM('3. Consumption by Rate Class'!$F$100:$F$111),+IF($W$9='2. Customer Classes'!$B$7,+SUM('3. Consumption by Rate Class'!$H$100:$H$111),+IF($W$9='2. Customer Classes'!$B$8,+SUM('3. Consumption by Rate Class'!$J$100:$J$111),+IF($W$9='2. Customer Classes'!$B$9,+SUM('3. Consumption by Rate Class'!$L$100:$L$111),+IF($W$9='2. Customer Classes'!$B$10,+SUM('3. Consumption by Rate Class'!$O$100:$O$111),IF($W$9='2. Customer Classes'!$B$11,+SUM('3. Consumption by Rate Class'!$R$100:$R$111),0)))))))</f>
        <v>1731441.9339870713</v>
      </c>
      <c r="Y19" s="617"/>
      <c r="Z19" s="65">
        <f t="shared" si="11"/>
        <v>1731441.9339870713</v>
      </c>
      <c r="AA19" s="220">
        <f>+IF($W$9='2. Customer Classes'!$B$9,+SUM('3. Consumption by Rate Class'!$M$100:$M$111),+IF($W$9='2. Customer Classes'!$B$10,+SUM('3. Consumption by Rate Class'!$P$100:$P$111),IF($W$9='2. Customer Classes'!$B$11,+SUM('3. Consumption by Rate Class'!$S$100:$S$111),0)))</f>
        <v>5202.74</v>
      </c>
      <c r="AB19" s="220">
        <f>IF($W$9='2. Customer Classes'!$B$5,+'4. Customer Growth'!$C16,+IF($W$9='2. Customer Classes'!$B$6,+'4. Customer Growth'!$E16,+IF($W$9='2. Customer Classes'!$B$7,+'4. Customer Growth'!$G16,+IF($W$9='2. Customer Classes'!$B$8,+'4. Customer Growth'!$I16,+IF($W$9='2. Customer Classes'!$B$9,+'4. Customer Growth'!$K16,+IF($W$9='2. Customer Classes'!$B$10,+'4. Customer Growth'!$M16,IF($W$9='2. Customer Classes'!$B$11,+'4. Customer Growth'!$O16,0)))))))</f>
        <v>2588</v>
      </c>
      <c r="AC19" s="418">
        <f t="shared" si="12"/>
        <v>669.02702240613269</v>
      </c>
      <c r="AD19" s="421">
        <f t="shared" si="13"/>
        <v>2.0103323029366305</v>
      </c>
      <c r="AE19" s="382">
        <f t="shared" si="2"/>
        <v>3.0048596478308748E-3</v>
      </c>
      <c r="AG19" s="397">
        <f t="shared" si="14"/>
        <v>2012</v>
      </c>
      <c r="AH19" s="65">
        <f>IF($AG$9='2. Customer Classes'!$B$5,+SUM('3. Consumption by Rate Class'!$D$100:$D$111),+IF($AG$9='2. Customer Classes'!$B$6,+SUM('3. Consumption by Rate Class'!$F$100:$F$111),+IF($AG$9='2. Customer Classes'!$B$7,+SUM('3. Consumption by Rate Class'!$H$100:$H$111),+IF($AG$9='2. Customer Classes'!$B$8,+SUM('3. Consumption by Rate Class'!$J$100:$J$111),+IF($AG$9='2. Customer Classes'!$B$9,+SUM('3. Consumption by Rate Class'!$L$100:$L$111),+IF($AG$9='2. Customer Classes'!$B$10,+SUM('3. Consumption by Rate Class'!$O$100:$O$111),IF($AG$9='2. Customer Classes'!$B$11,+SUM('3. Consumption by Rate Class'!$R$100:$R$111),0)))))))</f>
        <v>0</v>
      </c>
      <c r="AI19" s="617"/>
      <c r="AJ19" s="65">
        <f t="shared" si="15"/>
        <v>0</v>
      </c>
      <c r="AK19" s="220">
        <f>+IF($AG$9='2. Customer Classes'!$B$9,+SUM('3. Consumption by Rate Class'!$M$100:$M$111),+IF($AG$9='2. Customer Classes'!$B$10,+SUM('3. Consumption by Rate Class'!$P$100:$P$111),IF($AG$9='2. Customer Classes'!$B$11,+SUM('3. Consumption by Rate Class'!$S$100:$S$111),0)))</f>
        <v>0</v>
      </c>
      <c r="AL19" s="220">
        <f>IF($AG$9='2. Customer Classes'!$B$5,+'4. Customer Growth'!$C16,+IF($AG$9='2. Customer Classes'!$B$6,+'4. Customer Growth'!$E16,+IF($AG$9='2. Customer Classes'!$B$7,+'4. Customer Growth'!$G16,+IF($AG$9='2. Customer Classes'!$B$8,+'4. Customer Growth'!$I16,+IF($AG$9='2. Customer Classes'!$B$9,+'4. Customer Growth'!$K16,+IF($AG$9='2. Customer Classes'!$B$10,+'4. Customer Growth'!$M16,IF($AG$9='2. Customer Classes'!$B$11,+'4. Customer Growth'!$O16,0)))))))</f>
        <v>0</v>
      </c>
      <c r="AM19" s="418">
        <f t="shared" si="16"/>
        <v>0</v>
      </c>
      <c r="AN19" s="421">
        <f t="shared" si="17"/>
        <v>0</v>
      </c>
      <c r="AO19" s="382">
        <f t="shared" si="18"/>
        <v>0</v>
      </c>
      <c r="AQ19" s="397">
        <f t="shared" si="19"/>
        <v>2012</v>
      </c>
      <c r="AR19" s="65">
        <f>IF($AQ$9='2. Customer Classes'!$B$5,+SUM('3. Consumption by Rate Class'!$D$100:$D$111),+IF($AQ$9='2. Customer Classes'!$B$6,+SUM('3. Consumption by Rate Class'!$F$100:$F$111),+IF($AQ$9='2. Customer Classes'!$B$7,+SUM('3. Consumption by Rate Class'!$H$100:$H$111),+IF($AQ$9='2. Customer Classes'!$B$8,+SUM('3. Consumption by Rate Class'!$J$100:$J$111),+IF($AQ$9='2. Customer Classes'!$B$9,+SUM('3. Consumption by Rate Class'!$L$100:$L$111),+IF($AQ$9='2. Customer Classes'!$B$10,+SUM('3. Consumption by Rate Class'!$O$100:$O$111),IF($AQ$9='2. Customer Classes'!$B$11,+SUM('3. Consumption by Rate Class'!$R$100:$R$111),0)))))))</f>
        <v>0</v>
      </c>
      <c r="AS19" s="617"/>
      <c r="AT19" s="65">
        <f t="shared" si="20"/>
        <v>0</v>
      </c>
      <c r="AU19" s="220">
        <f>+IF($AQ$9='2. Customer Classes'!$B$9,+SUM('3. Consumption by Rate Class'!$M$100:$M$111),+IF($AQ$9='2. Customer Classes'!$B$10,+SUM('3. Consumption by Rate Class'!$P$100:$P$111),IF($AQ$9='2. Customer Classes'!$B$11,+SUM('3. Consumption by Rate Class'!$S$100:$S$111),0)))</f>
        <v>0</v>
      </c>
      <c r="AV19" s="220">
        <f>IF($AQ$9='2. Customer Classes'!$B$5,+'4. Customer Growth'!$C16,+IF($AQ$9='2. Customer Classes'!$B$6,+'4. Customer Growth'!$E16,+IF($AQ$9='2. Customer Classes'!$B$7,+'4. Customer Growth'!$G16,+IF($AQ$9='2. Customer Classes'!$B$8,+'4. Customer Growth'!$I16,+IF($AQ$9='2. Customer Classes'!$B$9,+'4. Customer Growth'!$K16,+IF($AQ$9='2. Customer Classes'!$B$10,+'4. Customer Growth'!$M16,IF($AQ$9='2. Customer Classes'!$B$11,+'4. Customer Growth'!$O16,0)))))))</f>
        <v>0</v>
      </c>
      <c r="AW19" s="418">
        <f t="shared" si="21"/>
        <v>0</v>
      </c>
      <c r="AX19" s="421">
        <f t="shared" si="22"/>
        <v>0</v>
      </c>
      <c r="AY19" s="382">
        <f t="shared" si="23"/>
        <v>0</v>
      </c>
    </row>
    <row r="20" spans="2:51" ht="12.75" customHeight="1" x14ac:dyDescent="0.2">
      <c r="B20" s="186">
        <f>'4. Customer Growth'!B17</f>
        <v>2013</v>
      </c>
      <c r="C20" s="65">
        <f>IF($B$9='2. Customer Classes'!$B$5,+SUM('3. Consumption by Rate Class'!$D$112:$D$123),+IF($B$9='2. Customer Classes'!$B$6,+SUM('3. Consumption by Rate Class'!$F$112:$F$123),+IF($B$9='2. Customer Classes'!$B$7,+SUM('3. Consumption by Rate Class'!$H$112:$H$123),+IF($B$9='2. Customer Classes'!$B$8,+SUM('3. Consumption by Rate Class'!$J$112:$J$123),+IF($B$9='2. Customer Classes'!$B$9,+SUM('3. Consumption by Rate Class'!$L$112:$L$123),+IF($B$9='2. Customer Classes'!$B$10,+SUM('3. Consumption by Rate Class'!$O$112:$O$123),IF($B$9='2. Customer Classes'!$B$11,+SUM('3. Consumption by Rate Class'!$R$112:$R$123),0)))))))</f>
        <v>17691775.363432009</v>
      </c>
      <c r="D20" s="617"/>
      <c r="E20" s="836">
        <f t="shared" si="3"/>
        <v>17691775.363432009</v>
      </c>
      <c r="F20" s="65">
        <f>+IF($B$9='2. Customer Classes'!$B$9,+SUM('3. Consumption by Rate Class'!$M$112:$M$123),+IF($B$9='2. Customer Classes'!$B$10,+SUM('3. Consumption by Rate Class'!$P$112:$P$123),IF($B$9='2. Customer Classes'!$B$11,+SUM('3. Consumption by Rate Class'!$S$112:$S$123),0)))</f>
        <v>46866.61</v>
      </c>
      <c r="G20" s="65">
        <f>IF($B$9='2. Customer Classes'!$B$5,+'4. Customer Growth'!$C17,+IF($B$9='2. Customer Classes'!$B$6,+'4. Customer Growth'!$E17,+IF($B$9='2. Customer Classes'!$B$7,+'4. Customer Growth'!$G17,+IF($B$9='2. Customer Classes'!$B$8,+'4. Customer Growth'!$I17,+IF($B$9='2. Customer Classes'!$B$9,+'4. Customer Growth'!$K17,+IF($B$9='2. Customer Classes'!$B$10,+'4. Customer Growth'!$M17,IF($B$9='2. Customer Classes'!$B$11,+'4. Customer Growth'!$O17,0)))))))</f>
        <v>35</v>
      </c>
      <c r="H20" s="418">
        <f t="shared" si="4"/>
        <v>505479.29609805741</v>
      </c>
      <c r="I20" s="421">
        <f t="shared" si="5"/>
        <v>1339.046</v>
      </c>
      <c r="J20" s="382">
        <f t="shared" si="6"/>
        <v>2.6490620097331147E-3</v>
      </c>
      <c r="K20" s="178"/>
      <c r="L20" s="178"/>
      <c r="M20" s="186">
        <f t="shared" si="0"/>
        <v>2013</v>
      </c>
      <c r="N20" s="65">
        <f>IF($M$9='2. Customer Classes'!$B$5,+SUM('3. Consumption by Rate Class'!$D$112:$D$123),+IF($M$9='2. Customer Classes'!$B$6,+SUM('3. Consumption by Rate Class'!$F$112:$F$123),+IF($M$9='2. Customer Classes'!$B$7,+SUM('3. Consumption by Rate Class'!$H$112:$H$123),+IF($M$9='2. Customer Classes'!$B$8,+SUM('3. Consumption by Rate Class'!$J$112:$J$123),+IF($M$9='2. Customer Classes'!$B$9,+SUM('3. Consumption by Rate Class'!$L$112:$L$123),+IF($M$9='2. Customer Classes'!$B$10,+SUM('3. Consumption by Rate Class'!$O$112:$O$123),IF($M$9='2. Customer Classes'!$B$11,+SUM('3. Consumption by Rate Class'!$R$112:$R$123),0)))))))</f>
        <v>3594883.73</v>
      </c>
      <c r="O20" s="617"/>
      <c r="P20" s="65">
        <f t="shared" si="7"/>
        <v>3594883.73</v>
      </c>
      <c r="Q20" s="220">
        <f>+IF($M$9='2. Customer Classes'!$B$9,+SUM('3. Consumption by Rate Class'!$M$112:$M$123),+IF($M$9='2. Customer Classes'!$B$10,+SUM('3. Consumption by Rate Class'!$P$112:$P$123),IF($M$9='2. Customer Classes'!$B$11,+SUM('3. Consumption by Rate Class'!$S$112:$S$123),0)))</f>
        <v>6556.56</v>
      </c>
      <c r="R20" s="220">
        <f>IF($M$9='2. Customer Classes'!$B$5,+'4. Customer Growth'!$C17,+IF($M$9='2. Customer Classes'!$B$6,+'4. Customer Growth'!$E17,+IF($M$9='2. Customer Classes'!$B$7,+'4. Customer Growth'!$G17,+IF($M$9='2. Customer Classes'!$B$8,+'4. Customer Growth'!$I17,+IF($M$9='2. Customer Classes'!$B$9,+'4. Customer Growth'!$K17,+IF($M$9='2. Customer Classes'!$B$10,+'4. Customer Growth'!$M17,IF($M$9='2. Customer Classes'!$B$11,+'4. Customer Growth'!$O17,0)))))))</f>
        <v>1</v>
      </c>
      <c r="S20" s="418">
        <f t="shared" si="8"/>
        <v>3594883.73</v>
      </c>
      <c r="T20" s="421">
        <f t="shared" si="9"/>
        <v>6556.56</v>
      </c>
      <c r="U20" s="382">
        <f t="shared" si="10"/>
        <v>1.8238587093329999E-3</v>
      </c>
      <c r="V20" s="59"/>
      <c r="W20" s="186">
        <f t="shared" si="1"/>
        <v>2013</v>
      </c>
      <c r="X20" s="65">
        <f>IF($W$9='2. Customer Classes'!$B$5,+SUM('3. Consumption by Rate Class'!$D$112:$D$123),+IF($W$9='2. Customer Classes'!$B$6,+SUM('3. Consumption by Rate Class'!$F$112:$F$123),+IF($W$9='2. Customer Classes'!$B$7,+SUM('3. Consumption by Rate Class'!$H$112:$H$123),+IF($W$9='2. Customer Classes'!$B$8,+SUM('3. Consumption by Rate Class'!$J$112:$J$123),+IF($W$9='2. Customer Classes'!$B$9,+SUM('3. Consumption by Rate Class'!$L$112:$L$123),+IF($W$9='2. Customer Classes'!$B$10,+SUM('3. Consumption by Rate Class'!$O$112:$O$123),IF($W$9='2. Customer Classes'!$B$11,+SUM('3. Consumption by Rate Class'!$R$112:$R$123),0)))))))</f>
        <v>1796174.3293246992</v>
      </c>
      <c r="Y20" s="617"/>
      <c r="Z20" s="65">
        <f t="shared" si="11"/>
        <v>1796174.3293246992</v>
      </c>
      <c r="AA20" s="220">
        <f>+IF($W$9='2. Customer Classes'!$B$9,+SUM('3. Consumption by Rate Class'!$M$112:$M$123),+IF($W$9='2. Customer Classes'!$B$10,+SUM('3. Consumption by Rate Class'!$P$112:$P$123),IF($W$9='2. Customer Classes'!$B$11,+SUM('3. Consumption by Rate Class'!$S$112:$S$123),0)))</f>
        <v>5310.59</v>
      </c>
      <c r="AB20" s="220">
        <f>IF($W$9='2. Customer Classes'!$B$5,+'4. Customer Growth'!$C17,+IF($W$9='2. Customer Classes'!$B$6,+'4. Customer Growth'!$E17,+IF($W$9='2. Customer Classes'!$B$7,+'4. Customer Growth'!$G17,+IF($W$9='2. Customer Classes'!$B$8,+'4. Customer Growth'!$I17,+IF($W$9='2. Customer Classes'!$B$9,+'4. Customer Growth'!$K17,+IF($W$9='2. Customer Classes'!$B$10,+'4. Customer Growth'!$M17,IF($W$9='2. Customer Classes'!$B$11,+'4. Customer Growth'!$O17,0)))))))</f>
        <v>2693.5</v>
      </c>
      <c r="AC20" s="418">
        <f t="shared" si="12"/>
        <v>666.85514361414494</v>
      </c>
      <c r="AD20" s="421">
        <f t="shared" si="13"/>
        <v>1.9716317059587898</v>
      </c>
      <c r="AE20" s="382">
        <f t="shared" si="2"/>
        <v>2.9566116792219175E-3</v>
      </c>
      <c r="AG20" s="397">
        <f t="shared" si="14"/>
        <v>2013</v>
      </c>
      <c r="AH20" s="65">
        <f>IF($AG$9='2. Customer Classes'!$B$5,+SUM('3. Consumption by Rate Class'!$D$112:$D$123),+IF($AG$9='2. Customer Classes'!$B$6,+SUM('3. Consumption by Rate Class'!$F$112:$F$123),+IF($AG$9='2. Customer Classes'!$B$7,+SUM('3. Consumption by Rate Class'!$H$112:$H$123),+IF($AG$9='2. Customer Classes'!$B$8,+SUM('3. Consumption by Rate Class'!$J$112:$J$123),+IF($AG$9='2. Customer Classes'!$B$9,+SUM('3. Consumption by Rate Class'!$L$112:$L$123),+IF($AG$9='2. Customer Classes'!$B$10,+SUM('3. Consumption by Rate Class'!$O$112:$O$123),IF($AG$9='2. Customer Classes'!$B$11,+SUM('3. Consumption by Rate Class'!$R$112:$R$123),0)))))))</f>
        <v>0</v>
      </c>
      <c r="AI20" s="617"/>
      <c r="AJ20" s="65">
        <f t="shared" si="15"/>
        <v>0</v>
      </c>
      <c r="AK20" s="220">
        <f>+IF($AG$9='2. Customer Classes'!$B$9,+SUM('3. Consumption by Rate Class'!$M$112:$M$123),+IF($AG$9='2. Customer Classes'!$B$10,+SUM('3. Consumption by Rate Class'!$P$112:$P$123),IF($AG$9='2. Customer Classes'!$B$11,+SUM('3. Consumption by Rate Class'!$S$112:$S$123),0)))</f>
        <v>0</v>
      </c>
      <c r="AL20" s="220">
        <f>IF($AG$9='2. Customer Classes'!$B$5,+'4. Customer Growth'!$C17,+IF($AG$9='2. Customer Classes'!$B$6,+'4. Customer Growth'!$E17,+IF($AG$9='2. Customer Classes'!$B$7,+'4. Customer Growth'!$G17,+IF($AG$9='2. Customer Classes'!$B$8,+'4. Customer Growth'!$I17,+IF($AG$9='2. Customer Classes'!$B$9,+'4. Customer Growth'!$K17,+IF($AG$9='2. Customer Classes'!$B$10,+'4. Customer Growth'!$M17,IF($AG$9='2. Customer Classes'!$B$11,+'4. Customer Growth'!$O17,0)))))))</f>
        <v>0</v>
      </c>
      <c r="AM20" s="418">
        <f t="shared" si="16"/>
        <v>0</v>
      </c>
      <c r="AN20" s="421">
        <f t="shared" si="17"/>
        <v>0</v>
      </c>
      <c r="AO20" s="382">
        <f t="shared" si="18"/>
        <v>0</v>
      </c>
      <c r="AQ20" s="397">
        <f t="shared" si="19"/>
        <v>2013</v>
      </c>
      <c r="AR20" s="65">
        <f>IF($AQ$9='2. Customer Classes'!$B$5,+SUM('3. Consumption by Rate Class'!$D$112:$D$123),+IF($AQ$9='2. Customer Classes'!$B$6,+SUM('3. Consumption by Rate Class'!$F$112:$F$123),+IF($AQ$9='2. Customer Classes'!$B$7,+SUM('3. Consumption by Rate Class'!$H$112:$H$123),+IF($AQ$9='2. Customer Classes'!$B$8,+SUM('3. Consumption by Rate Class'!$J$112:$J$123),+IF($AQ$9='2. Customer Classes'!$B$9,+SUM('3. Consumption by Rate Class'!$L$112:$L$123),+IF($AQ$9='2. Customer Classes'!$B$10,+SUM('3. Consumption by Rate Class'!$O$112:$O$123),IF($AQ$9='2. Customer Classes'!$B$11,+SUM('3. Consumption by Rate Class'!$R$112:$R$123),0)))))))</f>
        <v>0</v>
      </c>
      <c r="AS20" s="617"/>
      <c r="AT20" s="65">
        <f t="shared" si="20"/>
        <v>0</v>
      </c>
      <c r="AU20" s="220">
        <f>+IF($AQ$9='2. Customer Classes'!$B$9,+SUM('3. Consumption by Rate Class'!$M$112:$M$123),+IF($AQ$9='2. Customer Classes'!$B$10,+SUM('3. Consumption by Rate Class'!$P$112:$P$123),IF($AQ$9='2. Customer Classes'!$B$11,+SUM('3. Consumption by Rate Class'!$S$112:$S$123),0)))</f>
        <v>0</v>
      </c>
      <c r="AV20" s="220">
        <f>IF($AQ$9='2. Customer Classes'!$B$5,+'4. Customer Growth'!$C17,+IF($AQ$9='2. Customer Classes'!$B$6,+'4. Customer Growth'!$E17,+IF($AQ$9='2. Customer Classes'!$B$7,+'4. Customer Growth'!$G17,+IF($AQ$9='2. Customer Classes'!$B$8,+'4. Customer Growth'!$I17,+IF($AQ$9='2. Customer Classes'!$B$9,+'4. Customer Growth'!$K17,+IF($AQ$9='2. Customer Classes'!$B$10,+'4. Customer Growth'!$M17,IF($AQ$9='2. Customer Classes'!$B$11,+'4. Customer Growth'!$O17,0)))))))</f>
        <v>0</v>
      </c>
      <c r="AW20" s="418">
        <f t="shared" si="21"/>
        <v>0</v>
      </c>
      <c r="AX20" s="421">
        <f t="shared" si="22"/>
        <v>0</v>
      </c>
      <c r="AY20" s="382">
        <f t="shared" si="23"/>
        <v>0</v>
      </c>
    </row>
    <row r="21" spans="2:51" ht="12.75" customHeight="1" x14ac:dyDescent="0.2">
      <c r="B21" s="186">
        <f>'4. Customer Growth'!B18</f>
        <v>2014</v>
      </c>
      <c r="C21" s="65">
        <f>IF($B$9='2. Customer Classes'!$B$5,+SUM('3. Consumption by Rate Class'!$D$124:$D$135),+IF($B$9='2. Customer Classes'!$B$6,+SUM('3. Consumption by Rate Class'!$F$124:$F$135),+IF($B$9='2. Customer Classes'!$B$7,+SUM('3. Consumption by Rate Class'!$H$124:$H$135),+IF($B$9='2. Customer Classes'!$B$8,+SUM('3. Consumption by Rate Class'!$J$124:$J$135),+IF($B$9='2. Customer Classes'!$B$9,+SUM('3. Consumption by Rate Class'!$L$124:$L$135),+IF($B$9='2. Customer Classes'!$B$10,+SUM('3. Consumption by Rate Class'!$O$124:$O$135),IF($B$9='2. Customer Classes'!$B$11,+SUM('3. Consumption by Rate Class'!$R$124:$R$135),0)))))))</f>
        <v>17311423.283422757</v>
      </c>
      <c r="D21" s="617"/>
      <c r="E21" s="836">
        <f t="shared" si="3"/>
        <v>17311423.283422757</v>
      </c>
      <c r="F21" s="65">
        <f>+IF($B$9='2. Customer Classes'!$B$9,+SUM('3. Consumption by Rate Class'!$M$124:$M$135),+IF($B$9='2. Customer Classes'!$B$10,+SUM('3. Consumption by Rate Class'!$P$124:$P$135),IF($B$9='2. Customer Classes'!$B$11,+SUM('3. Consumption by Rate Class'!$S$124:$S$135),0)))</f>
        <v>45989.17</v>
      </c>
      <c r="G21" s="65">
        <f>IF($B$9='2. Customer Classes'!$B$5,+'4. Customer Growth'!$C18,+IF($B$9='2. Customer Classes'!$B$6,+'4. Customer Growth'!$E18,+IF($B$9='2. Customer Classes'!$B$7,+'4. Customer Growth'!$G18,+IF($B$9='2. Customer Classes'!$B$8,+'4. Customer Growth'!$I18,+IF($B$9='2. Customer Classes'!$B$9,+'4. Customer Growth'!$K18,+IF($B$9='2. Customer Classes'!$B$10,+'4. Customer Growth'!$M18,IF($B$9='2. Customer Classes'!$B$11,+'4. Customer Growth'!$O18,0)))))))</f>
        <v>36</v>
      </c>
      <c r="H21" s="418">
        <f>IF(F21&gt;0,+E21/G21,0)</f>
        <v>480872.86898396548</v>
      </c>
      <c r="I21" s="421">
        <f t="shared" si="5"/>
        <v>1277.4769444444444</v>
      </c>
      <c r="J21" s="382">
        <f>IF(F21&gt;0,+F21/E21,0)</f>
        <v>2.6565793723060749E-3</v>
      </c>
      <c r="K21" s="178"/>
      <c r="L21" s="178"/>
      <c r="M21" s="186">
        <f t="shared" si="0"/>
        <v>2014</v>
      </c>
      <c r="N21" s="65">
        <f>IF($M$9='2. Customer Classes'!$B$5,+SUM('3. Consumption by Rate Class'!$D$124:$D$135),+IF($M$9='2. Customer Classes'!$B$6,+SUM('3. Consumption by Rate Class'!$F$124:$F$135),+IF($M$9='2. Customer Classes'!$B$7,+SUM('3. Consumption by Rate Class'!$H$124:$H$135),+IF($M$9='2. Customer Classes'!$B$8,+SUM('3. Consumption by Rate Class'!$J$124:$J$135),+IF($M$9='2. Customer Classes'!$B$9,+SUM('3. Consumption by Rate Class'!$L$124:$L$135),+IF($M$9='2. Customer Classes'!$B$10,+SUM('3. Consumption by Rate Class'!$O$124:$O$135),IF($M$9='2. Customer Classes'!$B$11,+SUM('3. Consumption by Rate Class'!$R$124:$R$135),0)))))))</f>
        <v>3453199.0199999996</v>
      </c>
      <c r="O21" s="617"/>
      <c r="P21" s="65">
        <f t="shared" si="7"/>
        <v>3453199.0199999996</v>
      </c>
      <c r="Q21" s="220">
        <f>+IF($M$9='2. Customer Classes'!$B$9,+SUM('3. Consumption by Rate Class'!$M$124:$M$135),+IF($M$9='2. Customer Classes'!$B$10,+SUM('3. Consumption by Rate Class'!$P$124:$P$135),IF($M$9='2. Customer Classes'!$B$11,+SUM('3. Consumption by Rate Class'!$S$124:$S$135),0)))</f>
        <v>6080.47</v>
      </c>
      <c r="R21" s="220">
        <f>IF($M$9='2. Customer Classes'!$B$5,+'4. Customer Growth'!$C18,+IF($M$9='2. Customer Classes'!$B$6,+'4. Customer Growth'!$E18,+IF($M$9='2. Customer Classes'!$B$7,+'4. Customer Growth'!$G18,+IF($M$9='2. Customer Classes'!$B$8,+'4. Customer Growth'!$I18,+IF($M$9='2. Customer Classes'!$B$9,+'4. Customer Growth'!$K18,+IF($M$9='2. Customer Classes'!$B$10,+'4. Customer Growth'!$M18,IF($M$9='2. Customer Classes'!$B$11,+'4. Customer Growth'!$O18,0)))))))</f>
        <v>1</v>
      </c>
      <c r="S21" s="418">
        <f t="shared" si="8"/>
        <v>3453199.0199999996</v>
      </c>
      <c r="T21" s="421">
        <f t="shared" si="9"/>
        <v>6080.47</v>
      </c>
      <c r="U21" s="382">
        <f t="shared" si="10"/>
        <v>1.7608223461154581E-3</v>
      </c>
      <c r="V21" s="59"/>
      <c r="W21" s="186">
        <f t="shared" si="1"/>
        <v>2014</v>
      </c>
      <c r="X21" s="65">
        <f>IF($W$9='2. Customer Classes'!$B$5,+SUM('3. Consumption by Rate Class'!$D$124:$D$135),+IF($W$9='2. Customer Classes'!$B$6,+SUM('3. Consumption by Rate Class'!$F$124:$F$135),+IF($W$9='2. Customer Classes'!$B$7,+SUM('3. Consumption by Rate Class'!$H$124:$H$135),+IF($W$9='2. Customer Classes'!$B$8,+SUM('3. Consumption by Rate Class'!$J$124:$J$135),+IF($W$9='2. Customer Classes'!$B$9,+SUM('3. Consumption by Rate Class'!$L$124:$L$135),+IF($W$9='2. Customer Classes'!$B$10,+SUM('3. Consumption by Rate Class'!$O$124:$O$135),IF($W$9='2. Customer Classes'!$B$11,+SUM('3. Consumption by Rate Class'!$R$124:$R$135),0)))))))</f>
        <v>1834663.3857539315</v>
      </c>
      <c r="Y21" s="617"/>
      <c r="Z21" s="65">
        <f t="shared" si="11"/>
        <v>1834663.3857539315</v>
      </c>
      <c r="AA21" s="220">
        <f>+IF($W$9='2. Customer Classes'!$B$9,+SUM('3. Consumption by Rate Class'!$M$124:$M$135),+IF($W$9='2. Customer Classes'!$B$10,+SUM('3. Consumption by Rate Class'!$P$124:$P$135),IF($W$9='2. Customer Classes'!$B$11,+SUM('3. Consumption by Rate Class'!$S$124:$S$135),0)))</f>
        <v>5426.1900000000014</v>
      </c>
      <c r="AB21" s="220">
        <f>IF($W$9='2. Customer Classes'!$B$5,+'4. Customer Growth'!$C18,+IF($W$9='2. Customer Classes'!$B$6,+'4. Customer Growth'!$E18,+IF($W$9='2. Customer Classes'!$B$7,+'4. Customer Growth'!$G18,+IF($W$9='2. Customer Classes'!$B$8,+'4. Customer Growth'!$I18,+IF($W$9='2. Customer Classes'!$B$9,+'4. Customer Growth'!$K18,+IF($W$9='2. Customer Classes'!$B$10,+'4. Customer Growth'!$M18,IF($W$9='2. Customer Classes'!$B$11,+'4. Customer Growth'!$O18,0)))))))</f>
        <v>2738</v>
      </c>
      <c r="AC21" s="418">
        <f t="shared" si="12"/>
        <v>670.07428259822188</v>
      </c>
      <c r="AD21" s="421">
        <f t="shared" si="13"/>
        <v>1.9818078889700517</v>
      </c>
      <c r="AE21" s="382">
        <f t="shared" si="2"/>
        <v>2.9575943151937804E-3</v>
      </c>
      <c r="AG21" s="397">
        <f t="shared" si="14"/>
        <v>2014</v>
      </c>
      <c r="AH21" s="65">
        <f>IF($AG$9='2. Customer Classes'!$B$5,+SUM('3. Consumption by Rate Class'!$D$124:$D$135),+IF($AG$9='2. Customer Classes'!$B$6,+SUM('3. Consumption by Rate Class'!$F$124:$F$135),+IF($AG$9='2. Customer Classes'!$B$7,+SUM('3. Consumption by Rate Class'!$H$124:$H$135),+IF($AG$9='2. Customer Classes'!$B$8,+SUM('3. Consumption by Rate Class'!$J$124:$J$135),+IF($AG$9='2. Customer Classes'!$B$9,+SUM('3. Consumption by Rate Class'!$L$124:$L$135),+IF($AG$9='2. Customer Classes'!$B$10,+SUM('3. Consumption by Rate Class'!$O$124:$O$135),IF($AG$9='2. Customer Classes'!$B$11,+SUM('3. Consumption by Rate Class'!$R$124:$R$135),0)))))))</f>
        <v>0</v>
      </c>
      <c r="AI21" s="617"/>
      <c r="AJ21" s="65">
        <f t="shared" si="15"/>
        <v>0</v>
      </c>
      <c r="AK21" s="220">
        <f>+IF($AG$9='2. Customer Classes'!$B$9,+SUM('3. Consumption by Rate Class'!$M$124:$M$135),+IF($AG$9='2. Customer Classes'!$B$10,+SUM('3. Consumption by Rate Class'!$P$124:$P$135),IF($AG$9='2. Customer Classes'!$B$11,+SUM('3. Consumption by Rate Class'!$S$124:$S$135),0)))</f>
        <v>0</v>
      </c>
      <c r="AL21" s="220">
        <f>IF($AG$9='2. Customer Classes'!$B$5,+'4. Customer Growth'!$C18,+IF($AG$9='2. Customer Classes'!$B$6,+'4. Customer Growth'!$E18,+IF($AG$9='2. Customer Classes'!$B$7,+'4. Customer Growth'!$G18,+IF($AG$9='2. Customer Classes'!$B$8,+'4. Customer Growth'!$I18,+IF($AG$9='2. Customer Classes'!$B$9,+'4. Customer Growth'!$K18,+IF($AG$9='2. Customer Classes'!$B$10,+'4. Customer Growth'!$M18,IF($AG$9='2. Customer Classes'!$B$11,+'4. Customer Growth'!$O18,0)))))))</f>
        <v>0</v>
      </c>
      <c r="AM21" s="418">
        <f t="shared" si="16"/>
        <v>0</v>
      </c>
      <c r="AN21" s="421">
        <f t="shared" si="17"/>
        <v>0</v>
      </c>
      <c r="AO21" s="382">
        <f t="shared" si="18"/>
        <v>0</v>
      </c>
      <c r="AQ21" s="397">
        <f t="shared" si="19"/>
        <v>2014</v>
      </c>
      <c r="AR21" s="65">
        <f>IF($AQ$9='2. Customer Classes'!$B$5,+SUM('3. Consumption by Rate Class'!$D$124:$D$135),+IF($AQ$9='2. Customer Classes'!$B$6,+SUM('3. Consumption by Rate Class'!$F$124:$F$135),+IF($AQ$9='2. Customer Classes'!$B$7,+SUM('3. Consumption by Rate Class'!$H$124:$H$135),+IF($AQ$9='2. Customer Classes'!$B$8,+SUM('3. Consumption by Rate Class'!$J$124:$J$135),+IF($AQ$9='2. Customer Classes'!$B$9,+SUM('3. Consumption by Rate Class'!$L$124:$L$135),+IF($AQ$9='2. Customer Classes'!$B$10,+SUM('3. Consumption by Rate Class'!$O$124:$O$135),IF($AQ$9='2. Customer Classes'!$B$11,+SUM('3. Consumption by Rate Class'!$R$124:$R$135),0)))))))</f>
        <v>0</v>
      </c>
      <c r="AS21" s="617"/>
      <c r="AT21" s="65">
        <f t="shared" si="20"/>
        <v>0</v>
      </c>
      <c r="AU21" s="220">
        <f>+IF($AQ$9='2. Customer Classes'!$B$9,+SUM('3. Consumption by Rate Class'!$M$124:$M$135),+IF($AQ$9='2. Customer Classes'!$B$10,+SUM('3. Consumption by Rate Class'!$P$124:$P$135),IF($AQ$9='2. Customer Classes'!$B$11,+SUM('3. Consumption by Rate Class'!$S$124:$S$135),0)))</f>
        <v>0</v>
      </c>
      <c r="AV21" s="220">
        <f>IF($AQ$9='2. Customer Classes'!$B$5,+'4. Customer Growth'!$C18,+IF($AQ$9='2. Customer Classes'!$B$6,+'4. Customer Growth'!$E18,+IF($AQ$9='2. Customer Classes'!$B$7,+'4. Customer Growth'!$G18,+IF($AQ$9='2. Customer Classes'!$B$8,+'4. Customer Growth'!$I18,+IF($AQ$9='2. Customer Classes'!$B$9,+'4. Customer Growth'!$K18,+IF($AQ$9='2. Customer Classes'!$B$10,+'4. Customer Growth'!$M18,IF($AQ$9='2. Customer Classes'!$B$11,+'4. Customer Growth'!$O18,0)))))))</f>
        <v>0</v>
      </c>
      <c r="AW21" s="418">
        <f t="shared" si="21"/>
        <v>0</v>
      </c>
      <c r="AX21" s="421">
        <f t="shared" si="22"/>
        <v>0</v>
      </c>
      <c r="AY21" s="382">
        <f t="shared" si="23"/>
        <v>0</v>
      </c>
    </row>
    <row r="22" spans="2:51" ht="12.75" customHeight="1" x14ac:dyDescent="0.2">
      <c r="B22" s="186" t="str">
        <f>'4. Customer Growth'!B22</f>
        <v>2015</v>
      </c>
      <c r="C22" s="342">
        <f>'7.2. Weather Sensitive'!G15</f>
        <v>17739175.385813881</v>
      </c>
      <c r="D22" s="617"/>
      <c r="E22" s="836">
        <f t="shared" si="3"/>
        <v>17739175.385813881</v>
      </c>
      <c r="F22" s="299">
        <f>+E22*J25</f>
        <v>46713.73939556734</v>
      </c>
      <c r="G22" s="220">
        <f>IF($B$9='2. Customer Classes'!$B$5,+'4. Customer Growth'!$C34,+IF($B$9='2. Customer Classes'!$B$6,+'4. Customer Growth'!$E34,+IF($B$9='2. Customer Classes'!$B$7,+'4. Customer Growth'!$G34,+IF($B$9='2. Customer Classes'!$B$8,+'4. Customer Growth'!$I34,+IF($B$9='2. Customer Classes'!$B$9,+'4. Customer Growth'!$K34,+IF($B$9='2. Customer Classes'!$B$10,+'4. Customer Growth'!$M34,IF($B$9='2. Customer Classes'!$B$11,+'4. Customer Growth'!$O34,0)))))))</f>
        <v>37</v>
      </c>
      <c r="H22" s="418">
        <f>IF(F22&gt;0,+E22/G22,0)</f>
        <v>479437.17258956435</v>
      </c>
      <c r="I22" s="421">
        <f t="shared" si="5"/>
        <v>1262.5334971774957</v>
      </c>
      <c r="J22" s="419"/>
      <c r="K22" s="75"/>
      <c r="L22" s="75"/>
      <c r="M22" s="186" t="str">
        <f t="shared" si="0"/>
        <v>2015</v>
      </c>
      <c r="N22" s="342">
        <f>'7.2. Weather Sensitive'!H15</f>
        <v>3824363.7837355831</v>
      </c>
      <c r="O22" s="617"/>
      <c r="P22" s="671">
        <f>+N22+O22</f>
        <v>3824363.7837355831</v>
      </c>
      <c r="Q22" s="299">
        <f>P22*$U$25</f>
        <v>6721.7911791566266</v>
      </c>
      <c r="R22" s="220">
        <f>IF($M$9='2. Customer Classes'!$B$5,+'4. Customer Growth'!$C34,+IF($M$9='2. Customer Classes'!$B$6,+'4. Customer Growth'!$E34,+IF($M$9='2. Customer Classes'!$B$7,+'4. Customer Growth'!$G34,+IF($M$9='2. Customer Classes'!$B$8,+'4. Customer Growth'!$I34,+IF($M$9='2. Customer Classes'!$B$9,+'4. Customer Growth'!$K34,+IF($M$9='2. Customer Classes'!$B$10,+'4. Customer Growth'!$M34,IF($M$9='2. Customer Classes'!$B$11,+'4. Customer Growth'!$O34,0)))))))</f>
        <v>1</v>
      </c>
      <c r="S22" s="418">
        <f t="shared" si="8"/>
        <v>3824363.7837355831</v>
      </c>
      <c r="T22" s="421">
        <f t="shared" si="9"/>
        <v>6721.7911791566266</v>
      </c>
      <c r="U22" s="80"/>
      <c r="V22" s="59"/>
      <c r="W22" s="186" t="str">
        <f t="shared" si="1"/>
        <v>2015</v>
      </c>
      <c r="X22" s="342">
        <f>'7.2. Weather Sensitive'!I15</f>
        <v>1854817.1178477965</v>
      </c>
      <c r="Y22" s="617"/>
      <c r="Z22" s="65">
        <f t="shared" si="11"/>
        <v>1854817.1178477965</v>
      </c>
      <c r="AA22" s="299">
        <f>Z22*$AE$25</f>
        <v>5468.8708196379039</v>
      </c>
      <c r="AB22" s="220">
        <f>IF($W$9='2. Customer Classes'!$B$5,+'4. Customer Growth'!$C34,+IF($W$9='2. Customer Classes'!$B$6,+'4. Customer Growth'!$E34,+IF($W$9='2. Customer Classes'!$B$7,+'4. Customer Growth'!$G34,+IF($W$9='2. Customer Classes'!$B$8,+'4. Customer Growth'!$I34,+IF($W$9='2. Customer Classes'!$B$9,+'4. Customer Growth'!$K34,+IF($W$9='2. Customer Classes'!$B$10,+'4. Customer Growth'!$M34,IF($W$9='2. Customer Classes'!$B$11,+'4. Customer Growth'!$O34,0)))))))</f>
        <v>2777.4</v>
      </c>
      <c r="AC22" s="418">
        <f t="shared" si="12"/>
        <v>667.82498662338753</v>
      </c>
      <c r="AD22" s="421">
        <f t="shared" si="13"/>
        <v>1.9690612874047324</v>
      </c>
      <c r="AE22" s="80"/>
      <c r="AG22" s="397" t="str">
        <f t="shared" si="14"/>
        <v>2015</v>
      </c>
      <c r="AH22" s="342">
        <f>+AH21/(SUM('6. WS Regression Analysis'!J118:J129))*'6. WS Regression Analysis'!$S$141</f>
        <v>0</v>
      </c>
      <c r="AI22" s="617"/>
      <c r="AJ22" s="671">
        <f t="shared" si="15"/>
        <v>0</v>
      </c>
      <c r="AK22" s="342">
        <f>AJ22*$AO$25</f>
        <v>0</v>
      </c>
      <c r="AL22" s="220">
        <f>IF($AG$9='2. Customer Classes'!$B$5,+'4. Customer Growth'!$C34,+IF($AG$9='2. Customer Classes'!$B$6,+'4. Customer Growth'!$E34,+IF($AG$9='2. Customer Classes'!$B$7,+'4. Customer Growth'!$G34,+IF($AG$9='2. Customer Classes'!$B$8,+'4. Customer Growth'!$I34,+IF($AG$9='2. Customer Classes'!$B$9,+'4. Customer Growth'!$K34,+IF($AG$9='2. Customer Classes'!$B$10,+'4. Customer Growth'!$M34,IF($AG$9='2. Customer Classes'!$B$11,+'4. Customer Growth'!$O34,0)))))))</f>
        <v>0</v>
      </c>
      <c r="AM22" s="418">
        <f t="shared" si="16"/>
        <v>0</v>
      </c>
      <c r="AN22" s="421">
        <f t="shared" si="17"/>
        <v>0</v>
      </c>
      <c r="AO22" s="80"/>
      <c r="AQ22" s="397" t="str">
        <f t="shared" si="19"/>
        <v>2015</v>
      </c>
      <c r="AR22" s="342">
        <f>+AR21/(SUM('6. WS Regression Analysis'!J118:J129))*'6. WS Regression Analysis'!$S$141</f>
        <v>0</v>
      </c>
      <c r="AS22" s="617"/>
      <c r="AT22" s="671">
        <f t="shared" si="20"/>
        <v>0</v>
      </c>
      <c r="AU22" s="342">
        <f>AT22*$AY$25</f>
        <v>0</v>
      </c>
      <c r="AV22" s="220">
        <f>IF($AQ$9='2. Customer Classes'!$B$5,+'4. Customer Growth'!$C34,+IF($AQ$9='2. Customer Classes'!$B$6,+'4. Customer Growth'!$E34,+IF($AQ$9='2. Customer Classes'!$B$7,+'4. Customer Growth'!$G34,+IF($AQ$9='2. Customer Classes'!$B$8,+'4. Customer Growth'!$I34,+IF($AQ$9='2. Customer Classes'!$B$9,+'4. Customer Growth'!$K34,+IF($AQ$9='2. Customer Classes'!$B$10,+'4. Customer Growth'!$M34,IF($AQ$9='2. Customer Classes'!$B$11,+'4. Customer Growth'!$O34,0)))))))</f>
        <v>0</v>
      </c>
      <c r="AW22" s="418">
        <f t="shared" si="21"/>
        <v>0</v>
      </c>
      <c r="AX22" s="421">
        <f t="shared" si="22"/>
        <v>0</v>
      </c>
      <c r="AY22" s="80"/>
    </row>
    <row r="23" spans="2:51" x14ac:dyDescent="0.2">
      <c r="B23" s="186" t="str">
        <f>'4. Customer Growth'!B23</f>
        <v>2016</v>
      </c>
      <c r="C23" s="342">
        <f>'7.2. Weather Sensitive'!G16</f>
        <v>17932615.503197044</v>
      </c>
      <c r="D23" s="617"/>
      <c r="E23" s="836">
        <f t="shared" si="3"/>
        <v>17932615.503197044</v>
      </c>
      <c r="F23" s="299">
        <f>+E23*J25</f>
        <v>47223.138002636268</v>
      </c>
      <c r="G23" s="220">
        <f>IF($B$9='2. Customer Classes'!$B$5,+'4. Customer Growth'!$C35,+IF($B$9='2. Customer Classes'!$B$6,+'4. Customer Growth'!$E35,+IF($B$9='2. Customer Classes'!$B$7,+'4. Customer Growth'!$G35,+IF($B$9='2. Customer Classes'!$B$8,+'4. Customer Growth'!$I35,+IF($B$9='2. Customer Classes'!$B$9,+'4. Customer Growth'!$K35,+IF($B$9='2. Customer Classes'!$B$10,+'4. Customer Growth'!$M35,IF($B$9='2. Customer Classes'!$B$11,+'4. Customer Growth'!$O35,0)))))))</f>
        <v>37</v>
      </c>
      <c r="H23" s="418">
        <f>IF(F23&gt;0,+E23/G23,0)</f>
        <v>484665.28387019038</v>
      </c>
      <c r="I23" s="421">
        <f t="shared" si="5"/>
        <v>1276.3010270982775</v>
      </c>
      <c r="J23" s="419"/>
      <c r="K23" s="75"/>
      <c r="L23" s="75"/>
      <c r="M23" s="186" t="str">
        <f t="shared" si="0"/>
        <v>2016</v>
      </c>
      <c r="N23" s="342">
        <f>'7.2. Weather Sensitive'!H16</f>
        <v>3774173.6759822387</v>
      </c>
      <c r="O23" s="617"/>
      <c r="P23" s="671">
        <f t="shared" si="7"/>
        <v>3774173.6759822387</v>
      </c>
      <c r="Q23" s="299">
        <f>P23*$U$25</f>
        <v>6633.5758725971091</v>
      </c>
      <c r="R23" s="220">
        <f>IF($M$9='2. Customer Classes'!$B$5,+'4. Customer Growth'!$C35,+IF($M$9='2. Customer Classes'!$B$6,+'4. Customer Growth'!$E35,+IF($M$9='2. Customer Classes'!$B$7,+'4. Customer Growth'!$G35,+IF($M$9='2. Customer Classes'!$B$8,+'4. Customer Growth'!$I35,+IF($M$9='2. Customer Classes'!$B$9,+'4. Customer Growth'!$K35,+IF($M$9='2. Customer Classes'!$B$10,+'4. Customer Growth'!$M35,IF($M$9='2. Customer Classes'!$B$11,+'4. Customer Growth'!$O35,0)))))))</f>
        <v>1</v>
      </c>
      <c r="S23" s="418">
        <f t="shared" si="8"/>
        <v>3774173.6759822387</v>
      </c>
      <c r="T23" s="421">
        <f t="shared" si="9"/>
        <v>6633.5758725971091</v>
      </c>
      <c r="U23" s="80"/>
      <c r="V23" s="59"/>
      <c r="W23" s="186" t="str">
        <f t="shared" si="1"/>
        <v>2016</v>
      </c>
      <c r="X23" s="342">
        <f>'7.2. Weather Sensitive'!I16</f>
        <v>1876279.1565306762</v>
      </c>
      <c r="Y23" s="617"/>
      <c r="Z23" s="65">
        <f t="shared" si="11"/>
        <v>1876279.1565306762</v>
      </c>
      <c r="AA23" s="299">
        <f>Z23*$AE$25</f>
        <v>5532.1509759149458</v>
      </c>
      <c r="AB23" s="220">
        <f>IF($W$9='2. Customer Classes'!$B$5,+'4. Customer Growth'!$C35,+IF($W$9='2. Customer Classes'!$B$6,+'4. Customer Growth'!$E35,+IF($W$9='2. Customer Classes'!$B$7,+'4. Customer Growth'!$G35,+IF($W$9='2. Customer Classes'!$B$8,+'4. Customer Growth'!$I35,+IF($W$9='2. Customer Classes'!$B$9,+'4. Customer Growth'!$K35,+IF($W$9='2. Customer Classes'!$B$10,+'4. Customer Growth'!$M35,IF($W$9='2. Customer Classes'!$B$11,+'4. Customer Growth'!$O35,0)))))))</f>
        <v>2819</v>
      </c>
      <c r="AC23" s="418">
        <f t="shared" si="12"/>
        <v>665.58324105380495</v>
      </c>
      <c r="AD23" s="421">
        <f t="shared" si="13"/>
        <v>1.9624515700301333</v>
      </c>
      <c r="AE23" s="80"/>
      <c r="AG23" s="397" t="str">
        <f t="shared" si="14"/>
        <v>2016</v>
      </c>
      <c r="AH23" s="342">
        <f>+AH21/(SUM('6. WS Regression Analysis'!J118:J129))*'6. WS Regression Analysis'!$S$129*'6. WS Regression Analysis'!$S$153</f>
        <v>0</v>
      </c>
      <c r="AI23" s="617"/>
      <c r="AJ23" s="671">
        <f t="shared" si="15"/>
        <v>0</v>
      </c>
      <c r="AK23" s="342">
        <f>AJ23*$AO$25</f>
        <v>0</v>
      </c>
      <c r="AL23" s="220">
        <f>IF($AG$9='2. Customer Classes'!$B$5,+'4. Customer Growth'!$C35,+IF($AG$9='2. Customer Classes'!$B$6,+'4. Customer Growth'!$E35,+IF($AG$9='2. Customer Classes'!$B$7,+'4. Customer Growth'!$G35,+IF($AG$9='2. Customer Classes'!$B$8,+'4. Customer Growth'!$I35,+IF($AG$9='2. Customer Classes'!$B$9,+'4. Customer Growth'!$K35,+IF($AG$9='2. Customer Classes'!$B$10,+'4. Customer Growth'!$M35,IF($AG$9='2. Customer Classes'!$B$11,+'4. Customer Growth'!$O35,0)))))))</f>
        <v>0</v>
      </c>
      <c r="AM23" s="418">
        <f t="shared" si="16"/>
        <v>0</v>
      </c>
      <c r="AN23" s="421">
        <f t="shared" si="17"/>
        <v>0</v>
      </c>
      <c r="AO23" s="80"/>
      <c r="AQ23" s="397" t="str">
        <f t="shared" si="19"/>
        <v>2016</v>
      </c>
      <c r="AR23" s="342">
        <f>+AR21/(SUM('6. WS Regression Analysis'!J118:J129))*'6. WS Regression Analysis'!$S$153</f>
        <v>0</v>
      </c>
      <c r="AS23" s="617"/>
      <c r="AT23" s="671">
        <f t="shared" si="20"/>
        <v>0</v>
      </c>
      <c r="AU23" s="342">
        <f>AT23*$AY$25</f>
        <v>0</v>
      </c>
      <c r="AV23" s="220">
        <f>IF($AQ$9='2. Customer Classes'!$B$5,+'4. Customer Growth'!$C35,+IF($AQ$9='2. Customer Classes'!$B$6,+'4. Customer Growth'!$E35,+IF($AQ$9='2. Customer Classes'!$B$7,+'4. Customer Growth'!$G35,+IF($AQ$9='2. Customer Classes'!$B$8,+'4. Customer Growth'!$I35,+IF($AQ$9='2. Customer Classes'!$B$9,+'4. Customer Growth'!$K35,+IF($AQ$9='2. Customer Classes'!$B$10,+'4. Customer Growth'!$M35,IF($AQ$9='2. Customer Classes'!$B$11,+'4. Customer Growth'!$O35,0)))))))</f>
        <v>0</v>
      </c>
      <c r="AW23" s="418">
        <f t="shared" si="21"/>
        <v>0</v>
      </c>
      <c r="AX23" s="421">
        <f t="shared" si="22"/>
        <v>0</v>
      </c>
      <c r="AY23" s="80"/>
    </row>
    <row r="24" spans="2:51" x14ac:dyDescent="0.2">
      <c r="B24" s="69"/>
      <c r="C24" s="664"/>
      <c r="D24" s="664"/>
      <c r="E24" s="220"/>
      <c r="F24" s="299"/>
      <c r="G24" s="297"/>
      <c r="H24" s="297"/>
      <c r="I24" s="299"/>
      <c r="J24" s="419"/>
      <c r="K24" s="75"/>
      <c r="L24" s="75"/>
      <c r="M24" s="69"/>
      <c r="N24" s="664"/>
      <c r="O24" s="664"/>
      <c r="P24" s="220"/>
      <c r="Q24" s="742"/>
      <c r="R24" s="299"/>
      <c r="S24" s="299"/>
      <c r="T24" s="299"/>
      <c r="U24" s="81"/>
      <c r="V24" s="59"/>
      <c r="W24" s="69"/>
      <c r="X24" s="664"/>
      <c r="Y24" s="664"/>
      <c r="Z24" s="299"/>
      <c r="AA24" s="299"/>
      <c r="AB24" s="299"/>
      <c r="AC24" s="299"/>
      <c r="AD24" s="299"/>
      <c r="AE24" s="236"/>
      <c r="AG24" s="69"/>
      <c r="AH24" s="664"/>
      <c r="AI24" s="664"/>
      <c r="AJ24" s="299"/>
      <c r="AK24" s="299"/>
      <c r="AL24" s="299"/>
      <c r="AM24" s="299"/>
      <c r="AN24" s="299"/>
      <c r="AO24" s="236"/>
      <c r="AQ24" s="69"/>
      <c r="AR24" s="664"/>
      <c r="AS24" s="664"/>
      <c r="AT24" s="342"/>
      <c r="AU24" s="342"/>
      <c r="AV24" s="342"/>
      <c r="AW24" s="342"/>
      <c r="AX24" s="342"/>
      <c r="AY24" s="236"/>
    </row>
    <row r="25" spans="2:51" ht="16.5" customHeight="1" x14ac:dyDescent="0.2">
      <c r="B25" s="230" t="s">
        <v>160</v>
      </c>
      <c r="C25" s="665"/>
      <c r="D25" s="665"/>
      <c r="E25" s="443">
        <v>5</v>
      </c>
      <c r="F25" s="185"/>
      <c r="G25" s="371"/>
      <c r="H25" s="377">
        <f>IF($E$25=1,+AVERAGE(H21:H21),+IF($E$25=2,+AVERAGE(H20:H21),+IF($E$25=3,+AVERAGE(H19:H21),+IF($E$25=4,+AVERAGE(H18:H21),+IF($E$25=5,+AVERAGE(H17:H21),+IF($E$25=6,+AVERAGE(H16:H21),+IF($E$25=7,+AVERAGE(H15:H21),+IF($E$25=8,+AVERAGE(H14:H21),+IF($E$25=9,+AVERAGE(H13:H21),+IF($E$25=10,+AVERAGE(H12:H21),0))))))))))</f>
        <v>516726.87418379216</v>
      </c>
      <c r="I25" s="425">
        <f>IF($E$25=1,+AVERAGE(I21:I21),+IF($E$25=2,+AVERAGE(I20:I21),+IF($E$25=3,+AVERAGE(I19:I21),+IF($E$25=4,+AVERAGE(I18:I21),+IF($E$25=5,+AVERAGE(I17:I21),+IF($E$25=6,+AVERAGE(I16:I21),+IF($E$25=7,+AVERAGE(I15:I21),+IF($E$25=8,+AVERAGE(I14:I21),+IF($E$25=9,+AVERAGE(I13:I21),+IF($E$25=10,+AVERAGE(I12:I21),0))))))))))</f>
        <v>1359.0224961558156</v>
      </c>
      <c r="J25" s="350">
        <f>IF($E$25=1,+AVERAGE(J21:J21),+IF($E$25=2,+AVERAGE(J20:J21),+IF($E$25=3,+AVERAGE(J19:J21),+IF($E$25=4,+AVERAGE(J18:J21),+IF($E$25=5,+AVERAGE(J17:J21),+IF($E$25=6,+AVERAGE(J16:J21),+IF($E$25=7,+AVERAGE(J15:J21),+IF($E$25=8,+AVERAGE(J14:J21),+IF($E$25=9,+AVERAGE(J13:J21),+IF($E$25=10,+AVERAGE(J12:J21),0))))))))))</f>
        <v>2.6333658910055414E-3</v>
      </c>
      <c r="K25" s="179"/>
      <c r="L25" s="179"/>
      <c r="M25" s="230" t="s">
        <v>160</v>
      </c>
      <c r="N25" s="665"/>
      <c r="O25" s="670"/>
      <c r="P25" s="444">
        <v>5</v>
      </c>
      <c r="Q25" s="185"/>
      <c r="R25" s="185"/>
      <c r="S25" s="377">
        <f>IF($P$25=1,+AVERAGE(S21:S21),+IF($P$25=2,+AVERAGE(S20:S21),+IF($P$25=3,+AVERAGE(S19:S21),+IF($P$25=4,+AVERAGE(S18:S21),+IF($P$25=5,+AVERAGE(S17:S21),+IF($P$25=6,+AVERAGE(S16:S21),+IF($P$25=7,+AVERAGE(S15:S21),+IF($P$25=8,+AVERAGE(S14:S21),+IF($P$25=9,+AVERAGE(S13:S21),+IF($P$25=10,+AVERAGE(S12:S21),0))))))))))</f>
        <v>3854964.8246247633</v>
      </c>
      <c r="T25" s="424">
        <f>IF($P$25=1,+AVERAGE(T21:T21),+IF($P$25=2,+AVERAGE(T20:T21),+IF($P$25=3,+AVERAGE(T19:T21),+IF($P$25=4,+AVERAGE(T18:T21),+IF($P$25=5,+AVERAGE(T17:T21),+IF($P$25=6,+AVERAGE(T16:T21),+IF($P$25=7,+AVERAGE(T15:T21),+IF($P$25=8,+AVERAGE(T14:T21),+IF($P$25=9,+AVERAGE(T13:T21),+IF($P$25=10,+AVERAGE(T12:T21),0))))))))))</f>
        <v>6764.4679999999989</v>
      </c>
      <c r="U25" s="187">
        <f>IF($P$25=1,+AVERAGE(U21:U21),+IF($P$25=2,+AVERAGE(U20:U21),+IF($P$25=3,+AVERAGE(U19:U21),+IF($P$25=4,+AVERAGE(U18:U21),+IF($P$25=5,+AVERAGE(U17:U21),+IF($P$25=6,+AVERAGE(U16:U21),+IF($P$25=7,+AVERAGE(U15:U21),+IF($P$25=8,+AVERAGE(U14:U21),+IF($P$25=9,+AVERAGE(U13:U21),+IF($P$25=10,+AVERAGE(U12:U21),0))))))))))</f>
        <v>1.7576233745710452E-3</v>
      </c>
      <c r="V25" s="59"/>
      <c r="W25" s="230" t="s">
        <v>160</v>
      </c>
      <c r="X25" s="665" t="s">
        <v>388</v>
      </c>
      <c r="Y25" s="670"/>
      <c r="Z25" s="444">
        <v>5</v>
      </c>
      <c r="AA25" s="185"/>
      <c r="AB25" s="185"/>
      <c r="AC25" s="377">
        <f>IF($Z$25=1,+AVERAGE(AC21:AC21),+IF($Z$25=2,+AVERAGE(AC20:AC21),+IF($Z$25=3,+AVERAGE(AC19:AC21),+IF($Z$25=4,+AVERAGE(AC18:AC21),+IF($Z$25=5,+AVERAGE(AC17:AC21),+IF($Z$25=6,+AVERAGE(AC16:AC21),+IF($Z$25=7,+AVERAGE(AC15:AC21),+IF($Z$25=8,+AVERAGE(AC14:AC21),+IF($Z$25=9,+AVERAGE(AC13:AC21),+IF($Z$25=10,+AVERAGE(AC12:AC21),0))))))))))</f>
        <v>677.05303883183217</v>
      </c>
      <c r="AD25" s="424">
        <f>IF($Z$25=1,+AVERAGE(AD21:AD21),+IF($Z$25=2,+AVERAGE(AD20:AD21),+IF($Z$25=3,+AVERAGE(AD19:AD21),+IF($Z$25=4,+AVERAGE(AD18:AD21),+IF($Z$25=5,+AVERAGE(AD17:AD21),+IF($Z$25=6,+AVERAGE(AD16:AD21),+IF($Z$25=7,+AVERAGE(AD15:AD21),+IF($Z$25=8,+AVERAGE(AD14:AD21),+IF($Z$25=9,+AVERAGE(AD13:AD21),+IF($Z$25=10,+AVERAGE(AD12:AD21),0))))))))))</f>
        <v>1.9957905615237332</v>
      </c>
      <c r="AE25" s="187">
        <f>IF($Z$25=1,+AVERAGE(AE21:AE21),+IF($Z$25=2,+AVERAGE(AE20:AE21),+IF($Z$25=3,+AVERAGE(AE19:AE21),+IF($Z$25=4,+AVERAGE(AE18:AE21),+IF($Z$25=5,+AVERAGE(AE17:AE21),+IF($Z$25=6,+AVERAGE(AE16:AE21),+IF($Z$25=7,+AVERAGE(AE15:AE21),+IF($Z$25=8,+AVERAGE(AE14:AE21),+IF($Z$25=9,+AVERAGE(AE13:AE21),+IF($Z$25=10,+AVERAGE(AE12:AE21),0))))))))))</f>
        <v>2.948469025336368E-3</v>
      </c>
      <c r="AG25" s="230" t="s">
        <v>160</v>
      </c>
      <c r="AH25" s="665" t="s">
        <v>388</v>
      </c>
      <c r="AI25" s="670"/>
      <c r="AJ25" s="444">
        <v>5</v>
      </c>
      <c r="AK25" s="185"/>
      <c r="AL25" s="185"/>
      <c r="AM25" s="377">
        <f>IF($AJ$25=1,+AVERAGE(AM21:AM21),+IF($AJ$25=2,+AVERAGE(AM20:AM21),+IF($AJ$25=3,+AVERAGE(AM19:AM21),+IF($AJ$25=4,+AVERAGE(AM18:AM21),+IF($AJ$25=5,+AVERAGE(AM17:AM21),+IF($AJ$25=6,+AVERAGE(AM16:AM21),+IF($AJ$25=7,+AVERAGE(AM15:AM21),+IF($AJ$25=8,+AVERAGE(AM14:AM21),+IF($AJ$25=9,+AVERAGE(AM13:AM21),+IF($AJ$25=10,+AVERAGE(AM12:AM21),0))))))))))</f>
        <v>0</v>
      </c>
      <c r="AN25" s="424">
        <f>IF($AJ$25=1,+AVERAGE(AN21:AN21),+IF($AJ$25=2,+AVERAGE(AN20:AN21),+IF($AJ$25=3,+AVERAGE(AN19:AN21),+IF($AJ$25=4,+AVERAGE(AN18:AN21),+IF($AJ$25=5,+AVERAGE(AN17:AN21),+IF($AJ$25=6,+AVERAGE(AN16:AN21),+IF($AJ$25=7,+AVERAGE(AN15:AN21),+IF($AJ$25=8,+AVERAGE(AN14:AN21),+IF($AJ$25=9,+AVERAGE(AN13:AN21),+IF($AJ$25=10,+AVERAGE(AN12:AN21),0))))))))))</f>
        <v>0</v>
      </c>
      <c r="AO25" s="187">
        <f>IF($AJ$25=1,+AVERAGE(AO21:AO21),+IF($AJ$25=2,+AVERAGE(AO20:AO21),+IF($AJ$25=3,+AVERAGE(AO19:AO21),+IF($AJ$25=4,+AVERAGE(AO18:AO21),+IF($AJ$25=5,+AVERAGE(AO17:AO21),+IF($AJ$25=6,+AVERAGE(AO16:AO21),+IF($AJ$25=7,+AVERAGE(AO15:AO21),+IF($AJ$25=8,+AVERAGE(AO14:AO21),+IF($AJ$25=9,+AVERAGE(AO13:AO21),+IF($AJ$25=10,+AVERAGE(AO12:AO21),0))))))))))</f>
        <v>0</v>
      </c>
      <c r="AQ25" s="230" t="s">
        <v>160</v>
      </c>
      <c r="AR25" s="665" t="s">
        <v>388</v>
      </c>
      <c r="AS25" s="670"/>
      <c r="AT25" s="444">
        <v>5</v>
      </c>
      <c r="AU25" s="185"/>
      <c r="AV25" s="185"/>
      <c r="AW25" s="377">
        <f>IF($AT$25=1,+AVERAGE(AW21:AW21),+IF($AT$25=2,+AVERAGE(AW20:AW21),+IF($AT$25=3,+AVERAGE(AW19:AW21),+IF($AT$25=4,+AVERAGE(AW18:AW21),+IF($AT$25=5,+AVERAGE(AW17:AW21),+IF($AT$25=6,+AVERAGE(AW16:AW21),+IF($AT$25=7,+AVERAGE(AW15:AW21),+IF($AT$25=8,+AVERAGE(AW14:AW21),+IF($AT$25=9,+AVERAGE(AW13:AW21),+IF($AT$25=10,+AVERAGE(AW12:AW21),0))))))))))</f>
        <v>0</v>
      </c>
      <c r="AX25" s="424">
        <f>IF($AT$25=1,+AVERAGE(AX21:AX21),+IF($AT$25=2,+AVERAGE(AX20:AX21),+IF($AT$25=3,+AVERAGE(AX19:AX21),+IF($AT$25=4,+AVERAGE(AX18:AX21),+IF($AT$25=5,+AVERAGE(AX17:AX21),+IF($AT$25=6,+AVERAGE(AX16:AX21),+IF($AT$25=7,+AVERAGE(AX15:AX21),+IF($AT$25=8,+AVERAGE(AX14:AX21),+IF($AT$25=9,+AVERAGE(AX13:AX21),+IF($AT$25=10,+AVERAGE(AX12:AX21),0))))))))))</f>
        <v>0</v>
      </c>
      <c r="AY25" s="187">
        <f>IF($AT$25=1,+AVERAGE(AY21:AY21),+IF($AT$25=2,+AVERAGE(AY20:AY21),+IF($AT$25=3,+AVERAGE(AY19:AY21),+IF($AT$25=4,+AVERAGE(AY18:AY21),+IF($AT$25=5,+AVERAGE(AY17:AY21),+IF($AT$25=6,+AVERAGE(AY16:AY21),+IF($AT$25=7,+AVERAGE(AY15:AY21),+IF($AT$25=8,+AVERAGE(AY14:AY21),+IF($AT$25=9,+AVERAGE(AY13:AY21),+IF($AT$25=10,+AVERAGE(AY12:AY21),0))))))))))</f>
        <v>0</v>
      </c>
    </row>
    <row r="26" spans="2:51" ht="13.5" thickBot="1" x14ac:dyDescent="0.25">
      <c r="B26" s="188"/>
      <c r="C26" s="666"/>
      <c r="D26" s="666"/>
      <c r="E26" s="189"/>
      <c r="F26" s="189"/>
      <c r="G26" s="372"/>
      <c r="H26" s="372"/>
      <c r="I26" s="189"/>
      <c r="J26" s="423"/>
      <c r="M26" s="188"/>
      <c r="N26" s="666"/>
      <c r="O26" s="666"/>
      <c r="P26" s="189"/>
      <c r="Q26" s="90"/>
      <c r="R26" s="90"/>
      <c r="S26" s="90"/>
      <c r="T26" s="90"/>
      <c r="U26" s="190"/>
      <c r="W26" s="89"/>
      <c r="X26" s="643"/>
      <c r="Y26" s="643"/>
      <c r="Z26" s="90"/>
      <c r="AA26" s="90"/>
      <c r="AB26" s="90"/>
      <c r="AC26" s="90"/>
      <c r="AD26" s="90"/>
      <c r="AE26" s="190"/>
      <c r="AG26" s="89"/>
      <c r="AH26" s="643"/>
      <c r="AI26" s="643"/>
      <c r="AJ26" s="90"/>
      <c r="AK26" s="90"/>
      <c r="AL26" s="90"/>
      <c r="AM26" s="90"/>
      <c r="AN26" s="90"/>
      <c r="AO26" s="190"/>
      <c r="AQ26" s="89"/>
      <c r="AR26" s="643"/>
      <c r="AS26" s="643"/>
      <c r="AT26" s="90"/>
      <c r="AU26" s="90"/>
      <c r="AV26" s="90"/>
      <c r="AW26" s="90"/>
      <c r="AX26" s="90"/>
      <c r="AY26" s="190"/>
    </row>
    <row r="27" spans="2:51" x14ac:dyDescent="0.2">
      <c r="B27" s="1382" t="s">
        <v>148</v>
      </c>
      <c r="C27" s="1382"/>
      <c r="D27" s="1382"/>
      <c r="E27" s="1382"/>
      <c r="F27" s="1382"/>
      <c r="G27" s="1382"/>
      <c r="H27" s="1382"/>
      <c r="I27" s="1382"/>
      <c r="J27" s="1382"/>
      <c r="M27" s="1382" t="s">
        <v>148</v>
      </c>
      <c r="N27" s="1382"/>
      <c r="O27" s="1382"/>
      <c r="P27" s="1382"/>
      <c r="Q27" s="1382"/>
      <c r="R27" s="1382"/>
      <c r="S27" s="1382"/>
      <c r="T27" s="1382"/>
      <c r="U27" s="1382"/>
      <c r="W27" s="1361" t="s">
        <v>148</v>
      </c>
      <c r="X27" s="1361"/>
      <c r="Y27" s="1361"/>
      <c r="Z27" s="1361"/>
      <c r="AA27" s="1361"/>
      <c r="AB27" s="1361"/>
      <c r="AC27" s="1361"/>
      <c r="AD27" s="1361"/>
      <c r="AE27" s="1361"/>
      <c r="AG27" s="1382" t="s">
        <v>148</v>
      </c>
      <c r="AH27" s="1382"/>
      <c r="AI27" s="1382"/>
      <c r="AJ27" s="1382"/>
      <c r="AK27" s="1382"/>
      <c r="AL27" s="1382"/>
      <c r="AM27" s="1382"/>
      <c r="AN27" s="1382"/>
      <c r="AO27" s="1382"/>
      <c r="AQ27" s="1382" t="s">
        <v>148</v>
      </c>
      <c r="AR27" s="1382"/>
      <c r="AS27" s="1382"/>
      <c r="AT27" s="1382"/>
      <c r="AU27" s="1382"/>
      <c r="AV27" s="1382"/>
      <c r="AW27" s="1382"/>
      <c r="AX27" s="1382"/>
      <c r="AY27" s="1382"/>
    </row>
    <row r="28" spans="2:51" x14ac:dyDescent="0.2">
      <c r="B28" s="142"/>
      <c r="C28" s="142"/>
      <c r="D28" s="142"/>
      <c r="E28" s="142"/>
      <c r="F28" s="142"/>
      <c r="G28" s="143"/>
      <c r="H28" s="144"/>
      <c r="I28" s="145"/>
      <c r="J28" s="147"/>
      <c r="M28" s="142"/>
      <c r="N28" s="142"/>
      <c r="O28" s="142"/>
      <c r="P28" s="142"/>
      <c r="Q28" s="142"/>
      <c r="R28" s="143"/>
      <c r="S28" s="144"/>
      <c r="T28" s="145"/>
      <c r="U28" s="147"/>
      <c r="W28" s="142"/>
      <c r="X28" s="142"/>
      <c r="Y28" s="142"/>
      <c r="Z28" s="142"/>
      <c r="AA28" s="142"/>
      <c r="AB28" s="143"/>
      <c r="AC28" s="144"/>
      <c r="AD28" s="145"/>
      <c r="AE28" s="147"/>
      <c r="AG28" s="142"/>
      <c r="AH28" s="142"/>
      <c r="AI28" s="142"/>
      <c r="AJ28" s="142"/>
      <c r="AK28" s="142"/>
      <c r="AL28" s="143"/>
      <c r="AM28" s="144"/>
      <c r="AN28" s="145"/>
      <c r="AO28" s="147"/>
      <c r="AQ28" s="142"/>
      <c r="AR28" s="142"/>
      <c r="AS28" s="142"/>
      <c r="AT28" s="142"/>
      <c r="AU28" s="142"/>
      <c r="AV28" s="143"/>
      <c r="AW28" s="144"/>
      <c r="AX28" s="145"/>
      <c r="AY28" s="147"/>
    </row>
    <row r="29" spans="2:51" x14ac:dyDescent="0.2">
      <c r="B29" s="142"/>
      <c r="C29" s="142"/>
      <c r="D29" s="142"/>
      <c r="E29" s="142"/>
      <c r="F29" s="142"/>
      <c r="G29" s="143"/>
      <c r="H29" s="144"/>
      <c r="I29" s="145"/>
      <c r="J29" s="147"/>
      <c r="M29" s="142"/>
      <c r="N29" s="142"/>
      <c r="O29" s="142"/>
      <c r="P29" s="142"/>
      <c r="Q29" s="142"/>
      <c r="R29" s="143"/>
      <c r="S29" s="144"/>
      <c r="T29" s="145"/>
      <c r="U29" s="147"/>
      <c r="W29" s="142"/>
      <c r="X29" s="142"/>
      <c r="Y29" s="142"/>
      <c r="Z29" s="142"/>
      <c r="AA29" s="142"/>
      <c r="AB29" s="143"/>
      <c r="AC29" s="144"/>
      <c r="AD29" s="145"/>
      <c r="AE29" s="147"/>
      <c r="AG29" s="142"/>
      <c r="AH29" s="142"/>
      <c r="AI29" s="142"/>
      <c r="AJ29" s="142"/>
      <c r="AK29" s="142"/>
      <c r="AL29" s="143"/>
      <c r="AM29" s="144"/>
      <c r="AN29" s="145"/>
      <c r="AO29" s="147"/>
      <c r="AQ29" s="142"/>
      <c r="AR29" s="142"/>
      <c r="AS29" s="142"/>
      <c r="AT29" s="142"/>
      <c r="AU29" s="142"/>
      <c r="AV29" s="143"/>
      <c r="AW29" s="144"/>
      <c r="AX29" s="145"/>
      <c r="AY29" s="147"/>
    </row>
    <row r="30" spans="2:51" x14ac:dyDescent="0.2">
      <c r="B30" s="142"/>
      <c r="C30" s="142"/>
      <c r="D30" s="142"/>
      <c r="E30" s="142"/>
      <c r="F30" s="142"/>
      <c r="G30" s="143"/>
      <c r="H30" s="144"/>
      <c r="I30" s="145"/>
      <c r="J30" s="147"/>
      <c r="M30" s="142"/>
      <c r="N30" s="142"/>
      <c r="O30" s="142"/>
      <c r="P30" s="142"/>
      <c r="Q30" s="142"/>
      <c r="R30" s="143"/>
      <c r="S30" s="144"/>
      <c r="T30" s="145"/>
      <c r="U30" s="147"/>
      <c r="W30" s="142"/>
      <c r="X30" s="142"/>
      <c r="Y30" s="142"/>
      <c r="Z30" s="142"/>
      <c r="AA30" s="142"/>
      <c r="AB30" s="143"/>
      <c r="AC30" s="144"/>
      <c r="AD30" s="145"/>
      <c r="AE30" s="147"/>
      <c r="AG30" s="142"/>
      <c r="AH30" s="142"/>
      <c r="AI30" s="142"/>
      <c r="AJ30" s="142"/>
      <c r="AK30" s="142"/>
      <c r="AL30" s="143"/>
      <c r="AM30" s="144"/>
      <c r="AN30" s="145"/>
      <c r="AO30" s="147"/>
      <c r="AQ30" s="142"/>
      <c r="AR30" s="142"/>
      <c r="AS30" s="142"/>
      <c r="AT30" s="142"/>
      <c r="AU30" s="142"/>
      <c r="AV30" s="143"/>
      <c r="AW30" s="144"/>
      <c r="AX30" s="145"/>
      <c r="AY30" s="147"/>
    </row>
    <row r="31" spans="2:51" x14ac:dyDescent="0.2">
      <c r="B31" s="142"/>
      <c r="C31" s="142"/>
      <c r="D31" s="142"/>
      <c r="E31" s="142"/>
      <c r="F31" s="142"/>
      <c r="G31" s="143"/>
      <c r="H31" s="144"/>
      <c r="I31" s="145"/>
      <c r="J31" s="147"/>
      <c r="M31" s="142"/>
      <c r="N31" s="142"/>
      <c r="O31" s="142"/>
      <c r="P31" s="142"/>
      <c r="Q31" s="142"/>
      <c r="R31" s="143"/>
      <c r="S31" s="144"/>
      <c r="T31" s="145"/>
      <c r="U31" s="147"/>
      <c r="W31" s="142"/>
      <c r="X31" s="142"/>
      <c r="Y31" s="142"/>
      <c r="Z31" s="142"/>
      <c r="AA31" s="142"/>
      <c r="AB31" s="143"/>
      <c r="AC31" s="144"/>
      <c r="AD31" s="145"/>
      <c r="AE31" s="147"/>
      <c r="AG31" s="142"/>
      <c r="AH31" s="142"/>
      <c r="AI31" s="142"/>
      <c r="AJ31" s="142"/>
      <c r="AK31" s="142"/>
      <c r="AL31" s="143"/>
      <c r="AM31" s="144"/>
      <c r="AN31" s="145"/>
      <c r="AO31" s="147"/>
      <c r="AQ31" s="142"/>
      <c r="AR31" s="142"/>
      <c r="AS31" s="142"/>
      <c r="AT31" s="142"/>
      <c r="AU31" s="142"/>
      <c r="AV31" s="143"/>
      <c r="AW31" s="144"/>
      <c r="AX31" s="145"/>
      <c r="AY31" s="147"/>
    </row>
    <row r="32" spans="2:51" ht="15" x14ac:dyDescent="0.2">
      <c r="B32" s="1362" t="s">
        <v>176</v>
      </c>
      <c r="C32" s="1362"/>
      <c r="D32" s="1362"/>
      <c r="E32" s="1362"/>
      <c r="F32" s="1362"/>
      <c r="G32" s="1362"/>
      <c r="H32" s="1362"/>
      <c r="I32" s="1362"/>
      <c r="J32" s="1362"/>
      <c r="M32" s="1362" t="s">
        <v>176</v>
      </c>
      <c r="N32" s="1362"/>
      <c r="O32" s="1362"/>
      <c r="P32" s="1362"/>
      <c r="Q32" s="1362"/>
      <c r="R32" s="1362"/>
      <c r="S32" s="1362"/>
      <c r="T32" s="1362"/>
      <c r="U32" s="1362"/>
      <c r="W32" s="1362" t="s">
        <v>176</v>
      </c>
      <c r="X32" s="1362"/>
      <c r="Y32" s="1362"/>
      <c r="Z32" s="1362"/>
      <c r="AA32" s="1362"/>
      <c r="AB32" s="1362"/>
      <c r="AC32" s="1362"/>
      <c r="AD32" s="1362"/>
      <c r="AE32" s="1362"/>
      <c r="AG32" s="1362" t="s">
        <v>176</v>
      </c>
      <c r="AH32" s="1362"/>
      <c r="AI32" s="1362"/>
      <c r="AJ32" s="1362"/>
      <c r="AK32" s="1362"/>
      <c r="AL32" s="1362"/>
      <c r="AM32" s="1362"/>
      <c r="AN32" s="1362"/>
      <c r="AO32" s="1362"/>
      <c r="AQ32" s="1362" t="s">
        <v>176</v>
      </c>
      <c r="AR32" s="1362"/>
      <c r="AS32" s="1362"/>
      <c r="AT32" s="1362"/>
      <c r="AU32" s="1362"/>
      <c r="AV32" s="1362"/>
      <c r="AW32" s="1362"/>
      <c r="AX32" s="1362"/>
      <c r="AY32" s="1362"/>
    </row>
    <row r="33" spans="2:51" x14ac:dyDescent="0.2">
      <c r="J33" s="359"/>
    </row>
    <row r="34" spans="2:51" x14ac:dyDescent="0.2">
      <c r="J34" s="359"/>
    </row>
    <row r="35" spans="2:51" x14ac:dyDescent="0.2">
      <c r="J35" s="359"/>
    </row>
    <row r="36" spans="2:51" x14ac:dyDescent="0.2">
      <c r="J36" s="359"/>
    </row>
    <row r="37" spans="2:51" ht="13.5" thickBot="1" x14ac:dyDescent="0.25">
      <c r="J37" s="359"/>
    </row>
    <row r="38" spans="2:51" ht="13.5" thickBot="1" x14ac:dyDescent="0.25">
      <c r="B38" s="1383" t="str">
        <f>+B9</f>
        <v>General Service &gt; 50 kW - 4999 kW - Excluding Wholesale Market Participant</v>
      </c>
      <c r="C38" s="1384"/>
      <c r="D38" s="1384"/>
      <c r="E38" s="1384"/>
      <c r="F38" s="1384"/>
      <c r="G38" s="1384"/>
      <c r="H38" s="1384"/>
      <c r="I38" s="1384"/>
      <c r="J38" s="1385"/>
      <c r="M38" s="1383" t="str">
        <f>+M9</f>
        <v>General Service &gt; 50 kW - 4999 kW - Wholesale Market Participant</v>
      </c>
      <c r="N38" s="1384"/>
      <c r="O38" s="1384"/>
      <c r="P38" s="1384"/>
      <c r="Q38" s="1384"/>
      <c r="R38" s="1384"/>
      <c r="S38" s="1384"/>
      <c r="T38" s="1384"/>
      <c r="U38" s="1385"/>
      <c r="W38" s="1383" t="str">
        <f>+W9</f>
        <v>Streetlighting</v>
      </c>
      <c r="X38" s="1384"/>
      <c r="Y38" s="1384"/>
      <c r="Z38" s="1384"/>
      <c r="AA38" s="1384"/>
      <c r="AB38" s="1384"/>
      <c r="AC38" s="1384"/>
      <c r="AD38" s="1384"/>
      <c r="AE38" s="1385"/>
      <c r="AG38" s="1383" t="str">
        <f>+AG9</f>
        <v>N/A</v>
      </c>
      <c r="AH38" s="1384"/>
      <c r="AI38" s="1384"/>
      <c r="AJ38" s="1384"/>
      <c r="AK38" s="1384"/>
      <c r="AL38" s="1384"/>
      <c r="AM38" s="1384"/>
      <c r="AN38" s="1384"/>
      <c r="AO38" s="1385"/>
      <c r="AQ38" s="1383" t="str">
        <f>+AQ9</f>
        <v>N/A</v>
      </c>
      <c r="AR38" s="1384"/>
      <c r="AS38" s="1384"/>
      <c r="AT38" s="1384"/>
      <c r="AU38" s="1384"/>
      <c r="AV38" s="1384"/>
      <c r="AW38" s="1384"/>
      <c r="AX38" s="1384"/>
      <c r="AY38" s="1385"/>
    </row>
    <row r="39" spans="2:51" ht="29.25" customHeight="1" thickBot="1" x14ac:dyDescent="0.25">
      <c r="B39" s="387" t="s">
        <v>33</v>
      </c>
      <c r="C39" s="667"/>
      <c r="D39" s="667"/>
      <c r="E39" s="388" t="s">
        <v>40</v>
      </c>
      <c r="F39" s="388" t="s">
        <v>185</v>
      </c>
      <c r="G39" s="388" t="s">
        <v>186</v>
      </c>
      <c r="H39" s="394" t="s">
        <v>189</v>
      </c>
      <c r="I39" s="388" t="s">
        <v>187</v>
      </c>
      <c r="J39" s="389" t="s">
        <v>188</v>
      </c>
      <c r="K39" s="354"/>
      <c r="L39" s="354"/>
      <c r="M39" s="387" t="s">
        <v>33</v>
      </c>
      <c r="N39" s="667"/>
      <c r="O39" s="667"/>
      <c r="P39" s="388" t="s">
        <v>40</v>
      </c>
      <c r="Q39" s="388" t="s">
        <v>185</v>
      </c>
      <c r="R39" s="388" t="s">
        <v>186</v>
      </c>
      <c r="S39" s="394" t="s">
        <v>189</v>
      </c>
      <c r="T39" s="388" t="s">
        <v>187</v>
      </c>
      <c r="U39" s="389" t="s">
        <v>188</v>
      </c>
      <c r="W39" s="387" t="s">
        <v>33</v>
      </c>
      <c r="X39" s="667"/>
      <c r="Y39" s="667"/>
      <c r="Z39" s="388" t="s">
        <v>40</v>
      </c>
      <c r="AA39" s="388" t="s">
        <v>185</v>
      </c>
      <c r="AB39" s="388" t="s">
        <v>186</v>
      </c>
      <c r="AC39" s="394" t="s">
        <v>189</v>
      </c>
      <c r="AD39" s="388" t="s">
        <v>187</v>
      </c>
      <c r="AE39" s="389" t="s">
        <v>188</v>
      </c>
      <c r="AG39" s="387" t="s">
        <v>33</v>
      </c>
      <c r="AH39" s="667"/>
      <c r="AI39" s="667"/>
      <c r="AJ39" s="388" t="s">
        <v>40</v>
      </c>
      <c r="AK39" s="388" t="s">
        <v>185</v>
      </c>
      <c r="AL39" s="388" t="s">
        <v>186</v>
      </c>
      <c r="AM39" s="394" t="s">
        <v>189</v>
      </c>
      <c r="AN39" s="388" t="s">
        <v>187</v>
      </c>
      <c r="AO39" s="389" t="s">
        <v>188</v>
      </c>
      <c r="AQ39" s="387" t="s">
        <v>33</v>
      </c>
      <c r="AR39" s="667"/>
      <c r="AS39" s="667"/>
      <c r="AT39" s="388" t="s">
        <v>40</v>
      </c>
      <c r="AU39" s="388" t="s">
        <v>185</v>
      </c>
      <c r="AV39" s="388" t="s">
        <v>186</v>
      </c>
      <c r="AW39" s="394" t="s">
        <v>189</v>
      </c>
      <c r="AX39" s="388" t="s">
        <v>187</v>
      </c>
      <c r="AY39" s="389" t="s">
        <v>188</v>
      </c>
    </row>
    <row r="40" spans="2:51" ht="12.75" customHeight="1" x14ac:dyDescent="0.2">
      <c r="B40" s="9" t="str">
        <f>+B22</f>
        <v>2015</v>
      </c>
      <c r="C40" s="668"/>
      <c r="D40" s="668"/>
      <c r="E40" s="383">
        <f>+G22-G21</f>
        <v>1</v>
      </c>
      <c r="F40" s="384">
        <f>+H25</f>
        <v>516726.87418379216</v>
      </c>
      <c r="G40" s="390">
        <f>+I25</f>
        <v>1359.0224961558156</v>
      </c>
      <c r="H40" s="1386" t="s">
        <v>179</v>
      </c>
      <c r="I40" s="392">
        <f>IF(H40="Yes",+F40*E40+$E$22,$E$22)</f>
        <v>17739175.385813881</v>
      </c>
      <c r="J40" s="385">
        <f>IF(H40="Yes",+G40*E40+$F$22,$F$22)</f>
        <v>46713.73939556734</v>
      </c>
      <c r="M40" s="9" t="str">
        <f>+M22</f>
        <v>2015</v>
      </c>
      <c r="N40" s="668"/>
      <c r="O40" s="668"/>
      <c r="P40" s="383">
        <f>+R22-R21</f>
        <v>0</v>
      </c>
      <c r="Q40" s="384">
        <f>+S25</f>
        <v>3854964.8246247633</v>
      </c>
      <c r="R40" s="390">
        <f>+T25</f>
        <v>6764.4679999999989</v>
      </c>
      <c r="S40" s="1386" t="s">
        <v>179</v>
      </c>
      <c r="T40" s="392">
        <f>IF(S40="Yes",+Q40*P40+$P$22,$P$22)</f>
        <v>3824363.7837355831</v>
      </c>
      <c r="U40" s="385">
        <f>IF(S40="Yes",+R40*P40+$Q$22,$Q$22)</f>
        <v>6721.7911791566266</v>
      </c>
      <c r="W40" s="9" t="str">
        <f>+W22</f>
        <v>2015</v>
      </c>
      <c r="X40" s="668"/>
      <c r="Y40" s="668"/>
      <c r="Z40" s="383">
        <f>+AB22-AB21</f>
        <v>39.400000000000091</v>
      </c>
      <c r="AA40" s="384">
        <f>+AC25</f>
        <v>677.05303883183217</v>
      </c>
      <c r="AB40" s="390">
        <f>+AD25</f>
        <v>1.9957905615237332</v>
      </c>
      <c r="AC40" s="1386" t="s">
        <v>179</v>
      </c>
      <c r="AD40" s="392">
        <f>IF(AC40="Yes",+AA40*Z40+$Z$22,$Z$22)</f>
        <v>1854817.1178477965</v>
      </c>
      <c r="AE40" s="385">
        <f>IF(AC40="Yes",+AB40*Z40+$AA$22,$AA$22)</f>
        <v>5468.8708196379039</v>
      </c>
      <c r="AG40" s="9" t="str">
        <f>+AG22</f>
        <v>2015</v>
      </c>
      <c r="AH40" s="668"/>
      <c r="AI40" s="668"/>
      <c r="AJ40" s="383">
        <f>+AL22-AL21</f>
        <v>0</v>
      </c>
      <c r="AK40" s="384">
        <f>+AM25</f>
        <v>0</v>
      </c>
      <c r="AL40" s="390">
        <f>+AN25</f>
        <v>0</v>
      </c>
      <c r="AM40" s="1386" t="s">
        <v>179</v>
      </c>
      <c r="AN40" s="392">
        <f>IF(AM40="Yes",+AK40*AJ40+$AJ$22,$AJ$22)</f>
        <v>0</v>
      </c>
      <c r="AO40" s="385">
        <f>IF(AM40="Yes",+AL40*AJ40+$AK$22,$AK$22)</f>
        <v>0</v>
      </c>
      <c r="AQ40" s="9" t="str">
        <f>+AQ22</f>
        <v>2015</v>
      </c>
      <c r="AR40" s="668"/>
      <c r="AS40" s="668"/>
      <c r="AT40" s="383">
        <f>+AV22-AV21</f>
        <v>0</v>
      </c>
      <c r="AU40" s="384">
        <f>+AW25</f>
        <v>0</v>
      </c>
      <c r="AV40" s="390">
        <f>+AX25</f>
        <v>0</v>
      </c>
      <c r="AW40" s="1386" t="s">
        <v>179</v>
      </c>
      <c r="AX40" s="392">
        <f>IF(AW40="Yes",+AU40*AT40+$AT$22,$AT$22)</f>
        <v>0</v>
      </c>
      <c r="AY40" s="385">
        <f>IF(AW40="Yes",+AV40*AT40+$AK$22,$AK$22)</f>
        <v>0</v>
      </c>
    </row>
    <row r="41" spans="2:51" ht="13.5" customHeight="1" thickBot="1" x14ac:dyDescent="0.25">
      <c r="B41" s="21" t="str">
        <f>+B23</f>
        <v>2016</v>
      </c>
      <c r="C41" s="669"/>
      <c r="D41" s="669"/>
      <c r="E41" s="379">
        <f>+G23-G21</f>
        <v>1</v>
      </c>
      <c r="F41" s="420">
        <f>+H25</f>
        <v>516726.87418379216</v>
      </c>
      <c r="G41" s="391">
        <f>+I25</f>
        <v>1359.0224961558156</v>
      </c>
      <c r="H41" s="1387"/>
      <c r="I41" s="393">
        <f>IF(H40="Yes",+F41*E41+$E$23,$E$23)</f>
        <v>17932615.503197044</v>
      </c>
      <c r="J41" s="386">
        <f>IF(H40="Yes",+G41*E41+$F$23,$F$23)</f>
        <v>47223.138002636268</v>
      </c>
      <c r="M41" s="21" t="str">
        <f>+M23</f>
        <v>2016</v>
      </c>
      <c r="N41" s="669"/>
      <c r="O41" s="669"/>
      <c r="P41" s="379">
        <f>+R23-R21</f>
        <v>0</v>
      </c>
      <c r="Q41" s="420">
        <f>+S25</f>
        <v>3854964.8246247633</v>
      </c>
      <c r="R41" s="391">
        <f>+T25</f>
        <v>6764.4679999999989</v>
      </c>
      <c r="S41" s="1387"/>
      <c r="T41" s="393">
        <f>IF(S40="Yes",+Q41*P41+$P$23,$P$23)</f>
        <v>3774173.6759822387</v>
      </c>
      <c r="U41" s="386">
        <f>IF(S40="Yes",+R41*P41+$Q$23,$Q$23)</f>
        <v>6633.5758725971091</v>
      </c>
      <c r="W41" s="21" t="str">
        <f>+W23</f>
        <v>2016</v>
      </c>
      <c r="X41" s="669"/>
      <c r="Y41" s="669"/>
      <c r="Z41" s="379">
        <f>+AB23-AB21</f>
        <v>81</v>
      </c>
      <c r="AA41" s="420">
        <f>+AC25</f>
        <v>677.05303883183217</v>
      </c>
      <c r="AB41" s="391">
        <f>+AD25</f>
        <v>1.9957905615237332</v>
      </c>
      <c r="AC41" s="1387"/>
      <c r="AD41" s="393">
        <f>IF(AC40="Yes",+AA41*Z41+$Z$23,$Z$23)</f>
        <v>1876279.1565306762</v>
      </c>
      <c r="AE41" s="386">
        <f>IF(AC40="Yes",+AB41*Z41+$AA$23,$AA$23)</f>
        <v>5532.1509759149458</v>
      </c>
      <c r="AG41" s="21" t="str">
        <f>+AG23</f>
        <v>2016</v>
      </c>
      <c r="AH41" s="669"/>
      <c r="AI41" s="669"/>
      <c r="AJ41" s="379">
        <f>+AL23-AL21</f>
        <v>0</v>
      </c>
      <c r="AK41" s="420">
        <f>+AM25</f>
        <v>0</v>
      </c>
      <c r="AL41" s="391">
        <f>+AN25</f>
        <v>0</v>
      </c>
      <c r="AM41" s="1387"/>
      <c r="AN41" s="393">
        <f>IF(AM40="Yes",+AK41*AJ41+$AJ$23,$AJ$23)</f>
        <v>0</v>
      </c>
      <c r="AO41" s="386">
        <f>IF(AM40="Yes",+AL41*AJ41+$AK$23,$AK$23)</f>
        <v>0</v>
      </c>
      <c r="AQ41" s="21" t="str">
        <f>+AQ23</f>
        <v>2016</v>
      </c>
      <c r="AR41" s="669"/>
      <c r="AS41" s="669"/>
      <c r="AT41" s="379">
        <f>+AV23-AV21</f>
        <v>0</v>
      </c>
      <c r="AU41" s="420">
        <f>+AW25</f>
        <v>0</v>
      </c>
      <c r="AV41" s="391">
        <f>+AX25</f>
        <v>0</v>
      </c>
      <c r="AW41" s="1387"/>
      <c r="AX41" s="393">
        <f>IF(AW40="Yes",+AU41*AT41+$AT$23,$AT$23)</f>
        <v>0</v>
      </c>
      <c r="AY41" s="386">
        <f>IF(AW40="Yes",+AV41*AT41+$AK$23,$AK$23)</f>
        <v>0</v>
      </c>
    </row>
    <row r="42" spans="2:51" x14ac:dyDescent="0.2">
      <c r="J42" s="359"/>
    </row>
    <row r="43" spans="2:51" x14ac:dyDescent="0.2">
      <c r="B43" s="396" t="s">
        <v>191</v>
      </c>
      <c r="C43" s="396"/>
      <c r="D43" s="396"/>
    </row>
    <row r="45" spans="2:51" x14ac:dyDescent="0.2">
      <c r="H45" s="395"/>
    </row>
    <row r="48" spans="2:51" ht="26.25" hidden="1" thickBot="1" x14ac:dyDescent="0.25">
      <c r="B48" s="1378" t="s">
        <v>161</v>
      </c>
      <c r="C48" s="1388"/>
      <c r="D48" s="1388"/>
      <c r="E48" s="1379"/>
      <c r="H48" s="360" t="s">
        <v>146</v>
      </c>
      <c r="I48" s="361" t="s">
        <v>143</v>
      </c>
    </row>
    <row r="49" spans="2:10" hidden="1" x14ac:dyDescent="0.2">
      <c r="B49" s="351">
        <v>1</v>
      </c>
      <c r="C49" s="364"/>
      <c r="D49" s="364"/>
      <c r="E49" s="364"/>
      <c r="F49" s="369">
        <f>+B12</f>
        <v>2005</v>
      </c>
      <c r="G49" s="373"/>
      <c r="H49" s="366">
        <f>SUM('6. WS Regression Analysis'!J10:K21)</f>
        <v>116507003</v>
      </c>
      <c r="I49" s="362">
        <f>SUM('6. WS Regression Analysis'!R10:R21)</f>
        <v>115988429.89198539</v>
      </c>
    </row>
    <row r="50" spans="2:10" hidden="1" x14ac:dyDescent="0.2">
      <c r="B50" s="351">
        <v>2</v>
      </c>
      <c r="C50" s="364"/>
      <c r="D50" s="364"/>
      <c r="E50" s="364"/>
      <c r="F50" s="369">
        <f t="shared" ref="F50:F58" si="24">+B13</f>
        <v>2006</v>
      </c>
      <c r="G50" s="374"/>
      <c r="H50" s="367">
        <f>SUM('6. WS Regression Analysis'!J22:J33)</f>
        <v>115191936.86133909</v>
      </c>
      <c r="I50" s="363">
        <f>SUM('6. WS Regression Analysis'!R22:R33)</f>
        <v>116344153.64245866</v>
      </c>
    </row>
    <row r="51" spans="2:10" hidden="1" x14ac:dyDescent="0.2">
      <c r="B51" s="351">
        <v>3</v>
      </c>
      <c r="C51" s="364"/>
      <c r="D51" s="364"/>
      <c r="E51" s="364"/>
      <c r="F51" s="369">
        <f t="shared" si="24"/>
        <v>2007</v>
      </c>
      <c r="G51" s="374"/>
      <c r="H51" s="367">
        <f>SUM('6. WS Regression Analysis'!J34:J45)</f>
        <v>125264170.3394495</v>
      </c>
      <c r="I51" s="363">
        <f>SUM('6. WS Regression Analysis'!R34:R45)</f>
        <v>125038875.58014549</v>
      </c>
    </row>
    <row r="52" spans="2:10" hidden="1" x14ac:dyDescent="0.2">
      <c r="B52" s="351">
        <v>4</v>
      </c>
      <c r="C52" s="364"/>
      <c r="D52" s="364"/>
      <c r="E52" s="364"/>
      <c r="F52" s="369">
        <f t="shared" si="24"/>
        <v>2008</v>
      </c>
      <c r="G52" s="374"/>
      <c r="H52" s="367">
        <f>SUM('6. WS Regression Analysis'!J46:J57)</f>
        <v>129634398.06587967</v>
      </c>
      <c r="I52" s="363">
        <f>SUM('6. WS Regression Analysis'!R46:R57)</f>
        <v>127485248.88734896</v>
      </c>
    </row>
    <row r="53" spans="2:10" hidden="1" x14ac:dyDescent="0.2">
      <c r="B53" s="351">
        <v>5</v>
      </c>
      <c r="C53" s="364"/>
      <c r="D53" s="364"/>
      <c r="E53" s="364"/>
      <c r="F53" s="369">
        <f t="shared" si="24"/>
        <v>2009</v>
      </c>
      <c r="G53" s="374"/>
      <c r="H53" s="367">
        <f>SUM('6. WS Regression Analysis'!J58:J69)</f>
        <v>129919267.53378721</v>
      </c>
      <c r="I53" s="363">
        <f>SUM('6. WS Regression Analysis'!R58:R69)</f>
        <v>127811923.39517263</v>
      </c>
    </row>
    <row r="54" spans="2:10" hidden="1" x14ac:dyDescent="0.2">
      <c r="B54" s="351">
        <v>6</v>
      </c>
      <c r="C54" s="364"/>
      <c r="D54" s="364"/>
      <c r="E54" s="364"/>
      <c r="F54" s="369">
        <f t="shared" si="24"/>
        <v>2010</v>
      </c>
      <c r="G54" s="374"/>
      <c r="H54" s="367">
        <f>SUM('6. WS Regression Analysis'!J70:J81)</f>
        <v>131401699.22159928</v>
      </c>
      <c r="I54" s="363">
        <f>SUM('6. WS Regression Analysis'!R70:R81)</f>
        <v>133734014.78599641</v>
      </c>
    </row>
    <row r="55" spans="2:10" hidden="1" x14ac:dyDescent="0.2">
      <c r="B55" s="351">
        <v>7</v>
      </c>
      <c r="C55" s="364"/>
      <c r="D55" s="364"/>
      <c r="E55" s="364"/>
      <c r="F55" s="369">
        <f t="shared" si="24"/>
        <v>2011</v>
      </c>
      <c r="G55" s="374"/>
      <c r="H55" s="367">
        <f>SUM('6. WS Regression Analysis'!J82:J93)</f>
        <v>133937001.79387802</v>
      </c>
      <c r="I55" s="363">
        <f>SUM('6. WS Regression Analysis'!R82:R93)</f>
        <v>135182816.26438898</v>
      </c>
    </row>
    <row r="56" spans="2:10" hidden="1" x14ac:dyDescent="0.2">
      <c r="B56" s="351">
        <v>8</v>
      </c>
      <c r="C56" s="364"/>
      <c r="D56" s="364"/>
      <c r="E56" s="364"/>
      <c r="F56" s="369">
        <f t="shared" si="24"/>
        <v>2012</v>
      </c>
      <c r="G56" s="374"/>
      <c r="H56" s="367">
        <f>SUM('6. WS Regression Analysis'!J94:J105)</f>
        <v>135122554.14110184</v>
      </c>
      <c r="I56" s="381">
        <f>SUM('6. WS Regression Analysis'!R94:R105)</f>
        <v>137553791.54448798</v>
      </c>
      <c r="J56" s="349" t="s">
        <v>190</v>
      </c>
    </row>
    <row r="57" spans="2:10" hidden="1" x14ac:dyDescent="0.2">
      <c r="B57" s="351">
        <v>9</v>
      </c>
      <c r="C57" s="364"/>
      <c r="D57" s="364"/>
      <c r="E57" s="364"/>
      <c r="F57" s="369">
        <f t="shared" si="24"/>
        <v>2013</v>
      </c>
      <c r="G57" s="374"/>
      <c r="H57" s="367">
        <f>SUM('6. WS Regression Analysis'!J106:J117)</f>
        <v>140022738.8160786</v>
      </c>
      <c r="I57" s="381">
        <f>SUM('6. WS Regression Analysis'!R106:R107)</f>
        <v>25387354.81556036</v>
      </c>
      <c r="J57" s="349" t="s">
        <v>178</v>
      </c>
    </row>
    <row r="58" spans="2:10" ht="13.5" hidden="1" thickBot="1" x14ac:dyDescent="0.25">
      <c r="B58" s="353">
        <v>10</v>
      </c>
      <c r="C58" s="365"/>
      <c r="D58" s="365"/>
      <c r="E58" s="365"/>
      <c r="F58" s="369">
        <f t="shared" si="24"/>
        <v>2014</v>
      </c>
      <c r="G58" s="375"/>
      <c r="H58" s="368">
        <f>SUM('6. WS Regression Analysis'!J118:J129)</f>
        <v>141256275.46223882</v>
      </c>
      <c r="I58" s="380">
        <f>SUM('6. WS Regression Analysis'!R118:R129)</f>
        <v>139896381.2156412</v>
      </c>
      <c r="J58" s="349" t="s">
        <v>179</v>
      </c>
    </row>
    <row r="59" spans="2:10" hidden="1" x14ac:dyDescent="0.2"/>
  </sheetData>
  <mergeCells count="26">
    <mergeCell ref="AG32:AO32"/>
    <mergeCell ref="B38:J38"/>
    <mergeCell ref="M38:U38"/>
    <mergeCell ref="W38:AE38"/>
    <mergeCell ref="AG38:AO38"/>
    <mergeCell ref="B9:J9"/>
    <mergeCell ref="M9:U9"/>
    <mergeCell ref="W9:AE9"/>
    <mergeCell ref="AG9:AO9"/>
    <mergeCell ref="B48:E48"/>
    <mergeCell ref="H40:H41"/>
    <mergeCell ref="S40:S41"/>
    <mergeCell ref="AC40:AC41"/>
    <mergeCell ref="AM40:AM41"/>
    <mergeCell ref="B27:J27"/>
    <mergeCell ref="B32:J32"/>
    <mergeCell ref="M27:U27"/>
    <mergeCell ref="M32:U32"/>
    <mergeCell ref="W27:AE27"/>
    <mergeCell ref="W32:AE32"/>
    <mergeCell ref="AG27:AO27"/>
    <mergeCell ref="AQ9:AY9"/>
    <mergeCell ref="AQ27:AY27"/>
    <mergeCell ref="AQ32:AY32"/>
    <mergeCell ref="AQ38:AY38"/>
    <mergeCell ref="AW40:AW41"/>
  </mergeCells>
  <dataValidations count="2">
    <dataValidation type="list" allowBlank="1" showInputMessage="1" showErrorMessage="1" sqref="E25 AT25 AJ25 P25 Z25">
      <formula1>$B$49:$B$58</formula1>
    </dataValidation>
    <dataValidation type="list" allowBlank="1" showInputMessage="1" showErrorMessage="1" sqref="H40 AM40 AC40 S40 AW40">
      <formula1>$J$57:$J$58</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Classes'!$B$5:$B$12</xm:f>
          </x14:formula1>
          <xm:sqref>B9:J9 M9:U9 W9:AE9 AG9:AO9 AQ9:AY9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1. LDC Info</vt:lpstr>
      <vt:lpstr>2. Customer Classes</vt:lpstr>
      <vt:lpstr>3. Consumption by Rate Class</vt:lpstr>
      <vt:lpstr>4. Customer Growth</vt:lpstr>
      <vt:lpstr>5.Variables</vt:lpstr>
      <vt:lpstr>6. WS Regression Analysis</vt:lpstr>
      <vt:lpstr>6.1 Regression Scenarios</vt:lpstr>
      <vt:lpstr>7. Weather Normal kWh</vt:lpstr>
      <vt:lpstr>7.1. Weather Normal KW Customer</vt:lpstr>
      <vt:lpstr>7.2. Weather Sensitive</vt:lpstr>
      <vt:lpstr>8.1. Loblaws KW Regression</vt:lpstr>
      <vt:lpstr>8. Normalized LF</vt:lpstr>
      <vt:lpstr>9. CDM Adjustment</vt:lpstr>
      <vt:lpstr>9.1 CDM Allocation</vt:lpstr>
      <vt:lpstr>10. Final Load Forecast</vt:lpstr>
      <vt:lpstr>11. Analysis_Tables</vt:lpstr>
      <vt:lpstr>12. Analysis_Normalized LF</vt:lpstr>
      <vt:lpstr>X.1.CDM Calculation</vt:lpstr>
      <vt:lpstr>X.2.CDM Data Extraction</vt:lpstr>
      <vt:lpstr>X.3. Loss Factor</vt:lpstr>
      <vt:lpstr>X.4. CPI Constructed Variable</vt:lpstr>
      <vt:lpstr>X.5. Tables for Exhibit</vt:lpstr>
      <vt:lpstr>X.6. Tables for Exhibits</vt:lpstr>
      <vt:lpstr>AllVariables</vt:lpstr>
      <vt:lpstr>'5.Variables'!Print_Area</vt:lpstr>
      <vt:lpstr>'8. Normalized LF'!Print_Area</vt:lpstr>
      <vt:lpstr>'X.1.CDM Calculation'!Print_Area</vt:lpstr>
      <vt:lpstr>'X.2.CDM Data Extraction'!Print_Area</vt:lpstr>
      <vt:lpstr>Variable1</vt:lpstr>
      <vt:lpstr>Variable2</vt:lpstr>
      <vt:lpstr>Variable3</vt:lpstr>
      <vt:lpstr>Variable5</vt:lpstr>
      <vt:lpstr>Variable6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2016-02-22T12:39:37Z</dcterms:modified>
</cp:coreProperties>
</file>