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vml" ContentType="application/vnd.openxmlformats-officedocument.vmlDrawing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filterPrivacy="1" defaultThemeVersion="124226"/>
  <bookViews>
    <workbookView xWindow="8880" yWindow="570" windowWidth="11115" windowHeight="7380" tabRatio="831" activeTab="0"/>
  </bookViews>
  <sheets>
    <sheet name="Summary" sheetId="11" r:id="rId2"/>
    <sheet name="Summary  With CDM" sheetId="31" r:id="rId3"/>
    <sheet name="Summary Power Purchases" sheetId="28" r:id="rId4"/>
    <sheet name="Power Purchases" sheetId="26" r:id="rId5"/>
    <sheet name="Purchased Power Model " sheetId="19" r:id="rId6"/>
    <sheet name="Rate Class Energy Model" sheetId="9" r:id="rId7"/>
    <sheet name="Rate Class Customer Model" sheetId="17" r:id="rId8"/>
    <sheet name="Rate Class Load Model" sheetId="18" r:id="rId9"/>
    <sheet name="Residential" sheetId="20" state="hidden" r:id="rId10"/>
    <sheet name="GS &lt; 50 kW" sheetId="21" state="hidden" r:id="rId11"/>
    <sheet name="GS &gt; 50 kW" sheetId="22" state="hidden" r:id="rId12"/>
    <sheet name="CDM By Program" sheetId="30" r:id="rId13"/>
    <sheet name="CDM" sheetId="23" r:id="rId14"/>
    <sheet name="Graph" sheetId="24" r:id="rId15"/>
    <sheet name="HDD CDD" sheetId="25" r:id="rId16"/>
    <sheet name="WMP" sheetId="27" r:id="rId17"/>
    <sheet name="Tables" sheetId="32" state="hidden" r:id="rId18"/>
  </sheets>
  <externalReferences>
    <externalReference r:id="rId21"/>
  </externalReferences>
  <definedNames>
    <definedName name="_Order1" hidden="1">255</definedName>
    <definedName name="_Sort" hidden="1">'[1]Sheet1'!$G$40:$K$40</definedName>
    <definedName name="PAGE11" localSheetId="1">#REF!</definedName>
    <definedName name="PAGE11">#REF!</definedName>
    <definedName name="PAGE2">'[1]Sheet1'!$A$1:$I$40</definedName>
    <definedName name="PAGE3" localSheetId="1">#REF!</definedName>
    <definedName name="PAGE3">#REF!</definedName>
    <definedName name="PAGE4" localSheetId="1">#REF!</definedName>
    <definedName name="PAGE4">#REF!</definedName>
    <definedName name="PAGE7" localSheetId="1">#REF!</definedName>
    <definedName name="PAGE7">#REF!</definedName>
    <definedName name="PAGE9" localSheetId="1">#REF!</definedName>
    <definedName name="PAGE9">#REF!</definedName>
    <definedName name="_xlnm.Print_Area" localSheetId="12">CDM!$M$19:$R$35</definedName>
    <definedName name="_xlnm.Print_Area" localSheetId="9">'GS &lt; 50 kW'!$M$63:$Q$86</definedName>
    <definedName name="_xlnm.Print_Area" localSheetId="10">'GS &gt; 50 kW'!$M$63:$Q$86</definedName>
    <definedName name="_xlnm.Print_Area" localSheetId="6">'Rate Class Customer Model'!$A$1:$C$2</definedName>
    <definedName name="_xlnm.Print_Area" localSheetId="5">'Rate Class Energy Model'!$A$1:$I$2</definedName>
    <definedName name="_xlnm.Print_Area" localSheetId="8">Residential!$M$63:$Q$86</definedName>
  </definedNames>
  <calcPr fullCalcOnLoad="1"/>
</workbook>
</file>

<file path=xl/sharedStrings.xml><?xml version="1.0" encoding="utf-8"?>
<sst xmlns="http://schemas.openxmlformats.org/spreadsheetml/2006/main" count="683" uniqueCount="234">
  <si>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</si>
  <si>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</si>
  <si>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</si>
  <si>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</si>
  <si>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</si>
  <si>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</si>
  <si>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</si>
  <si>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</si>
  <si>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</si>
  <si>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</si>
  <si>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</si>
  <si>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</si>
  <si>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</si>
  <si>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</si>
  <si>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</si>
  <si>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</si>
  <si>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</si>
  <si>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</si>
  <si>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</si>
  <si>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</si>
  <si>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</si>
  <si>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</si>
  <si>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</si>
  <si>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</si>
  <si>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</si>
  <si>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</si>
  <si>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</si>
  <si>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</si>
  <si>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</si>
  <si>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</si>
  <si>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</si>
  <si>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</si>
  <si>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</si>
  <si>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</si>
  <si>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</si>
  <si>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</si>
  <si>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</si>
  <si>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</si>
  <si>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</si>
  <si>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</si>
  <si>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</si>
  <si>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</si>
  <si>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</si>
  <si>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</si>
  <si>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</si>
  <si>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</si>
  <si>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</si>
  <si>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</si>
  <si>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</si>
  <si>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</si>
  <si>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</si>
  <si>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</si>
  <si>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</si>
  <si>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</si>
  <si>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</si>
  <si>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</si>
  <si>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</si>
  <si>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</si>
  <si>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</si>
  <si>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</si>
  <si>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</si>
  <si>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</si>
  <si>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</si>
  <si>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</si>
  <si>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</si>
  <si>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</si>
  <si>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</si>
  <si>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</si>
  <si>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</si>
  <si>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</si>
  <si>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</si>
  <si>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</si>
  <si>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</si>
  <si>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</si>
  <si>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</si>
  <si>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</si>
  <si>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2008 Actual</t>
  </si>
  <si>
    <t>Number of Customers</t>
  </si>
  <si>
    <t>Residential</t>
  </si>
  <si>
    <t>GS&lt;50</t>
  </si>
  <si>
    <t>USL</t>
  </si>
  <si>
    <t>Billed</t>
  </si>
  <si>
    <t>Streetlights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</si>
  <si>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</si>
  <si>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</si>
  <si>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</si>
  <si>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</si>
  <si>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</si>
  <si>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</si>
  <si>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</si>
  <si>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</si>
  <si>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</si>
  <si>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</si>
  <si>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</si>
  <si>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</si>
  <si>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</si>
  <si>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Annual Change</t>
  </si>
  <si>
    <t>Half-year of increment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</si>
  <si>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</si>
  <si>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</si>
  <si>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</si>
  <si>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</si>
  <si>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</si>
  <si>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</si>
  <si>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</si>
  <si>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</si>
  <si>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</si>
  <si>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</si>
  <si>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</si>
  <si>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</si>
  <si>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</si>
  <si>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Full Year CDM Activity Variable</t>
  </si>
  <si>
    <t>Half Year CDM Variable</t>
  </si>
  <si>
    <t>Monthly Increment</t>
  </si>
  <si>
    <t>4 Year (2011-2014) kWh Target</t>
  </si>
  <si>
    <t>Year</t>
  </si>
  <si>
    <t xml:space="preserve"> Annual CDM Results (Net)</t>
  </si>
  <si>
    <t xml:space="preserve"> CDM Results (Net)</t>
  </si>
  <si>
    <t>Annual CDM Results - Pre-2011 and 2011 to 2014 Programs</t>
  </si>
  <si>
    <t>Pre 2011 Programs</t>
  </si>
  <si>
    <t>2011 to 2014</t>
  </si>
  <si>
    <t>Annual CDM Savings</t>
  </si>
  <si>
    <t>Actual CDM savings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</si>
  <si>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</si>
  <si>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</si>
  <si>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</si>
  <si>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</si>
  <si>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</si>
  <si>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</si>
  <si>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</si>
  <si>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</si>
  <si>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</si>
  <si>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</si>
  <si>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</si>
  <si>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20 Year Average</t>
  </si>
  <si>
    <t>10 Year Average</t>
  </si>
  <si>
    <t>Wholesale Market Participant</t>
  </si>
  <si>
    <t>CDM</t>
  </si>
  <si>
    <t>Purchased Excluding CDM</t>
  </si>
  <si>
    <t>Trend</t>
  </si>
  <si>
    <t>HDD Trend</t>
  </si>
  <si>
    <t>CDD Trend</t>
  </si>
  <si>
    <t>Power Purchases</t>
  </si>
  <si>
    <t>Power Purchases (Excluding Impact of CDM)</t>
  </si>
  <si>
    <t>Residuals</t>
  </si>
  <si>
    <t>Sum of Squared Residuals</t>
  </si>
  <si>
    <t>Spring Flag</t>
  </si>
  <si>
    <t>Fall Flag</t>
  </si>
  <si>
    <t>Outlet Mall</t>
  </si>
  <si>
    <t>Population</t>
  </si>
  <si>
    <t>Total CDM Impacts By Rate Class</t>
  </si>
  <si>
    <t xml:space="preserve">Residential </t>
  </si>
  <si>
    <t>GS&lt;50 kW</t>
  </si>
  <si>
    <t>GS&gt;50 kW</t>
  </si>
  <si>
    <t>GS&gt;1,000 kW</t>
  </si>
  <si>
    <t>Total kWh</t>
  </si>
  <si>
    <t>CDM Savings (kWh)</t>
  </si>
  <si>
    <t>Adjusted kWh</t>
  </si>
  <si>
    <t>2015 Weather Normal</t>
  </si>
  <si>
    <t>2016 Weather Normal</t>
  </si>
  <si>
    <t>Halton Hills Hydro Inc. Weather Normal Load Forecast for 2016 Rate Application - Excluding Impact of CDM</t>
  </si>
  <si>
    <t>Sum of Squared Differences of Residuals</t>
  </si>
  <si>
    <t>Durbin-Watson Test to Detect Auto Correlation</t>
  </si>
  <si>
    <t>% Growth</t>
  </si>
  <si>
    <t>2015*</t>
  </si>
  <si>
    <t>2016*</t>
  </si>
  <si>
    <t>*Includes WMP</t>
  </si>
  <si>
    <t>Add Back CDM</t>
  </si>
  <si>
    <t>Weather Normalized Power Purchases Excluding Impact of CDM</t>
  </si>
  <si>
    <t>CDM Adjustment</t>
  </si>
  <si>
    <t>Sentinel</t>
  </si>
  <si>
    <t>Unmetered</t>
  </si>
  <si>
    <t>Total CDM</t>
  </si>
  <si>
    <t>Billed kWh With CDM Impact</t>
  </si>
  <si>
    <t>Billed kWh Excluding CDM Impact</t>
  </si>
  <si>
    <t>.</t>
  </si>
  <si>
    <t>Scenario 1A</t>
  </si>
  <si>
    <t>Mean Absolute Error</t>
  </si>
  <si>
    <t>Halton Hills Hydro Inc. Weather Normal Load Forecast for 2016 Rate Application - Including Impact of CDM</t>
  </si>
  <si>
    <t>Street Light LED Replacement</t>
  </si>
  <si>
    <t>*WMP Subtracted from total billed kWh to agree to 2012 filing</t>
  </si>
  <si>
    <t>*Billed kWh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</si>
  <si>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</si>
  <si>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</si>
  <si>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</si>
  <si>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</si>
  <si>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</si>
  <si>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</si>
  <si>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</si>
  <si>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</si>
  <si>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</si>
  <si>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</si>
  <si>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</si>
  <si>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</si>
  <si>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</si>
  <si>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</si>
  <si>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</si>
  <si>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</si>
  <si>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</si>
  <si>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</si>
  <si>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</si>
  <si>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</si>
  <si>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</si>
  <si>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</si>
  <si>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</si>
  <si>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</si>
  <si>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</si>
  <si>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</si>
  <si>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</si>
  <si>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</si>
  <si>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</si>
  <si>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</si>
  <si>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</si>
  <si>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</si>
  <si>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</si>
  <si>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</si>
  <si>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</si>
  <si>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</si>
  <si>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</si>
  <si>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</si>
  <si>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</si>
  <si>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</si>
  <si>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</si>
  <si>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</si>
  <si>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</si>
  <si>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</si>
  <si>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</si>
  <si>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</si>
  <si>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</si>
  <si>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</si>
  <si>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</si>
  <si>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Streetlighting</t>
  </si>
  <si>
    <t>Geomean - 4 Year (Used)</t>
  </si>
  <si>
    <t>Geomean  - 11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</si>
</sst>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00"/>
    <numFmt numFmtId="176" formatCode="#,##0.0"/>
    <numFmt numFmtId="177" formatCode="_-* #,##0.0000_-;\-* #,##0.0000_-;_-* &quot;-&quot;??_-;_-@_-"/>
    <numFmt numFmtId="178" formatCode="_(* #,##0.0000_);_(* \(#,##0.00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u val="single"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Tahoma"/>
      <family val="2"/>
    </font>
    <font>
      <sz val="9"/>
      <name val="Arial"/>
      <family val="2"/>
    </font>
    <font>
      <b/>
      <sz val="11"/>
      <color theme="1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10"/>
      <name val="Garamond"/>
      <family val="1"/>
    </font>
  </fonts>
  <fills count="14">
    <fill>
      <patternFill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3" tint="0.79998"/>
        <bgColor indexed="64"/>
      </patternFill>
    </fill>
    <fill>
      <patternFill patternType="solid">
        <fgColor theme="3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3" tint="0.59999"/>
        <bgColor indexed="64"/>
      </patternFill>
    </fill>
    <fill>
      <patternFill patternType="solid">
        <fgColor theme="0" tint="-0.14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theme="8" tint="0.5999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</borders>
  <cellStyleXfs count="3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0" fontId="1" fillId="0" borderId="0">
      <alignment/>
      <protection/>
    </xf>
    <xf numFmtId="43" fontId="1" fillId="0" borderId="0" applyFont="0" applyFill="0" applyBorder="0" applyAlignment="0" applyProtection="0"/>
    <xf numFmtId="0" fontId="0" fillId="0" borderId="0">
      <alignment/>
      <protection/>
    </xf>
    <xf numFmtId="43" fontId="0" fillId="0" borderId="0" applyFont="0" applyFill="0" applyBorder="0" applyAlignment="0" applyProtection="0"/>
    <xf numFmtId="0" fontId="1" fillId="0" borderId="0">
      <alignment/>
      <protection/>
    </xf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18" applyNumberForma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0" fillId="0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/>
    </xf>
    <xf numFmtId="17" fontId="3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/>
    </xf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3" borderId="0" xfId="18" applyNumberForma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ill="1" applyAlignment="1">
      <alignment horizontal="center" wrapText="1"/>
    </xf>
    <xf numFmtId="10" fontId="0" fillId="0" borderId="0" xfId="15" applyNumberFormat="1" applyFont="1" applyFill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43" fontId="0" fillId="0" borderId="0" xfId="18" applyFont="1" applyFill="1" applyBorder="1" applyAlignment="1">
      <alignment/>
    </xf>
    <xf numFmtId="43" fontId="0" fillId="0" borderId="2" xfId="18" applyFont="1" applyFill="1" applyBorder="1" applyAlignment="1">
      <alignment/>
    </xf>
    <xf numFmtId="170" fontId="0" fillId="0" borderId="0" xfId="18" applyNumberFormat="1" applyFont="1" applyFill="1" applyBorder="1" applyAlignment="1">
      <alignment/>
    </xf>
    <xf numFmtId="170" fontId="0" fillId="0" borderId="2" xfId="18" applyNumberFormat="1" applyFont="1" applyFill="1" applyBorder="1" applyAlignment="1">
      <alignment/>
    </xf>
    <xf numFmtId="9" fontId="0" fillId="0" borderId="0" xfId="15" applyFont="1" applyFill="1" applyBorder="1" applyAlignment="1">
      <alignment/>
    </xf>
    <xf numFmtId="171" fontId="0" fillId="3" borderId="0" xfId="0" applyNumberFormat="1" applyFill="1" applyAlignment="1">
      <alignment horizontal="center"/>
    </xf>
    <xf numFmtId="3" fontId="0" fillId="0" borderId="0" xfId="18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>
      <alignment/>
    </xf>
    <xf numFmtId="3" fontId="0" fillId="0" borderId="0" xfId="18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170" fontId="0" fillId="0" borderId="0" xfId="18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/>
    <xf numFmtId="9" fontId="0" fillId="3" borderId="0" xfId="15" applyFont="1" applyFill="1" applyAlignment="1">
      <alignment horizontal="center"/>
    </xf>
    <xf numFmtId="167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43" fontId="0" fillId="0" borderId="0" xfId="18" applyFont="1" applyAlignment="1">
      <alignment horizontal="center"/>
    </xf>
    <xf numFmtId="170" fontId="0" fillId="4" borderId="0" xfId="18" applyNumberFormat="1" applyFill="1" applyAlignment="1">
      <alignment horizontal="center"/>
    </xf>
    <xf numFmtId="172" fontId="0" fillId="4" borderId="0" xfId="18" applyNumberFormat="1" applyFont="1" applyFill="1" applyAlignment="1">
      <alignment horizontal="center"/>
    </xf>
    <xf numFmtId="170" fontId="0" fillId="4" borderId="0" xfId="18" applyNumberFormat="1" applyFont="1" applyFill="1" applyAlignment="1">
      <alignment horizontal="center"/>
    </xf>
    <xf numFmtId="170" fontId="0" fillId="4" borderId="0" xfId="18" applyNumberFormat="1" applyFont="1" applyFill="1" applyAlignment="1">
      <alignment horizontal="center"/>
    </xf>
    <xf numFmtId="170" fontId="0" fillId="4" borderId="0" xfId="18" applyNumberFormat="1" applyFont="1" applyFill="1" applyAlignment="1">
      <alignment horizontal="center"/>
    </xf>
    <xf numFmtId="10" fontId="0" fillId="0" borderId="0" xfId="15" applyNumberFormat="1" applyFont="1" applyAlignment="1">
      <alignment horizontal="center"/>
    </xf>
    <xf numFmtId="0" fontId="0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37" fontId="0" fillId="0" borderId="0" xfId="0" applyNumberFormat="1" applyFont="1" applyAlignment="1">
      <alignment horizontal="right"/>
    </xf>
    <xf numFmtId="174" fontId="0" fillId="0" borderId="0" xfId="23" applyNumberFormat="1"/>
    <xf numFmtId="0" fontId="0" fillId="0" borderId="1" xfId="0" applyBorder="1" applyAlignment="1">
      <alignment horizontal="center"/>
    </xf>
    <xf numFmtId="174" fontId="0" fillId="0" borderId="0" xfId="0" applyNumberFormat="1"/>
    <xf numFmtId="0" fontId="0" fillId="0" borderId="0" xfId="0" applyFont="1"/>
    <xf numFmtId="3" fontId="0" fillId="0" borderId="0" xfId="0" applyNumberFormat="1"/>
    <xf numFmtId="170" fontId="0" fillId="0" borderId="0" xfId="18" applyNumberFormat="1" applyFont="1"/>
    <xf numFmtId="0" fontId="0" fillId="0" borderId="0" xfId="0" applyFill="1" applyAlignment="1">
      <alignment vertical="center"/>
    </xf>
    <xf numFmtId="174" fontId="0" fillId="0" borderId="0" xfId="23" applyNumberFormat="1" applyFill="1"/>
    <xf numFmtId="170" fontId="0" fillId="0" borderId="0" xfId="18" applyNumberFormat="1" applyFont="1" applyFill="1"/>
    <xf numFmtId="43" fontId="0" fillId="0" borderId="0" xfId="18" applyNumberFormat="1" applyFont="1" applyFill="1"/>
    <xf numFmtId="174" fontId="0" fillId="5" borderId="0" xfId="23" applyNumberFormat="1" applyFill="1"/>
    <xf numFmtId="174" fontId="0" fillId="6" borderId="0" xfId="23" applyNumberFormat="1" applyFill="1"/>
    <xf numFmtId="170" fontId="0" fillId="7" borderId="0" xfId="18" applyNumberFormat="1" applyFont="1" applyFill="1"/>
    <xf numFmtId="170" fontId="0" fillId="4" borderId="0" xfId="18" applyNumberFormat="1" applyFont="1" applyFill="1"/>
    <xf numFmtId="170" fontId="0" fillId="8" borderId="0" xfId="18" applyNumberFormat="1" applyFont="1" applyFill="1"/>
    <xf numFmtId="170" fontId="0" fillId="5" borderId="0" xfId="23" applyNumberFormat="1" applyFill="1"/>
    <xf numFmtId="170" fontId="0" fillId="8" borderId="0" xfId="23" applyNumberFormat="1" applyFill="1"/>
    <xf numFmtId="170" fontId="0" fillId="6" borderId="0" xfId="23" applyNumberForma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70" fontId="0" fillId="7" borderId="0" xfId="23" applyNumberForma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174" fontId="3" fillId="0" borderId="0" xfId="23" applyNumberFormat="1" applyFont="1" applyAlignment="1">
      <alignment vertical="center"/>
    </xf>
    <xf numFmtId="0" fontId="3" fillId="0" borderId="0" xfId="0" applyFont="1" applyAlignment="1">
      <alignment horizontal="right" wrapText="1"/>
    </xf>
    <xf numFmtId="170" fontId="0" fillId="0" borderId="0" xfId="18" applyNumberFormat="1" applyFont="1" applyFill="1" applyAlignment="1">
      <alignment horizontal="center"/>
    </xf>
    <xf numFmtId="170" fontId="0" fillId="0" borderId="0" xfId="18" applyNumberFormat="1" applyFont="1" applyFill="1" applyAlignment="1">
      <alignment horizontal="center"/>
    </xf>
    <xf numFmtId="3" fontId="0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0" fillId="8" borderId="0" xfId="0" applyNumberFormat="1" applyFont="1" applyFill="1" applyAlignment="1">
      <alignment horizontal="center"/>
    </xf>
    <xf numFmtId="3" fontId="0" fillId="8" borderId="0" xfId="0" applyNumberFormat="1" applyFill="1" applyAlignment="1">
      <alignment horizontal="center"/>
    </xf>
    <xf numFmtId="3" fontId="0" fillId="9" borderId="0" xfId="0" applyNumberForma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3" fontId="0" fillId="9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0" fillId="0" borderId="0" xfId="18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0" fillId="0" borderId="0" xfId="18" applyNumberFormat="1" applyFont="1" applyFill="1" applyBorder="1" applyAlignment="1">
      <alignment horizontal="center"/>
    </xf>
    <xf numFmtId="170" fontId="0" fillId="0" borderId="0" xfId="0" applyNumberFormat="1" applyBorder="1"/>
    <xf numFmtId="0" fontId="0" fillId="0" borderId="0" xfId="0" applyFont="1" applyFill="1"/>
    <xf numFmtId="17" fontId="0" fillId="0" borderId="0" xfId="26" applyNumberFormat="1" applyFont="1" applyFill="1">
      <alignment/>
      <protection/>
    </xf>
    <xf numFmtId="0" fontId="0" fillId="0" borderId="0" xfId="26" applyFont="1" applyFill="1" applyAlignment="1">
      <alignment horizontal="right"/>
      <protection/>
    </xf>
    <xf numFmtId="0" fontId="0" fillId="0" borderId="0" xfId="26" applyFont="1" applyFill="1" applyBorder="1" applyAlignment="1">
      <alignment horizontal="right" vertical="center" wrapText="1"/>
      <protection/>
    </xf>
    <xf numFmtId="2" fontId="0" fillId="0" borderId="0" xfId="0" applyNumberFormat="1" applyAlignment="1">
      <alignment horizontal="right" wrapText="1"/>
    </xf>
    <xf numFmtId="170" fontId="0" fillId="0" borderId="0" xfId="18" applyNumberFormat="1" applyFill="1" applyAlignment="1">
      <alignment horizontal="center"/>
    </xf>
    <xf numFmtId="170" fontId="0" fillId="0" borderId="0" xfId="0" applyNumberFormat="1"/>
    <xf numFmtId="0" fontId="8" fillId="0" borderId="0" xfId="0" applyFont="1"/>
    <xf numFmtId="172" fontId="0" fillId="0" borderId="0" xfId="18" applyNumberFormat="1" applyFont="1" applyFill="1" applyAlignment="1">
      <alignment horizontal="right"/>
    </xf>
    <xf numFmtId="172" fontId="0" fillId="0" borderId="0" xfId="0" applyNumberFormat="1"/>
    <xf numFmtId="0" fontId="3" fillId="0" borderId="0" xfId="0" applyFont="1" applyAlignment="1">
      <alignment horizontal="right"/>
    </xf>
    <xf numFmtId="172" fontId="3" fillId="0" borderId="0" xfId="18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18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175" fontId="0" fillId="0" borderId="0" xfId="0" applyNumberFormat="1" applyAlignment="1">
      <alignment horizontal="center"/>
    </xf>
    <xf numFmtId="170" fontId="0" fillId="0" borderId="0" xfId="18" applyNumberFormat="1" applyFont="1" applyAlignment="1">
      <alignment horizontal="center"/>
    </xf>
    <xf numFmtId="170" fontId="0" fillId="0" borderId="0" xfId="18" applyNumberFormat="1" applyFont="1" applyAlignment="1">
      <alignment horizontal="center"/>
    </xf>
    <xf numFmtId="0" fontId="9" fillId="0" borderId="0" xfId="0" applyFont="1"/>
    <xf numFmtId="43" fontId="0" fillId="0" borderId="0" xfId="18" applyFont="1"/>
    <xf numFmtId="43" fontId="0" fillId="0" borderId="0" xfId="0" applyNumberFormat="1"/>
    <xf numFmtId="0" fontId="9" fillId="0" borderId="0" xfId="0" applyFont="1" applyAlignment="1">
      <alignment wrapText="1"/>
    </xf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left"/>
    </xf>
    <xf numFmtId="0" fontId="0" fillId="0" borderId="0" xfId="0" applyNumberFormat="1" applyFill="1" applyBorder="1"/>
    <xf numFmtId="170" fontId="0" fillId="0" borderId="0" xfId="0" applyNumberFormat="1" applyFill="1"/>
    <xf numFmtId="43" fontId="0" fillId="0" borderId="0" xfId="18" applyFont="1" applyFill="1"/>
    <xf numFmtId="37" fontId="0" fillId="0" borderId="0" xfId="0" applyNumberFormat="1" applyFill="1" applyBorder="1" applyAlignment="1">
      <alignment horizontal="center"/>
    </xf>
    <xf numFmtId="170" fontId="0" fillId="0" borderId="0" xfId="18" applyNumberFormat="1" applyFont="1" applyFill="1" applyAlignment="1">
      <alignment horizontal="center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left" wrapText="1"/>
    </xf>
    <xf numFmtId="170" fontId="3" fillId="0" borderId="0" xfId="18" applyNumberFormat="1" applyFont="1" applyAlignment="1">
      <alignment horizontal="center" vertical="center" wrapText="1"/>
    </xf>
    <xf numFmtId="170" fontId="3" fillId="0" borderId="0" xfId="18" applyNumberFormat="1" applyFont="1" applyAlignment="1">
      <alignment horizontal="center" vertical="center"/>
    </xf>
    <xf numFmtId="170" fontId="0" fillId="10" borderId="0" xfId="18" applyNumberFormat="1" applyFont="1" applyFill="1" applyAlignment="1">
      <alignment horizontal="center"/>
    </xf>
    <xf numFmtId="173" fontId="0" fillId="10" borderId="0" xfId="18" applyNumberFormat="1" applyFont="1" applyFill="1" applyAlignment="1">
      <alignment horizontal="center"/>
    </xf>
    <xf numFmtId="172" fontId="0" fillId="10" borderId="0" xfId="18" applyNumberFormat="1" applyFont="1" applyFill="1" applyAlignment="1">
      <alignment horizontal="center"/>
    </xf>
    <xf numFmtId="170" fontId="0" fillId="10" borderId="0" xfId="18" applyNumberFormat="1" applyFont="1" applyFill="1" applyAlignment="1">
      <alignment horizontal="center"/>
    </xf>
    <xf numFmtId="173" fontId="0" fillId="10" borderId="0" xfId="18" applyNumberFormat="1" applyFont="1" applyFill="1" applyAlignment="1">
      <alignment horizontal="center"/>
    </xf>
    <xf numFmtId="172" fontId="0" fillId="10" borderId="0" xfId="18" applyNumberFormat="1" applyFont="1" applyFill="1" applyAlignment="1">
      <alignment horizontal="center"/>
    </xf>
    <xf numFmtId="173" fontId="0" fillId="10" borderId="0" xfId="18" applyNumberFormat="1" applyFont="1" applyFill="1" applyAlignment="1">
      <alignment horizontal="center"/>
    </xf>
    <xf numFmtId="172" fontId="0" fillId="10" borderId="0" xfId="18" applyNumberFormat="1" applyFont="1" applyFill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170" fontId="0" fillId="0" borderId="1" xfId="18" applyNumberFormat="1" applyFont="1" applyBorder="1"/>
    <xf numFmtId="170" fontId="0" fillId="0" borderId="1" xfId="0" applyNumberFormat="1" applyBorder="1"/>
    <xf numFmtId="10" fontId="0" fillId="0" borderId="1" xfId="15" applyNumberFormat="1" applyFont="1" applyBorder="1"/>
    <xf numFmtId="0" fontId="0" fillId="0" borderId="1" xfId="0" applyFont="1" applyBorder="1" applyAlignment="1">
      <alignment horizontal="center" vertical="center" wrapText="1"/>
    </xf>
    <xf numFmtId="43" fontId="0" fillId="0" borderId="1" xfId="18" applyFont="1" applyBorder="1"/>
    <xf numFmtId="0" fontId="0" fillId="0" borderId="0" xfId="0" applyFont="1" applyAlignment="1">
      <alignment/>
    </xf>
    <xf numFmtId="170" fontId="3" fillId="0" borderId="0" xfId="18" applyNumberFormat="1" applyFont="1"/>
    <xf numFmtId="170" fontId="3" fillId="0" borderId="0" xfId="18" applyNumberFormat="1" applyFont="1" applyAlignment="1">
      <alignment horizontal="right"/>
    </xf>
    <xf numFmtId="0" fontId="0" fillId="0" borderId="1" xfId="0" applyFont="1" applyBorder="1" applyAlignment="1">
      <alignment horizontal="center"/>
    </xf>
    <xf numFmtId="170" fontId="0" fillId="0" borderId="1" xfId="18" applyNumberFormat="1" applyFont="1" applyBorder="1" applyAlignment="1">
      <alignment horizontal="right"/>
    </xf>
    <xf numFmtId="170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170" fontId="0" fillId="0" borderId="1" xfId="18" applyNumberFormat="1" applyFont="1" applyBorder="1" applyAlignment="1">
      <alignment horizontal="right" vertical="center"/>
    </xf>
    <xf numFmtId="0" fontId="0" fillId="0" borderId="0" xfId="0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173" fontId="0" fillId="0" borderId="0" xfId="18" applyNumberFormat="1" applyFont="1" applyFill="1" applyAlignment="1">
      <alignment horizontal="center"/>
    </xf>
    <xf numFmtId="173" fontId="0" fillId="0" borderId="0" xfId="18" applyNumberFormat="1" applyFont="1" applyFill="1" applyAlignment="1">
      <alignment horizontal="center"/>
    </xf>
    <xf numFmtId="173" fontId="0" fillId="0" borderId="0" xfId="18" applyNumberFormat="1" applyFont="1" applyFill="1" applyAlignment="1">
      <alignment horizontal="center"/>
    </xf>
    <xf numFmtId="170" fontId="0" fillId="0" borderId="0" xfId="18" applyNumberFormat="1" applyFont="1" applyFill="1"/>
    <xf numFmtId="176" fontId="0" fillId="0" borderId="0" xfId="0" applyNumberFormat="1" applyAlignment="1">
      <alignment horizontal="center"/>
    </xf>
    <xf numFmtId="170" fontId="0" fillId="0" borderId="0" xfId="18" applyNumberFormat="1" applyFont="1" applyFill="1" applyAlignment="1">
      <alignment horizontal="center"/>
    </xf>
    <xf numFmtId="170" fontId="0" fillId="11" borderId="0" xfId="18" applyNumberFormat="1" applyFont="1" applyFill="1" applyAlignment="1">
      <alignment horizontal="center"/>
    </xf>
    <xf numFmtId="170" fontId="0" fillId="11" borderId="0" xfId="18" applyNumberFormat="1" applyFont="1" applyFill="1" applyAlignment="1">
      <alignment horizontal="center"/>
    </xf>
    <xf numFmtId="43" fontId="0" fillId="4" borderId="0" xfId="18" applyNumberFormat="1" applyFont="1" applyFill="1" applyAlignment="1">
      <alignment horizontal="center"/>
    </xf>
    <xf numFmtId="9" fontId="0" fillId="0" borderId="0" xfId="15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0" fillId="0" borderId="0" xfId="15" applyNumberFormat="1" applyFont="1"/>
    <xf numFmtId="10" fontId="0" fillId="11" borderId="0" xfId="15" applyNumberFormat="1" applyFont="1" applyFill="1"/>
    <xf numFmtId="0" fontId="11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8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18" applyNumberFormat="1" applyFont="1" applyBorder="1"/>
    <xf numFmtId="174" fontId="0" fillId="0" borderId="1" xfId="18" applyNumberFormat="1" applyFont="1" applyBorder="1" applyAlignment="1">
      <alignment horizontal="center"/>
    </xf>
    <xf numFmtId="177" fontId="0" fillId="0" borderId="1" xfId="18" applyNumberFormat="1" applyFont="1" applyBorder="1" applyAlignment="1">
      <alignment horizontal="center"/>
    </xf>
    <xf numFmtId="177" fontId="0" fillId="0" borderId="1" xfId="18" applyNumberFormat="1" applyFont="1" applyBorder="1"/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8" fontId="0" fillId="0" borderId="1" xfId="18" applyNumberFormat="1" applyFont="1" applyBorder="1"/>
    <xf numFmtId="170" fontId="0" fillId="0" borderId="1" xfId="18" applyNumberFormat="1" applyFont="1" applyBorder="1" applyAlignment="1">
      <alignment horizontal="center"/>
    </xf>
    <xf numFmtId="0" fontId="0" fillId="0" borderId="1" xfId="18" applyNumberFormat="1" applyFont="1" applyBorder="1"/>
    <xf numFmtId="9" fontId="0" fillId="0" borderId="1" xfId="15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15" applyNumberFormat="1" applyFon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3" fillId="0" borderId="11" xfId="0" applyFont="1" applyBorder="1" quotePrefix="1"/>
    <xf numFmtId="0" fontId="3" fillId="0" borderId="7" xfId="0" applyFont="1" applyBorder="1"/>
    <xf numFmtId="170" fontId="0" fillId="10" borderId="0" xfId="18" applyNumberFormat="1" applyFont="1" applyFill="1" applyAlignment="1">
      <alignment horizontal="center"/>
    </xf>
    <xf numFmtId="170" fontId="0" fillId="10" borderId="0" xfId="18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9" fontId="0" fillId="0" borderId="1" xfId="15" applyNumberFormat="1" applyFont="1" applyBorder="1"/>
    <xf numFmtId="170" fontId="0" fillId="0" borderId="0" xfId="18" applyNumberFormat="1" applyFont="1" applyBorder="1"/>
    <xf numFmtId="0" fontId="3" fillId="11" borderId="0" xfId="0" applyFont="1" applyFill="1"/>
    <xf numFmtId="2" fontId="0" fillId="0" borderId="0" xfId="0" applyNumberFormat="1" applyFill="1" applyAlignment="1">
      <alignment horizontal="right" wrapText="1"/>
    </xf>
    <xf numFmtId="0" fontId="3" fillId="12" borderId="0" xfId="0" applyFont="1" applyFill="1"/>
    <xf numFmtId="0" fontId="0" fillId="12" borderId="0" xfId="0" applyFill="1"/>
    <xf numFmtId="0" fontId="3" fillId="12" borderId="0" xfId="0" applyFont="1" applyFill="1" applyAlignment="1">
      <alignment horizontal="left"/>
    </xf>
    <xf numFmtId="0" fontId="9" fillId="12" borderId="11" xfId="0" applyFont="1" applyFill="1" applyBorder="1"/>
    <xf numFmtId="0" fontId="0" fillId="12" borderId="4" xfId="0" applyFill="1" applyBorder="1"/>
    <xf numFmtId="0" fontId="9" fillId="12" borderId="4" xfId="0" applyFont="1" applyFill="1" applyBorder="1" applyAlignment="1">
      <alignment horizontal="right"/>
    </xf>
    <xf numFmtId="0" fontId="9" fillId="12" borderId="5" xfId="0" applyFont="1" applyFill="1" applyBorder="1" applyAlignment="1">
      <alignment horizontal="right"/>
    </xf>
    <xf numFmtId="0" fontId="0" fillId="12" borderId="7" xfId="0" applyFill="1" applyBorder="1"/>
    <xf numFmtId="0" fontId="0" fillId="12" borderId="0" xfId="0" applyFill="1" applyBorder="1"/>
    <xf numFmtId="170" fontId="0" fillId="12" borderId="0" xfId="18" applyNumberFormat="1" applyFont="1" applyFill="1" applyBorder="1"/>
    <xf numFmtId="170" fontId="0" fillId="12" borderId="6" xfId="18" applyNumberFormat="1" applyFont="1" applyFill="1" applyBorder="1"/>
    <xf numFmtId="0" fontId="0" fillId="12" borderId="12" xfId="0" applyFill="1" applyBorder="1"/>
    <xf numFmtId="0" fontId="0" fillId="12" borderId="13" xfId="0" applyFill="1" applyBorder="1"/>
    <xf numFmtId="170" fontId="0" fillId="12" borderId="13" xfId="18" applyNumberFormat="1" applyFont="1" applyFill="1" applyBorder="1"/>
    <xf numFmtId="170" fontId="0" fillId="12" borderId="14" xfId="18" applyNumberFormat="1" applyFont="1" applyFill="1" applyBorder="1"/>
    <xf numFmtId="0" fontId="0" fillId="12" borderId="15" xfId="0" applyFill="1" applyBorder="1"/>
    <xf numFmtId="0" fontId="0" fillId="12" borderId="16" xfId="0" applyFill="1" applyBorder="1"/>
    <xf numFmtId="0" fontId="0" fillId="12" borderId="17" xfId="0" applyFill="1" applyBorder="1"/>
    <xf numFmtId="0" fontId="0" fillId="12" borderId="2" xfId="0" applyFill="1" applyBorder="1"/>
    <xf numFmtId="170" fontId="0" fillId="12" borderId="17" xfId="18" applyNumberFormat="1" applyFont="1" applyFill="1" applyBorder="1"/>
    <xf numFmtId="170" fontId="0" fillId="12" borderId="18" xfId="18" applyNumberFormat="1" applyFont="1" applyFill="1" applyBorder="1"/>
    <xf numFmtId="0" fontId="0" fillId="12" borderId="0" xfId="0" applyFont="1" applyFill="1"/>
    <xf numFmtId="3" fontId="0" fillId="12" borderId="0" xfId="0" applyNumberFormat="1" applyFill="1"/>
    <xf numFmtId="0" fontId="3" fillId="12" borderId="4" xfId="0" applyFont="1" applyFill="1" applyBorder="1" applyAlignment="1">
      <alignment horizontal="center"/>
    </xf>
    <xf numFmtId="0" fontId="9" fillId="12" borderId="5" xfId="0" applyFont="1" applyFill="1" applyBorder="1" applyAlignment="1">
      <alignment horizontal="center"/>
    </xf>
    <xf numFmtId="170" fontId="0" fillId="12" borderId="0" xfId="0" applyNumberFormat="1" applyFill="1" applyBorder="1"/>
    <xf numFmtId="0" fontId="0" fillId="12" borderId="6" xfId="0" applyFill="1" applyBorder="1"/>
    <xf numFmtId="170" fontId="0" fillId="12" borderId="15" xfId="0" applyNumberFormat="1" applyFill="1" applyBorder="1"/>
    <xf numFmtId="170" fontId="0" fillId="12" borderId="19" xfId="18" applyNumberFormat="1" applyFont="1" applyFill="1" applyBorder="1"/>
    <xf numFmtId="0" fontId="0" fillId="12" borderId="20" xfId="0" applyFill="1" applyBorder="1" applyAlignment="1">
      <alignment wrapText="1"/>
    </xf>
    <xf numFmtId="170" fontId="0" fillId="12" borderId="2" xfId="0" applyNumberFormat="1" applyFill="1" applyBorder="1"/>
    <xf numFmtId="170" fontId="0" fillId="12" borderId="21" xfId="0" applyNumberFormat="1" applyFill="1" applyBorder="1"/>
    <xf numFmtId="169" fontId="0" fillId="0" borderId="0" xfId="15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3" fontId="16" fillId="0" borderId="0" xfId="0" applyNumberFormat="1" applyFont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15" fillId="0" borderId="0" xfId="0" applyNumberFormat="1" applyFont="1"/>
    <xf numFmtId="0" fontId="16" fillId="0" borderId="0" xfId="0" applyFont="1"/>
    <xf numFmtId="3" fontId="16" fillId="0" borderId="0" xfId="0" applyNumberFormat="1" applyFont="1" applyFill="1" applyAlignment="1">
      <alignment horizontal="center"/>
    </xf>
    <xf numFmtId="0" fontId="12" fillId="13" borderId="11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wrapText="1"/>
    </xf>
    <xf numFmtId="0" fontId="12" fillId="13" borderId="4" xfId="0" applyFont="1" applyFill="1" applyBorder="1" applyAlignment="1">
      <alignment horizontal="right" vertical="center" wrapText="1"/>
    </xf>
    <xf numFmtId="0" fontId="12" fillId="13" borderId="5" xfId="0" applyFont="1" applyFill="1" applyBorder="1" applyAlignment="1">
      <alignment horizontal="right" vertical="center" wrapText="1"/>
    </xf>
    <xf numFmtId="0" fontId="15" fillId="0" borderId="7" xfId="0" applyFont="1" applyBorder="1"/>
    <xf numFmtId="3" fontId="16" fillId="0" borderId="0" xfId="0" applyNumberFormat="1" applyFont="1" applyBorder="1" applyAlignment="1">
      <alignment horizontal="center" wrapText="1"/>
    </xf>
    <xf numFmtId="3" fontId="16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 wrapText="1"/>
    </xf>
    <xf numFmtId="3" fontId="16" fillId="0" borderId="6" xfId="0" applyNumberFormat="1" applyFont="1" applyFill="1" applyBorder="1" applyAlignment="1">
      <alignment horizontal="center" wrapText="1"/>
    </xf>
    <xf numFmtId="165" fontId="16" fillId="0" borderId="0" xfId="0" applyNumberFormat="1" applyFont="1" applyBorder="1" applyAlignment="1">
      <alignment horizontal="center" wrapText="1"/>
    </xf>
    <xf numFmtId="10" fontId="16" fillId="0" borderId="0" xfId="15" applyNumberFormat="1" applyFont="1" applyFill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6" xfId="0" applyFont="1" applyBorder="1" applyAlignment="1">
      <alignment horizontal="center"/>
    </xf>
    <xf numFmtId="3" fontId="16" fillId="0" borderId="6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3" fontId="15" fillId="0" borderId="7" xfId="0" applyNumberFormat="1" applyFont="1" applyBorder="1"/>
    <xf numFmtId="0" fontId="16" fillId="0" borderId="7" xfId="0" applyFont="1" applyBorder="1"/>
    <xf numFmtId="3" fontId="16" fillId="0" borderId="0" xfId="0" applyNumberFormat="1" applyFont="1" applyFill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3" fontId="17" fillId="0" borderId="6" xfId="0" applyNumberFormat="1" applyFont="1" applyBorder="1" applyAlignment="1">
      <alignment horizontal="center"/>
    </xf>
    <xf numFmtId="3" fontId="16" fillId="0" borderId="6" xfId="0" applyNumberFormat="1" applyFont="1" applyFill="1" applyBorder="1" applyAlignment="1">
      <alignment horizontal="center"/>
    </xf>
    <xf numFmtId="3" fontId="16" fillId="0" borderId="6" xfId="18" applyNumberFormat="1" applyFont="1" applyBorder="1" applyAlignment="1">
      <alignment horizontal="center"/>
    </xf>
    <xf numFmtId="0" fontId="16" fillId="0" borderId="20" xfId="0" applyFont="1" applyBorder="1"/>
    <xf numFmtId="3" fontId="16" fillId="0" borderId="2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178" fontId="0" fillId="0" borderId="0" xfId="18" applyNumberFormat="1" applyFont="1"/>
    <xf numFmtId="10" fontId="0" fillId="0" borderId="0" xfId="15" applyNumberFormat="1" applyFont="1" applyFill="1" applyBorder="1" applyAlignment="1">
      <alignment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70" fontId="3" fillId="0" borderId="0" xfId="18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12" borderId="7" xfId="0" applyFill="1" applyBorder="1" applyAlignment="1">
      <alignment horizontal="left" wrapText="1"/>
    </xf>
    <xf numFmtId="0" fontId="0" fillId="12" borderId="0" xfId="0" applyFill="1" applyBorder="1" applyAlignment="1">
      <alignment horizontal="left" wrapText="1"/>
    </xf>
    <xf numFmtId="0" fontId="0" fillId="12" borderId="22" xfId="0" applyFill="1" applyBorder="1" applyAlignment="1">
      <alignment horizontal="left" wrapText="1"/>
    </xf>
    <xf numFmtId="0" fontId="0" fillId="12" borderId="15" xfId="0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12" borderId="0" xfId="0" applyFont="1" applyFill="1" applyAlignment="1">
      <alignment horizontal="left"/>
    </xf>
  </cellXfs>
  <cellStyles count="1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Comma 2" xfId="20"/>
    <cellStyle name="Comma 3" xfId="21"/>
    <cellStyle name="Percent 2" xfId="22"/>
    <cellStyle name="Comma_CDM monthly amounts" xfId="23"/>
    <cellStyle name="Normal 3" xfId="24"/>
    <cellStyle name="Comma 4" xfId="25"/>
    <cellStyle name="Normal 2" xfId="26"/>
    <cellStyle name="Comma 2 2" xfId="27"/>
    <cellStyle name="Normal 5 2" xfId="28"/>
    <cellStyle name="Comma 3 2" xfId="29"/>
    <cellStyle name="Percent 3 2" xfId="3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5" Type="http://schemas.openxmlformats.org/officeDocument/2006/relationships/worksheet" Target="worksheets/sheet4.xml" /><Relationship Id="rId7" Type="http://schemas.openxmlformats.org/officeDocument/2006/relationships/worksheet" Target="worksheets/sheet6.xml" /><Relationship Id="rId9" Type="http://schemas.openxmlformats.org/officeDocument/2006/relationships/worksheet" Target="worksheets/sheet8.xml" /><Relationship Id="rId2" Type="http://schemas.openxmlformats.org/officeDocument/2006/relationships/worksheet" Target="worksheets/sheet1.xml" /><Relationship Id="rId18" Type="http://schemas.openxmlformats.org/officeDocument/2006/relationships/worksheet" Target="worksheets/sheet1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" Type="http://schemas.openxmlformats.org/officeDocument/2006/relationships/theme" Target="theme/theme1.xml" /><Relationship Id="rId4" Type="http://schemas.openxmlformats.org/officeDocument/2006/relationships/worksheet" Target="worksheets/sheet3.xml" /><Relationship Id="rId6" Type="http://schemas.openxmlformats.org/officeDocument/2006/relationships/worksheet" Target="worksheets/sheet5.xml" /><Relationship Id="rId8" Type="http://schemas.openxmlformats.org/officeDocument/2006/relationships/worksheet" Target="worksheets/sheet7.xml" /><Relationship Id="rId19" Type="http://schemas.openxmlformats.org/officeDocument/2006/relationships/styles" Target="styles.xml" /><Relationship Id="rId13" Type="http://schemas.openxmlformats.org/officeDocument/2006/relationships/worksheet" Target="worksheets/sheet12.xml" /><Relationship Id="rId21" Type="http://schemas.openxmlformats.org/officeDocument/2006/relationships/externalLink" Target="externalLinks/externalLink1.xml" /><Relationship Id="rId20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u="none" baseline="0">
                <a:latin typeface="Arial"/>
                <a:ea typeface="Arial"/>
                <a:cs typeface="Arial"/>
              </a:rPr>
              <a:t>Actual and Predicted Energy Purchases (Excluding</a:t>
            </a:r>
            <a:r>
              <a:rPr lang="en-US" u="none" baseline="0">
                <a:latin typeface="Arial"/>
                <a:ea typeface="Arial"/>
                <a:cs typeface="Arial"/>
              </a:rPr>
              <a:t> CDM Impacts)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'Purchased Power Model '!$B$2</c:f>
              <c:strCache>
                <c:ptCount val="1"/>
                <c:pt idx="0">
                  <c:v>Purchased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'!$B$3:$B$170</c:f>
              <c:numCache>
                <c:formatCode>_(* #,##0_);_(* \(#,##0\);_(* "-"??_);_(@_)</c:formatCode>
                <c:ptCount val="168"/>
                <c:pt idx="0">
                  <c:v>42639100</c:v>
                </c:pt>
                <c:pt idx="1">
                  <c:v>38371356</c:v>
                </c:pt>
                <c:pt idx="2">
                  <c:v>39445493</c:v>
                </c:pt>
                <c:pt idx="3">
                  <c:v>36194811</c:v>
                </c:pt>
                <c:pt idx="4">
                  <c:v>35263889</c:v>
                </c:pt>
                <c:pt idx="5">
                  <c:v>37162377</c:v>
                </c:pt>
                <c:pt idx="6">
                  <c:v>41364810</c:v>
                </c:pt>
                <c:pt idx="7">
                  <c:v>39569947</c:v>
                </c:pt>
                <c:pt idx="8">
                  <c:v>35904689</c:v>
                </c:pt>
                <c:pt idx="9">
                  <c:v>37187656</c:v>
                </c:pt>
                <c:pt idx="10">
                  <c:v>37804408</c:v>
                </c:pt>
                <c:pt idx="11">
                  <c:v>41415642</c:v>
                </c:pt>
                <c:pt idx="12">
                  <c:v>45022818</c:v>
                </c:pt>
                <c:pt idx="13">
                  <c:v>39507480</c:v>
                </c:pt>
                <c:pt idx="14">
                  <c:v>39890301</c:v>
                </c:pt>
                <c:pt idx="15">
                  <c:v>35800315</c:v>
                </c:pt>
                <c:pt idx="16">
                  <c:v>35700884</c:v>
                </c:pt>
                <c:pt idx="17">
                  <c:v>37251140</c:v>
                </c:pt>
                <c:pt idx="18">
                  <c:v>39626471</c:v>
                </c:pt>
                <c:pt idx="19">
                  <c:v>39062020</c:v>
                </c:pt>
                <c:pt idx="20">
                  <c:v>37869958</c:v>
                </c:pt>
                <c:pt idx="21">
                  <c:v>37190707</c:v>
                </c:pt>
                <c:pt idx="22">
                  <c:v>38683114</c:v>
                </c:pt>
                <c:pt idx="23">
                  <c:v>42731994</c:v>
                </c:pt>
                <c:pt idx="24">
                  <c:v>44769310</c:v>
                </c:pt>
                <c:pt idx="25">
                  <c:v>38587380</c:v>
                </c:pt>
                <c:pt idx="26">
                  <c:v>40808220</c:v>
                </c:pt>
                <c:pt idx="27">
                  <c:v>36419080</c:v>
                </c:pt>
                <c:pt idx="28">
                  <c:v>36941580</c:v>
                </c:pt>
                <c:pt idx="29">
                  <c:v>44668720</c:v>
                </c:pt>
                <c:pt idx="30">
                  <c:v>46174960</c:v>
                </c:pt>
                <c:pt idx="31">
                  <c:v>44768680</c:v>
                </c:pt>
                <c:pt idx="32">
                  <c:v>39535820</c:v>
                </c:pt>
                <c:pt idx="33">
                  <c:v>38746230</c:v>
                </c:pt>
                <c:pt idx="34">
                  <c:v>39948612</c:v>
                </c:pt>
                <c:pt idx="35">
                  <c:v>43806939</c:v>
                </c:pt>
                <c:pt idx="36">
                  <c:v>42701637.8550559</c:v>
                </c:pt>
                <c:pt idx="37">
                  <c:v>39494139.5651676</c:v>
                </c:pt>
                <c:pt idx="38">
                  <c:v>41168251.2752793</c:v>
                </c:pt>
                <c:pt idx="39">
                  <c:v>36932057.985391</c:v>
                </c:pt>
                <c:pt idx="40">
                  <c:v>39676670.6955027</c:v>
                </c:pt>
                <c:pt idx="41">
                  <c:v>42451477.4056144</c:v>
                </c:pt>
                <c:pt idx="42">
                  <c:v>47348264.1157261</c:v>
                </c:pt>
                <c:pt idx="43">
                  <c:v>44262981.8258378</c:v>
                </c:pt>
                <c:pt idx="44">
                  <c:v>37964093.5359495</c:v>
                </c:pt>
                <c:pt idx="45">
                  <c:v>39432108.2460612</c:v>
                </c:pt>
                <c:pt idx="46">
                  <c:v>39440744.9561729</c:v>
                </c:pt>
                <c:pt idx="47">
                  <c:v>43294908.6662846</c:v>
                </c:pt>
                <c:pt idx="48">
                  <c:v>44991099.1445849</c:v>
                </c:pt>
                <c:pt idx="49">
                  <c:v>42541554.702167</c:v>
                </c:pt>
                <c:pt idx="50">
                  <c:v>42850933.2597492</c:v>
                </c:pt>
                <c:pt idx="51">
                  <c:v>39892269.8173313</c:v>
                </c:pt>
                <c:pt idx="52">
                  <c:v>40107867.3749135</c:v>
                </c:pt>
                <c:pt idx="53">
                  <c:v>44991162.9324956</c:v>
                </c:pt>
                <c:pt idx="54">
                  <c:v>44565689.4900777</c:v>
                </c:pt>
                <c:pt idx="55">
                  <c:v>46716181.0476599</c:v>
                </c:pt>
                <c:pt idx="56">
                  <c:v>40527152.605242</c:v>
                </c:pt>
                <c:pt idx="57">
                  <c:v>40215914.1628242</c:v>
                </c:pt>
                <c:pt idx="58">
                  <c:v>41589815.7204063</c:v>
                </c:pt>
                <c:pt idx="59">
                  <c:v>46253017.2779884</c:v>
                </c:pt>
                <c:pt idx="60">
                  <c:v>45575389.0374157</c:v>
                </c:pt>
                <c:pt idx="61">
                  <c:v>43068120.0206681</c:v>
                </c:pt>
                <c:pt idx="62">
                  <c:v>43360205.0039205</c:v>
                </c:pt>
                <c:pt idx="63">
                  <c:v>38631236.9871729</c:v>
                </c:pt>
                <c:pt idx="64">
                  <c:v>38599061.9704254</c:v>
                </c:pt>
                <c:pt idx="65">
                  <c:v>42814268.9536778</c:v>
                </c:pt>
                <c:pt idx="66">
                  <c:v>46740881.9369302</c:v>
                </c:pt>
                <c:pt idx="67">
                  <c:v>43536624.9201826</c:v>
                </c:pt>
                <c:pt idx="68">
                  <c:v>41096137.903435</c:v>
                </c:pt>
                <c:pt idx="69">
                  <c:v>41016710.8866875</c:v>
                </c:pt>
                <c:pt idx="70">
                  <c:v>41226233.8699399</c:v>
                </c:pt>
                <c:pt idx="71">
                  <c:v>46223996.8531923</c:v>
                </c:pt>
                <c:pt idx="72">
                  <c:v>48012645.8669103</c:v>
                </c:pt>
                <c:pt idx="73">
                  <c:v>41520924.6060547</c:v>
                </c:pt>
                <c:pt idx="74">
                  <c:v>42885574.3451991</c:v>
                </c:pt>
                <c:pt idx="75">
                  <c:v>39060747.0843434</c:v>
                </c:pt>
                <c:pt idx="76">
                  <c:v>38596545.8234878</c:v>
                </c:pt>
                <c:pt idx="77">
                  <c:v>40892227.5626322</c:v>
                </c:pt>
                <c:pt idx="78">
                  <c:v>41797242.3017766</c:v>
                </c:pt>
                <c:pt idx="79">
                  <c:v>45518971.040921</c:v>
                </c:pt>
                <c:pt idx="80">
                  <c:v>40332197.7800653</c:v>
                </c:pt>
                <c:pt idx="81">
                  <c:v>40749924.5192097</c:v>
                </c:pt>
                <c:pt idx="82">
                  <c:v>40287601.2583541</c:v>
                </c:pt>
                <c:pt idx="83">
                  <c:v>46543020.2386224</c:v>
                </c:pt>
                <c:pt idx="84">
                  <c:v>47505435.1018926</c:v>
                </c:pt>
                <c:pt idx="85">
                  <c:v>42555995.4501027</c:v>
                </c:pt>
                <c:pt idx="86">
                  <c:v>42729524.7266987</c:v>
                </c:pt>
                <c:pt idx="87">
                  <c:v>38194633.3221638</c:v>
                </c:pt>
                <c:pt idx="88">
                  <c:v>42962938.1571163</c:v>
                </c:pt>
                <c:pt idx="89">
                  <c:v>44748882.5023331</c:v>
                </c:pt>
                <c:pt idx="90">
                  <c:v>51663603.870972</c:v>
                </c:pt>
                <c:pt idx="91">
                  <c:v>49628311.2501994</c:v>
                </c:pt>
                <c:pt idx="92">
                  <c:v>41644347.4838293</c:v>
                </c:pt>
                <c:pt idx="93">
                  <c:v>41107066.5359113</c:v>
                </c:pt>
                <c:pt idx="94">
                  <c:v>42224280.3032907</c:v>
                </c:pt>
                <c:pt idx="95">
                  <c:v>48337979.5697735</c:v>
                </c:pt>
                <c:pt idx="96">
                  <c:v>49042055.254362</c:v>
                </c:pt>
                <c:pt idx="97">
                  <c:v>43913866.1437983</c:v>
                </c:pt>
                <c:pt idx="98">
                  <c:v>45757839.4310513</c:v>
                </c:pt>
                <c:pt idx="99">
                  <c:v>40867758.3584165</c:v>
                </c:pt>
                <c:pt idx="100">
                  <c:v>41674620.7733768</c:v>
                </c:pt>
                <c:pt idx="101">
                  <c:v>43806812.5452021</c:v>
                </c:pt>
                <c:pt idx="102">
                  <c:v>52019699.138341</c:v>
                </c:pt>
                <c:pt idx="103">
                  <c:v>48138108.1065395</c:v>
                </c:pt>
                <c:pt idx="104">
                  <c:v>41812194.2637931</c:v>
                </c:pt>
                <c:pt idx="105">
                  <c:v>41902284.0034083</c:v>
                </c:pt>
                <c:pt idx="106">
                  <c:v>42212942.8461732</c:v>
                </c:pt>
                <c:pt idx="107">
                  <c:v>41906186.5392735</c:v>
                </c:pt>
                <c:pt idx="108">
                  <c:v>46487776.4700285</c:v>
                </c:pt>
                <c:pt idx="109">
                  <c:v>42412932.4377907</c:v>
                </c:pt>
                <c:pt idx="110">
                  <c:v>42027126.3752114</c:v>
                </c:pt>
                <c:pt idx="111">
                  <c:v>40043417.6935254</c:v>
                </c:pt>
                <c:pt idx="112">
                  <c:v>41299219.7961914</c:v>
                </c:pt>
                <c:pt idx="113">
                  <c:v>46546321.5888971</c:v>
                </c:pt>
                <c:pt idx="114">
                  <c:v>52616172.4937906</c:v>
                </c:pt>
                <c:pt idx="115">
                  <c:v>47216643.5585831</c:v>
                </c:pt>
                <c:pt idx="116">
                  <c:v>41263353.5305844</c:v>
                </c:pt>
                <c:pt idx="117">
                  <c:v>41501368.6830875</c:v>
                </c:pt>
                <c:pt idx="118">
                  <c:v>42039260.2339707</c:v>
                </c:pt>
                <c:pt idx="119">
                  <c:v>43962909.9163533</c:v>
                </c:pt>
                <c:pt idx="120">
                  <c:v>46307319.0454057</c:v>
                </c:pt>
                <c:pt idx="121">
                  <c:v>42312547.3995007</c:v>
                </c:pt>
                <c:pt idx="122">
                  <c:v>43827157.8639951</c:v>
                </c:pt>
                <c:pt idx="123">
                  <c:v>41119810.8585789</c:v>
                </c:pt>
                <c:pt idx="124">
                  <c:v>41656140.3212341</c:v>
                </c:pt>
                <c:pt idx="125">
                  <c:v>44494528.2849947</c:v>
                </c:pt>
                <c:pt idx="126">
                  <c:v>50531096.450564</c:v>
                </c:pt>
                <c:pt idx="127">
                  <c:v>47766721.3495849</c:v>
                </c:pt>
                <c:pt idx="128">
                  <c:v>42832570.0946452</c:v>
                </c:pt>
                <c:pt idx="129">
                  <c:v>43470143.3726965</c:v>
                </c:pt>
                <c:pt idx="130">
                  <c:v>45455128.1509646</c:v>
                </c:pt>
                <c:pt idx="131">
                  <c:v>46364312.2094958</c:v>
                </c:pt>
                <c:pt idx="132">
                  <c:v>51390791.5858568</c:v>
                </c:pt>
                <c:pt idx="133">
                  <c:v>45258830.7709081</c:v>
                </c:pt>
                <c:pt idx="134">
                  <c:v>47626683.5421918</c:v>
                </c:pt>
                <c:pt idx="135">
                  <c:v>42120491.6826292</c:v>
                </c:pt>
                <c:pt idx="136">
                  <c:v>41780924.2928516</c:v>
                </c:pt>
                <c:pt idx="137">
                  <c:v>46093145.5818273</c:v>
                </c:pt>
                <c:pt idx="138">
                  <c:v>47661122.0191923</c:v>
                </c:pt>
                <c:pt idx="139">
                  <c:v>46887220.3800164</c:v>
                </c:pt>
                <c:pt idx="140">
                  <c:v>43773289.4776678</c:v>
                </c:pt>
                <c:pt idx="141">
                  <c:v>43211568.4775795</c:v>
                </c:pt>
                <c:pt idx="142">
                  <c:v>45710944.8849163</c:v>
                </c:pt>
                <c:pt idx="143">
                  <c:v>48317609.0047758</c:v>
                </c:pt>
              </c:numCache>
            </c:numRef>
          </c:val>
        </c:ser>
        <c:gapWidth val="75"/>
        <c:axId val="34732142"/>
        <c:axId val="58286343"/>
      </c:barChart>
      <c:lineChart>
        <c:grouping val="standard"/>
        <c:varyColors val="0"/>
        <c:ser>
          <c:idx val="12"/>
          <c:order val="1"/>
          <c:tx>
            <c:strRef>
              <c:f>'Purchased Power Model '!$O$2</c:f>
              <c:strCache>
                <c:ptCount val="1"/>
                <c:pt idx="0">
                  <c:v>Predicted Purchases 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numRef>
              <c:f>'Purchased Power Model '!$A$3:$A$170</c:f>
              <c:numCache>
                <c:formatCode>mmm\-yy</c:formatCode>
                <c:ptCount val="16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</c:numCache>
            </c:numRef>
          </c:cat>
          <c:val>
            <c:numRef>
              <c:f>'Purchased Power Model '!$O$3:$O$170</c:f>
              <c:numCache>
                <c:formatCode>#,##0_);\(#,##0\)</c:formatCode>
                <c:ptCount val="168"/>
                <c:pt idx="0">
                  <c:v>42610107.4851428</c:v>
                </c:pt>
                <c:pt idx="1">
                  <c:v>37754197.0470514</c:v>
                </c:pt>
                <c:pt idx="2">
                  <c:v>38371022.1757811</c:v>
                </c:pt>
                <c:pt idx="3">
                  <c:v>35548176.1214794</c:v>
                </c:pt>
                <c:pt idx="4">
                  <c:v>34486467.8632735</c:v>
                </c:pt>
                <c:pt idx="5">
                  <c:v>37257891.8805139</c:v>
                </c:pt>
                <c:pt idx="6">
                  <c:v>42159972.4861167</c:v>
                </c:pt>
                <c:pt idx="7">
                  <c:v>42243204.1693436</c:v>
                </c:pt>
                <c:pt idx="8">
                  <c:v>35075184.9999192</c:v>
                </c:pt>
                <c:pt idx="9">
                  <c:v>37133242.1797738</c:v>
                </c:pt>
                <c:pt idx="10">
                  <c:v>36865382.8515413</c:v>
                </c:pt>
                <c:pt idx="11">
                  <c:v>40570654.6815103</c:v>
                </c:pt>
                <c:pt idx="12">
                  <c:v>43547143.0239465</c:v>
                </c:pt>
                <c:pt idx="13">
                  <c:v>39263851.7297182</c:v>
                </c:pt>
                <c:pt idx="14">
                  <c:v>38986816.3195608</c:v>
                </c:pt>
                <c:pt idx="15">
                  <c:v>35976901.5011559</c:v>
                </c:pt>
                <c:pt idx="16">
                  <c:v>35535779.5150636</c:v>
                </c:pt>
                <c:pt idx="17">
                  <c:v>37309205.9010116</c:v>
                </c:pt>
                <c:pt idx="18">
                  <c:v>41029872.4153355</c:v>
                </c:pt>
                <c:pt idx="19">
                  <c:v>39582408.5241528</c:v>
                </c:pt>
                <c:pt idx="20">
                  <c:v>37034389.1468217</c:v>
                </c:pt>
                <c:pt idx="21">
                  <c:v>37314686.2865076</c:v>
                </c:pt>
                <c:pt idx="22">
                  <c:v>38499855.7987723</c:v>
                </c:pt>
                <c:pt idx="23">
                  <c:v>42641935.4415276</c:v>
                </c:pt>
                <c:pt idx="24">
                  <c:v>43712982.3265733</c:v>
                </c:pt>
                <c:pt idx="25">
                  <c:v>39120389.6883586</c:v>
                </c:pt>
                <c:pt idx="26">
                  <c:v>41173185.6317223</c:v>
                </c:pt>
                <c:pt idx="27">
                  <c:v>37022233.0018188</c:v>
                </c:pt>
                <c:pt idx="28">
                  <c:v>36970885.2828518</c:v>
                </c:pt>
                <c:pt idx="29">
                  <c:v>45303141.3397671</c:v>
                </c:pt>
                <c:pt idx="30">
                  <c:v>48282152.8852025</c:v>
                </c:pt>
                <c:pt idx="31">
                  <c:v>46054790.567515</c:v>
                </c:pt>
                <c:pt idx="32">
                  <c:v>38969265.3916075</c:v>
                </c:pt>
                <c:pt idx="33">
                  <c:v>38855109.6225112</c:v>
                </c:pt>
                <c:pt idx="34">
                  <c:v>39952237.4600829</c:v>
                </c:pt>
                <c:pt idx="35">
                  <c:v>43922483.8652631</c:v>
                </c:pt>
                <c:pt idx="36">
                  <c:v>43174912.9419289</c:v>
                </c:pt>
                <c:pt idx="37">
                  <c:v>40297639.4955487</c:v>
                </c:pt>
                <c:pt idx="38">
                  <c:v>41824305.3148621</c:v>
                </c:pt>
                <c:pt idx="39">
                  <c:v>37506127.8983661</c:v>
                </c:pt>
                <c:pt idx="40">
                  <c:v>39477071.4385224</c:v>
                </c:pt>
                <c:pt idx="41">
                  <c:v>42105852.6281176</c:v>
                </c:pt>
                <c:pt idx="42">
                  <c:v>48089978.5613076</c:v>
                </c:pt>
                <c:pt idx="43">
                  <c:v>44781388.9917405</c:v>
                </c:pt>
                <c:pt idx="44">
                  <c:v>37885536.1480918</c:v>
                </c:pt>
                <c:pt idx="45">
                  <c:v>40580261.6346921</c:v>
                </c:pt>
                <c:pt idx="46">
                  <c:v>40868581.0473233</c:v>
                </c:pt>
                <c:pt idx="47">
                  <c:v>42926139.7276923</c:v>
                </c:pt>
                <c:pt idx="48">
                  <c:v>45320649.9929915</c:v>
                </c:pt>
                <c:pt idx="49">
                  <c:v>42512473.0670139</c:v>
                </c:pt>
                <c:pt idx="50">
                  <c:v>42634281.2663265</c:v>
                </c:pt>
                <c:pt idx="51">
                  <c:v>39208337.6795294</c:v>
                </c:pt>
                <c:pt idx="52">
                  <c:v>39983949.3051453</c:v>
                </c:pt>
                <c:pt idx="53">
                  <c:v>44039356.8886246</c:v>
                </c:pt>
                <c:pt idx="54">
                  <c:v>45324175.8267887</c:v>
                </c:pt>
                <c:pt idx="55">
                  <c:v>47814640.8224859</c:v>
                </c:pt>
                <c:pt idx="56">
                  <c:v>39835597.3588713</c:v>
                </c:pt>
                <c:pt idx="57">
                  <c:v>41039279.229799</c:v>
                </c:pt>
                <c:pt idx="58">
                  <c:v>42151100.5125371</c:v>
                </c:pt>
                <c:pt idx="59">
                  <c:v>44664962.9428252</c:v>
                </c:pt>
                <c:pt idx="60">
                  <c:v>45511791.4178439</c:v>
                </c:pt>
                <c:pt idx="61">
                  <c:v>43531454.3061557</c:v>
                </c:pt>
                <c:pt idx="62">
                  <c:v>42767128.6245511</c:v>
                </c:pt>
                <c:pt idx="63">
                  <c:v>39176355.12491</c:v>
                </c:pt>
                <c:pt idx="64">
                  <c:v>39406197.1726406</c:v>
                </c:pt>
                <c:pt idx="65">
                  <c:v>42755675.1244527</c:v>
                </c:pt>
                <c:pt idx="66">
                  <c:v>46242184.7396631</c:v>
                </c:pt>
                <c:pt idx="67">
                  <c:v>42898567.5578771</c:v>
                </c:pt>
                <c:pt idx="68">
                  <c:v>39701853.7120887</c:v>
                </c:pt>
                <c:pt idx="69">
                  <c:v>41537637.3546187</c:v>
                </c:pt>
                <c:pt idx="70">
                  <c:v>41430195.1328594</c:v>
                </c:pt>
                <c:pt idx="71">
                  <c:v>45776050.0318784</c:v>
                </c:pt>
                <c:pt idx="72">
                  <c:v>47562374.6778061</c:v>
                </c:pt>
                <c:pt idx="73">
                  <c:v>41888502.8630651</c:v>
                </c:pt>
                <c:pt idx="74">
                  <c:v>43211487.5141973</c:v>
                </c:pt>
                <c:pt idx="75">
                  <c:v>39483214.0867422</c:v>
                </c:pt>
                <c:pt idx="76">
                  <c:v>39354564.0103477</c:v>
                </c:pt>
                <c:pt idx="77">
                  <c:v>41368950.1005162</c:v>
                </c:pt>
                <c:pt idx="78">
                  <c:v>42510942.941836</c:v>
                </c:pt>
                <c:pt idx="79">
                  <c:v>44880008.204998</c:v>
                </c:pt>
                <c:pt idx="80">
                  <c:v>39672152.1569773</c:v>
                </c:pt>
                <c:pt idx="81">
                  <c:v>41702751.3023997</c:v>
                </c:pt>
                <c:pt idx="82">
                  <c:v>41211118.927863</c:v>
                </c:pt>
                <c:pt idx="83">
                  <c:v>46236694.8680785</c:v>
                </c:pt>
                <c:pt idx="84">
                  <c:v>46559374.362589</c:v>
                </c:pt>
                <c:pt idx="85">
                  <c:v>42210441.5784536</c:v>
                </c:pt>
                <c:pt idx="86">
                  <c:v>42811189.6549944</c:v>
                </c:pt>
                <c:pt idx="87">
                  <c:v>39016449.9511026</c:v>
                </c:pt>
                <c:pt idx="88">
                  <c:v>41643753.7511492</c:v>
                </c:pt>
                <c:pt idx="89">
                  <c:v>43018672.7140962</c:v>
                </c:pt>
                <c:pt idx="90">
                  <c:v>50028029.7623433</c:v>
                </c:pt>
                <c:pt idx="91">
                  <c:v>48467866.1408732</c:v>
                </c:pt>
                <c:pt idx="92">
                  <c:v>40988466.3852696</c:v>
                </c:pt>
                <c:pt idx="93">
                  <c:v>41383416.2690708</c:v>
                </c:pt>
                <c:pt idx="94">
                  <c:v>42399281.5454786</c:v>
                </c:pt>
                <c:pt idx="95">
                  <c:v>47437796.1352398</c:v>
                </c:pt>
                <c:pt idx="96">
                  <c:v>47822577.4216381</c:v>
                </c:pt>
                <c:pt idx="97">
                  <c:v>43137485.403821</c:v>
                </c:pt>
                <c:pt idx="98">
                  <c:v>44636182.0925179</c:v>
                </c:pt>
                <c:pt idx="99">
                  <c:v>40372277.1454092</c:v>
                </c:pt>
                <c:pt idx="100">
                  <c:v>40443671.4706056</c:v>
                </c:pt>
                <c:pt idx="101">
                  <c:v>42794824.3150775</c:v>
                </c:pt>
                <c:pt idx="102">
                  <c:v>51930566.3087491</c:v>
                </c:pt>
                <c:pt idx="103">
                  <c:v>47847408.4464727</c:v>
                </c:pt>
                <c:pt idx="104">
                  <c:v>41269357.8999648</c:v>
                </c:pt>
                <c:pt idx="105">
                  <c:v>41504479.8142393</c:v>
                </c:pt>
                <c:pt idx="106">
                  <c:v>42059570.7805896</c:v>
                </c:pt>
                <c:pt idx="107">
                  <c:v>45535755.3277503</c:v>
                </c:pt>
                <c:pt idx="108">
                  <c:v>46622968.7743869</c:v>
                </c:pt>
                <c:pt idx="109">
                  <c:v>43332212.1907197</c:v>
                </c:pt>
                <c:pt idx="110">
                  <c:v>42298745.894813</c:v>
                </c:pt>
                <c:pt idx="111">
                  <c:v>40468978.9778635</c:v>
                </c:pt>
                <c:pt idx="112">
                  <c:v>41887948.1996434</c:v>
                </c:pt>
                <c:pt idx="113">
                  <c:v>45810775.2786374</c:v>
                </c:pt>
                <c:pt idx="114">
                  <c:v>52306201.2542449</c:v>
                </c:pt>
                <c:pt idx="115">
                  <c:v>47534213.1239774</c:v>
                </c:pt>
                <c:pt idx="116">
                  <c:v>41091844.1629054</c:v>
                </c:pt>
                <c:pt idx="117">
                  <c:v>42423640.7818947</c:v>
                </c:pt>
                <c:pt idx="118">
                  <c:v>43328444.0875263</c:v>
                </c:pt>
                <c:pt idx="119">
                  <c:v>45132525.9162575</c:v>
                </c:pt>
                <c:pt idx="120">
                  <c:v>46992735.195448</c:v>
                </c:pt>
                <c:pt idx="121">
                  <c:v>43342815.6420521</c:v>
                </c:pt>
                <c:pt idx="122">
                  <c:v>44042594.2299825</c:v>
                </c:pt>
                <c:pt idx="123">
                  <c:v>41778393.9550457</c:v>
                </c:pt>
                <c:pt idx="124">
                  <c:v>41711921.0431036</c:v>
                </c:pt>
                <c:pt idx="125">
                  <c:v>43441077.7199957</c:v>
                </c:pt>
                <c:pt idx="126">
                  <c:v>48487273.7252273</c:v>
                </c:pt>
                <c:pt idx="127">
                  <c:v>47385261.1627847</c:v>
                </c:pt>
                <c:pt idx="128">
                  <c:v>42496956.8201992</c:v>
                </c:pt>
                <c:pt idx="129">
                  <c:v>43660272.658441</c:v>
                </c:pt>
                <c:pt idx="130">
                  <c:v>44822535.1002276</c:v>
                </c:pt>
                <c:pt idx="131">
                  <c:v>48662680.652497</c:v>
                </c:pt>
                <c:pt idx="132">
                  <c:v>50652814.8127708</c:v>
                </c:pt>
                <c:pt idx="133">
                  <c:v>46005186.3734713</c:v>
                </c:pt>
                <c:pt idx="134">
                  <c:v>47266914.7736744</c:v>
                </c:pt>
                <c:pt idx="135">
                  <c:v>42988786.6674788</c:v>
                </c:pt>
                <c:pt idx="136">
                  <c:v>42441987.1617168</c:v>
                </c:pt>
                <c:pt idx="137">
                  <c:v>45521789.8335173</c:v>
                </c:pt>
                <c:pt idx="138">
                  <c:v>46867410.0118038</c:v>
                </c:pt>
                <c:pt idx="139">
                  <c:v>46988217.1475141</c:v>
                </c:pt>
                <c:pt idx="140">
                  <c:v>43042217.7325577</c:v>
                </c:pt>
                <c:pt idx="141">
                  <c:v>44088237.5411998</c:v>
                </c:pt>
                <c:pt idx="142">
                  <c:v>45036431.9516431</c:v>
                </c:pt>
                <c:pt idx="143">
                  <c:v>47793796.4763028</c:v>
                </c:pt>
                <c:pt idx="144">
                  <c:v>49261922.1336631</c:v>
                </c:pt>
                <c:pt idx="145">
                  <c:v>45270191.5521937</c:v>
                </c:pt>
                <c:pt idx="146">
                  <c:v>46363383.6442601</c:v>
                </c:pt>
                <c:pt idx="147">
                  <c:v>42883577.9220914</c:v>
                </c:pt>
                <c:pt idx="148">
                  <c:v>43026278.4765133</c:v>
                </c:pt>
                <c:pt idx="149">
                  <c:v>46874222.6242801</c:v>
                </c:pt>
                <c:pt idx="150">
                  <c:v>51379687.3868067</c:v>
                </c:pt>
                <c:pt idx="151">
                  <c:v>49154670.7802508</c:v>
                </c:pt>
                <c:pt idx="152">
                  <c:v>43719342.8264725</c:v>
                </c:pt>
                <c:pt idx="153">
                  <c:v>44684489.2112562</c:v>
                </c:pt>
                <c:pt idx="154">
                  <c:v>45416739.4252197</c:v>
                </c:pt>
                <c:pt idx="155">
                  <c:v>49056568.2480457</c:v>
                </c:pt>
                <c:pt idx="156">
                  <c:v>50000422.9826252</c:v>
                </c:pt>
                <c:pt idx="157">
                  <c:v>47239400.0283802</c:v>
                </c:pt>
                <c:pt idx="158">
                  <c:v>47048569.5784604</c:v>
                </c:pt>
                <c:pt idx="159">
                  <c:v>43542106.3989108</c:v>
                </c:pt>
                <c:pt idx="160">
                  <c:v>43658149.4959517</c:v>
                </c:pt>
                <c:pt idx="161">
                  <c:v>47479436.1863376</c:v>
                </c:pt>
                <c:pt idx="162">
                  <c:v>51958243.4914832</c:v>
                </c:pt>
                <c:pt idx="163">
                  <c:v>49706569.4275464</c:v>
                </c:pt>
                <c:pt idx="164">
                  <c:v>44244584.0163872</c:v>
                </c:pt>
                <c:pt idx="165">
                  <c:v>45183072.9437899</c:v>
                </c:pt>
                <c:pt idx="166">
                  <c:v>45888665.7003725</c:v>
                </c:pt>
                <c:pt idx="167">
                  <c:v>49501837.0658175</c:v>
                </c:pt>
              </c:numCache>
            </c:numRef>
          </c:val>
          <c:smooth val="0"/>
        </c:ser>
        <c:marker val="1"/>
        <c:axId val="34732142"/>
        <c:axId val="58286343"/>
      </c:lineChart>
      <c:dateAx>
        <c:axId val="3473214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58286343"/>
        <c:crosses val="autoZero"/>
        <c:auto val="1"/>
        <c:lblOffset val="100"/>
        <c:baseTimeUnit val="months"/>
        <c:noMultiLvlLbl val="0"/>
      </c:dateAx>
      <c:valAx>
        <c:axId val="58286343"/>
        <c:scaling>
          <c:orientation val="minMax"/>
        </c:scaling>
        <c:delete val="0"/>
        <c:axPos val="l"/>
        <c:title>
          <c:tx>
            <c:rich>
              <a:bodyPr vert="horz" rot="-5400000"/>
              <a:lstStyle/>
              <a:p>
                <a:pPr algn="ctr">
                  <a:defRPr/>
                </a:pPr>
                <a:r>
                  <a:rPr lang="en-US" sz="1100" u="none" baseline="0">
                    <a:latin typeface="Arial"/>
                    <a:ea typeface="Arial"/>
                    <a:cs typeface="Arial"/>
                  </a:rPr>
                  <a:t>kWh</a:t>
                </a:r>
              </a:p>
            </c:rich>
          </c:tx>
          <c:layout/>
          <c:overlay val="0"/>
          <c:spPr>
            <a:noFill/>
            <a:ln>
              <a:noFill/>
            </a:ln>
          </c:spPr>
        </c:title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3473214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</c:chart>
  <c:txPr>
    <a:bodyPr vert="horz" rot="0"/>
    <a:lstStyle/>
    <a:p>
      <a:pPr>
        <a:defRPr lang="en-US" u="none" baseline="0">
          <a:latin typeface="Arial"/>
          <a:ea typeface="Arial"/>
          <a:cs typeface="Arial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0</xdr:colOff>
      <xdr:row>2</xdr:row>
      <xdr:rowOff>161924</xdr:rowOff>
    </xdr:from>
    <xdr:to>
      <xdr:col>18</xdr:col>
      <xdr:colOff>114300</xdr:colOff>
      <xdr:row>39</xdr:row>
      <xdr:rowOff>142874</xdr:rowOff>
    </xdr:to>
    <xdr:graphicFrame macro="">
      <xdr:nvGraphicFramePr>
        <xdr:cNvPr id="2" name="Chart 1"/>
        <xdr:cNvGraphicFramePr/>
      </xdr:nvGraphicFramePr>
      <xdr:xfrm>
        <a:off x="1219200" y="485775"/>
        <a:ext cx="9867900" cy="59721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:\\www.rds.ontarioenergyboard.ca\Users\askidmore\AppData\Local\Microsoft\Windows\Temporary%20Internet%20Files\Content.Outlook\0GV1CQED\Dummy%20File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workbookViewId="0" topLeftCell="A1">
      <pane xSplit="1" ySplit="3" topLeftCell="E4" activePane="bottomRight" state="frozen"/>
      <selection pane="topLeft" activeCell="A1" sqref="A1"/>
      <selection pane="bottomLeft" activeCell="A4" sqref="A4"/>
      <selection pane="topRight" activeCell="B1" sqref="B1"/>
      <selection pane="bottomRight" activeCell="E8" sqref="E8"/>
    </sheetView>
  </sheetViews>
  <sheetFormatPr defaultColWidth="9.14285714285714" defaultRowHeight="12.75"/>
  <cols>
    <col min="1" max="1" width="32.7142857142857" customWidth="1"/>
    <col min="2" max="2" width="13.8571428571429" style="1" hidden="1" customWidth="1"/>
    <col min="3" max="3" width="13.1428571428571" style="1" hidden="1" customWidth="1"/>
    <col min="4" max="4" width="13" style="1" hidden="1" customWidth="1"/>
    <col min="5" max="5" width="12.5714285714286" style="1" customWidth="1"/>
    <col min="6" max="6" width="12.7142857142857" style="1" bestFit="1" customWidth="1"/>
    <col min="7" max="7" width="13.5714285714286" style="1" customWidth="1"/>
    <col min="8" max="8" width="12.7142857142857" style="1" customWidth="1"/>
    <col min="9" max="9" width="13" style="1" customWidth="1"/>
    <col min="10" max="10" width="12.7142857142857" style="1" bestFit="1" customWidth="1"/>
    <col min="11" max="16" width="12.8571428571429" style="1" customWidth="1"/>
    <col min="17" max="17" width="16.4285714285714" style="24" bestFit="1" customWidth="1"/>
    <col min="18" max="18" width="17" style="1" customWidth="1"/>
  </cols>
  <sheetData>
    <row r="1" spans="1:18" ht="15.75">
      <c r="A1" s="327" t="s">
        <v>160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3" spans="2:18" ht="25.5">
      <c r="B3" s="45" t="s">
        <v>61</v>
      </c>
      <c r="C3" s="45" t="s">
        <v>62</v>
      </c>
      <c r="D3" s="45" t="s">
        <v>63</v>
      </c>
      <c r="E3" s="45" t="s">
        <v>64</v>
      </c>
      <c r="F3" s="45" t="s">
        <v>65</v>
      </c>
      <c r="G3" s="45" t="s">
        <v>66</v>
      </c>
      <c r="H3" s="45" t="s">
        <v>67</v>
      </c>
      <c r="I3" s="45" t="s">
        <v>68</v>
      </c>
      <c r="J3" s="45" t="s">
        <v>76</v>
      </c>
      <c r="K3" s="45" t="s">
        <v>83</v>
      </c>
      <c r="L3" s="45" t="s">
        <v>89</v>
      </c>
      <c r="M3" s="45" t="s">
        <v>128</v>
      </c>
      <c r="N3" s="45" t="s">
        <v>129</v>
      </c>
      <c r="O3" s="45" t="s">
        <v>130</v>
      </c>
      <c r="P3" s="45" t="s">
        <v>131</v>
      </c>
      <c r="Q3" s="55" t="s">
        <v>158</v>
      </c>
      <c r="R3" s="45" t="s">
        <v>159</v>
      </c>
    </row>
    <row r="4" spans="1:17" ht="12.75">
      <c r="A4" s="21" t="s">
        <v>71</v>
      </c>
      <c r="B4" s="30">
        <f>'Purchased Power Model '!B177</f>
        <v>0</v>
      </c>
      <c r="C4" s="30">
        <f>'Purchased Power Model '!B178</f>
        <v>0</v>
      </c>
      <c r="D4" s="6">
        <f>'Purchased Power Model '!B179</f>
        <v>0</v>
      </c>
      <c r="E4" s="30">
        <f>'Purchased Power Model '!B180</f>
        <v>462324178</v>
      </c>
      <c r="F4" s="30">
        <f>'Purchased Power Model '!B181</f>
        <v>468337202</v>
      </c>
      <c r="G4" s="30">
        <f>'Purchased Power Model '!B182</f>
        <v>495175531</v>
      </c>
      <c r="H4" s="30">
        <f>'Purchased Power Model '!B183</f>
        <v>494167336.1280427</v>
      </c>
      <c r="I4" s="30">
        <f>'Purchased Power Model '!B184</f>
        <v>515242657.53544003</v>
      </c>
      <c r="J4" s="30">
        <f>'Purchased Power Model '!B185</f>
        <v>511888868.34364784</v>
      </c>
      <c r="K4" s="30">
        <f>'Purchased Power Model '!B186</f>
        <v>506197622.42757654</v>
      </c>
      <c r="L4" s="30">
        <f>'Purchased Power Model '!B$187</f>
        <v>533302998.27428335</v>
      </c>
      <c r="M4" s="30">
        <f>'Purchased Power Model '!$B188</f>
        <v>533054367.40373558</v>
      </c>
      <c r="N4" s="30">
        <f>'Purchased Power Model '!$B189</f>
        <v>527416502.77801406</v>
      </c>
      <c r="O4" s="30">
        <f>'Purchased Power Model '!$B190</f>
        <v>536137475.4016602</v>
      </c>
      <c r="P4" s="30">
        <f>'Purchased Power Model '!$B191</f>
        <v>549832621.70041287</v>
      </c>
      <c r="Q4" s="56"/>
    </row>
    <row r="5" spans="1:18" ht="12.75">
      <c r="A5" s="21" t="s">
        <v>72</v>
      </c>
      <c r="B5" s="30">
        <f>'Purchased Power Model '!O177</f>
        <v>0</v>
      </c>
      <c r="C5" s="30">
        <f>'Purchased Power Model '!O178</f>
        <v>0</v>
      </c>
      <c r="D5" s="30">
        <f>'Purchased Power Model '!O179</f>
        <v>0</v>
      </c>
      <c r="E5" s="30">
        <f>'Purchased Power Model '!O180</f>
        <v>460075503.94144708</v>
      </c>
      <c r="F5" s="30">
        <f>'Purchased Power Model '!O181</f>
        <v>466722845.60357416</v>
      </c>
      <c r="G5" s="30">
        <f>'Purchased Power Model '!O182</f>
        <v>499338857.06327397</v>
      </c>
      <c r="H5" s="30">
        <f>'Purchased Power Model '!O183</f>
        <v>499517795.82819325</v>
      </c>
      <c r="I5" s="30">
        <f>'Purchased Power Model '!O184</f>
        <v>514528804.89293849</v>
      </c>
      <c r="J5" s="30">
        <f>'Purchased Power Model '!O185</f>
        <v>510735090.29953927</v>
      </c>
      <c r="K5" s="30">
        <f>'Purchased Power Model '!O186</f>
        <v>509082761.65482712</v>
      </c>
      <c r="L5" s="30">
        <f>'Purchased Power Model '!$O187</f>
        <v>525964738.25066036</v>
      </c>
      <c r="M5" s="30">
        <f>'Purchased Power Model '!$O188</f>
        <v>529354156.42683506</v>
      </c>
      <c r="N5" s="30">
        <f>'Purchased Power Model '!$O189</f>
        <v>532238498.64287007</v>
      </c>
      <c r="O5" s="30">
        <f>'Purchased Power Model '!$O190</f>
        <v>536824517.90500426</v>
      </c>
      <c r="P5" s="30">
        <f>'Purchased Power Model '!$O191</f>
        <v>548693790.48365068</v>
      </c>
      <c r="Q5" s="57">
        <f>'Purchased Power Model '!O192</f>
        <v>557091074.23105323</v>
      </c>
      <c r="R5" s="30">
        <f>'Purchased Power Model '!O193</f>
        <v>565451057.31606245</v>
      </c>
    </row>
    <row r="6" spans="1:21" ht="12.75">
      <c r="A6" s="21" t="s">
        <v>10</v>
      </c>
      <c r="B6" s="44" t="e">
        <f t="shared" si="0" ref="B6:P6">(B5-B4)/B4</f>
        <v>#DIV/0!</v>
      </c>
      <c r="C6" s="44" t="e">
        <f t="shared" si="0"/>
        <v>#DIV/0!</v>
      </c>
      <c r="D6" s="44" t="e">
        <f t="shared" si="0"/>
        <v>#DIV/0!</v>
      </c>
      <c r="E6" s="44">
        <f t="shared" si="0"/>
        <v>-0.0048638469834751336</v>
      </c>
      <c r="F6" s="44">
        <f t="shared" si="0"/>
        <v>-0.0034469958601021904</v>
      </c>
      <c r="G6" s="44">
        <f t="shared" si="0"/>
        <v>0.0084077782576739771</v>
      </c>
      <c r="H6" s="44">
        <f t="shared" si="0"/>
        <v>0.010827222499311858</v>
      </c>
      <c r="I6" s="44">
        <f t="shared" si="0"/>
        <v>-0.0013854688311641433</v>
      </c>
      <c r="J6" s="44">
        <f t="shared" si="0"/>
        <v>-0.0022539619738986012</v>
      </c>
      <c r="K6" s="44">
        <f t="shared" si="0"/>
        <v>0.0056996301432912459</v>
      </c>
      <c r="L6" s="44">
        <f t="shared" si="0"/>
        <v>-0.013760020189964965</v>
      </c>
      <c r="M6" s="44">
        <f t="shared" si="0"/>
        <v>-0.0069415264242605424</v>
      </c>
      <c r="N6" s="44">
        <f t="shared" si="0"/>
        <v>0.0091426715687839399</v>
      </c>
      <c r="O6" s="44">
        <f t="shared" si="0"/>
        <v>0.0012814670394554022</v>
      </c>
      <c r="P6" s="44">
        <f t="shared" si="0"/>
        <v>-0.0020712325384409434</v>
      </c>
      <c r="Q6" s="58"/>
      <c r="R6" s="49"/>
      <c r="S6" s="50"/>
      <c r="T6" s="32"/>
      <c r="U6" s="32"/>
    </row>
    <row r="7" spans="1:17" ht="12.75">
      <c r="A7" s="2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56"/>
    </row>
    <row r="8" spans="1:18" ht="12.75">
      <c r="A8" s="21" t="s">
        <v>74</v>
      </c>
      <c r="B8" s="30" t="e">
        <f>#REF!</f>
        <v>#REF!</v>
      </c>
      <c r="C8" s="30" t="e">
        <f>#REF!</f>
        <v>#REF!</v>
      </c>
      <c r="D8" s="30" t="e">
        <f>#REF!</f>
        <v>#REF!</v>
      </c>
      <c r="E8" s="30">
        <f>'Rate Class Energy Model'!G5</f>
        <v>432666845.60000199</v>
      </c>
      <c r="F8" s="30">
        <f>'Rate Class Energy Model'!G6</f>
        <v>439067347.78000152</v>
      </c>
      <c r="G8" s="30">
        <f>'Rate Class Energy Model'!G7</f>
        <v>463814907.0500015</v>
      </c>
      <c r="H8" s="30">
        <f>'Rate Class Energy Model'!G8</f>
        <v>464739829.6385175</v>
      </c>
      <c r="I8" s="30">
        <f>'Rate Class Energy Model'!G9</f>
        <v>486354858.93703115</v>
      </c>
      <c r="J8" s="30">
        <f>'Rate Class Energy Model'!G10</f>
        <v>484450482.16240931</v>
      </c>
      <c r="K8" s="30">
        <f>'Rate Class Energy Model'!$G11</f>
        <v>479731715.26329255</v>
      </c>
      <c r="L8" s="30">
        <f>'Rate Class Energy Model'!$G12</f>
        <v>503997902.79419905</v>
      </c>
      <c r="M8" s="30">
        <f>'Rate Class Energy Model'!$G13</f>
        <v>502886983.03080952</v>
      </c>
      <c r="N8" s="30">
        <f>'Rate Class Energy Model'!$G14</f>
        <v>503784317.31962299</v>
      </c>
      <c r="O8" s="30">
        <f>'Rate Class Energy Model'!$G15</f>
        <v>512030353.4829101</v>
      </c>
      <c r="P8" s="30">
        <f>'Rate Class Energy Model'!$G16</f>
        <v>522556553.86407334</v>
      </c>
      <c r="Q8" s="57">
        <f>'Rate Class Energy Model'!G17</f>
        <v>526316113.50996381</v>
      </c>
      <c r="R8" s="30">
        <f>'Rate Class Energy Model'!G18</f>
        <v>534214272.37453431</v>
      </c>
    </row>
    <row r="9" spans="1:16" ht="12.75">
      <c r="A9" s="21"/>
      <c r="B9" s="41"/>
      <c r="C9" s="41"/>
      <c r="D9" s="41"/>
      <c r="E9" s="41"/>
      <c r="F9" s="41"/>
      <c r="G9" s="41"/>
      <c r="H9" s="41"/>
      <c r="I9" s="41"/>
      <c r="K9" s="24"/>
      <c r="L9" s="24"/>
      <c r="M9" s="24"/>
      <c r="N9" s="24"/>
      <c r="O9" s="24"/>
      <c r="P9" s="24"/>
    </row>
    <row r="10" ht="15.75">
      <c r="A10" s="43" t="s">
        <v>73</v>
      </c>
    </row>
    <row r="11" ht="12.75">
      <c r="A11" s="42" t="str">
        <f>'Rate Class Energy Model'!H2</f>
        <v>Residential</v>
      </c>
    </row>
    <row r="12" spans="1:18" ht="12.75">
      <c r="A12" t="s">
        <v>58</v>
      </c>
      <c r="B12" s="6" t="e">
        <f>#REF!</f>
        <v>#REF!</v>
      </c>
      <c r="C12" s="6" t="e">
        <f>#REF!</f>
        <v>#REF!</v>
      </c>
      <c r="D12" s="6" t="e">
        <f>#REF!</f>
        <v>#REF!</v>
      </c>
      <c r="E12" s="6">
        <f>'Rate Class Customer Model'!B3</f>
        <v>16143.999999999996</v>
      </c>
      <c r="F12" s="6">
        <f>'Rate Class Customer Model'!B4</f>
        <v>16646</v>
      </c>
      <c r="G12" s="6">
        <f>'Rate Class Customer Model'!B5</f>
        <v>17301.000000000007</v>
      </c>
      <c r="H12" s="6">
        <f>'Rate Class Customer Model'!B6</f>
        <v>17912.50</v>
      </c>
      <c r="I12" s="6">
        <f>'Rate Class Customer Model'!B7</f>
        <v>18284.000000000007</v>
      </c>
      <c r="J12" s="6">
        <f>'Rate Class Customer Model'!B8</f>
        <v>18498.499999999993</v>
      </c>
      <c r="K12" s="6">
        <f>'Rate Class Customer Model'!B9</f>
        <v>18697.499999999993</v>
      </c>
      <c r="L12" s="6">
        <f>'Rate Class Customer Model'!$B$10</f>
        <v>18866.499999999993</v>
      </c>
      <c r="M12" s="6">
        <f>'Rate Class Customer Model'!$B$11</f>
        <v>19136</v>
      </c>
      <c r="N12" s="6">
        <f>'Rate Class Customer Model'!$B$12</f>
        <v>19194</v>
      </c>
      <c r="O12" s="6">
        <f>'Rate Class Customer Model'!$B$13</f>
        <v>19511</v>
      </c>
      <c r="P12" s="6">
        <f>'Rate Class Customer Model'!$B$14</f>
        <v>19623</v>
      </c>
      <c r="Q12" s="28">
        <f>'Rate Class Customer Model'!B15</f>
        <v>19801</v>
      </c>
      <c r="R12" s="6">
        <f>'Rate Class Customer Model'!B16</f>
        <v>19970.829969943254</v>
      </c>
    </row>
    <row r="13" spans="1:18" ht="12.75">
      <c r="A13" t="s">
        <v>59</v>
      </c>
      <c r="B13" s="6" t="e">
        <f>#REF!</f>
        <v>#REF!</v>
      </c>
      <c r="C13" s="6" t="e">
        <f>#REF!</f>
        <v>#REF!</v>
      </c>
      <c r="D13" s="6" t="e">
        <f>#REF!</f>
        <v>#REF!</v>
      </c>
      <c r="E13" s="6">
        <f>'Rate Class Energy Model'!H5</f>
        <v>186765796.95000193</v>
      </c>
      <c r="F13" s="6">
        <f>'Rate Class Energy Model'!H6</f>
        <v>187584209.03000146</v>
      </c>
      <c r="G13" s="6">
        <f>'Rate Class Energy Model'!H7</f>
        <v>204051554.23000142</v>
      </c>
      <c r="H13" s="6">
        <f>'Rate Class Energy Model'!H8</f>
        <v>208252114.42851749</v>
      </c>
      <c r="I13" s="6">
        <f>'Rate Class Energy Model'!H9</f>
        <v>215639884.4250311</v>
      </c>
      <c r="J13" s="6">
        <f>'Rate Class Energy Model'!H10</f>
        <v>215956299.65178156</v>
      </c>
      <c r="K13" s="6">
        <f>'Rate Class Energy Model'!$H$11</f>
        <v>212713635.49544728</v>
      </c>
      <c r="L13" s="6">
        <f>'Rate Class Energy Model'!$H$12</f>
        <v>218483109.41526213</v>
      </c>
      <c r="M13" s="6">
        <f>'Rate Class Energy Model'!$H$13</f>
        <v>212292285.48903894</v>
      </c>
      <c r="N13" s="6">
        <f>'Rate Class Energy Model'!$H$14</f>
        <v>218115539.22785237</v>
      </c>
      <c r="O13" s="6">
        <f>'Rate Class Energy Model'!$H$15</f>
        <v>212567993.47163951</v>
      </c>
      <c r="P13" s="6">
        <f>'Rate Class Energy Model'!$H$16</f>
        <v>208601259.4806369</v>
      </c>
      <c r="Q13" s="28">
        <f>'Rate Class Energy Model'!H66</f>
        <v>210416783.53398567</v>
      </c>
      <c r="R13" s="6">
        <f>'Rate Class Energy Model'!H67</f>
        <v>209957407.21145245</v>
      </c>
    </row>
    <row r="14" spans="10:18" ht="12.75">
      <c r="J14" s="50"/>
      <c r="K14" s="24"/>
      <c r="L14" s="24"/>
      <c r="M14" s="24"/>
      <c r="N14" s="24"/>
      <c r="O14" s="24"/>
      <c r="P14" s="24"/>
      <c r="R14" s="49"/>
    </row>
    <row r="15" ht="12.75">
      <c r="A15" s="42" t="str">
        <f>'Rate Class Energy Model'!I2</f>
        <v>GS&lt;50</v>
      </c>
    </row>
    <row r="16" spans="1:18" ht="12.75">
      <c r="A16" t="s">
        <v>58</v>
      </c>
      <c r="B16" s="6" t="e">
        <f>#REF!</f>
        <v>#REF!</v>
      </c>
      <c r="C16" s="6" t="e">
        <f>#REF!</f>
        <v>#REF!</v>
      </c>
      <c r="D16" s="6" t="e">
        <f>#REF!</f>
        <v>#REF!</v>
      </c>
      <c r="E16" s="6">
        <f>'Rate Class Customer Model'!C3</f>
        <v>1526</v>
      </c>
      <c r="F16" s="6">
        <f>'Rate Class Customer Model'!C4</f>
        <v>1596.0000000000005</v>
      </c>
      <c r="G16" s="6">
        <f>'Rate Class Customer Model'!C5</f>
        <v>1660</v>
      </c>
      <c r="H16" s="6">
        <f>'Rate Class Customer Model'!C6</f>
        <v>1571.50</v>
      </c>
      <c r="I16" s="6">
        <f>'Rate Class Customer Model'!C7</f>
        <v>1501</v>
      </c>
      <c r="J16" s="6">
        <f>'Rate Class Customer Model'!C8</f>
        <v>1541.9999999999996</v>
      </c>
      <c r="K16" s="6">
        <f>'Rate Class Customer Model'!C9</f>
        <v>1548.0000000000005</v>
      </c>
      <c r="L16" s="6">
        <f>'Rate Class Customer Model'!$C$10</f>
        <v>1605.5000000000005</v>
      </c>
      <c r="M16" s="6">
        <f>'Rate Class Customer Model'!$C$11</f>
        <v>1708</v>
      </c>
      <c r="N16" s="6">
        <f>'Rate Class Customer Model'!$C$12</f>
        <v>1710</v>
      </c>
      <c r="O16" s="6">
        <f>'Rate Class Customer Model'!$C$13</f>
        <v>1710</v>
      </c>
      <c r="P16" s="6">
        <f>'Rate Class Customer Model'!$C$14</f>
        <v>1701</v>
      </c>
      <c r="Q16" s="28">
        <f>'Rate Class Customer Model'!C15</f>
        <v>1912</v>
      </c>
      <c r="R16" s="6">
        <f>'Rate Class Customer Model'!C16</f>
        <v>1966.6989835948466</v>
      </c>
    </row>
    <row r="17" spans="1:18" ht="12.75">
      <c r="A17" t="s">
        <v>59</v>
      </c>
      <c r="B17" s="6" t="e">
        <f>#REF!</f>
        <v>#REF!</v>
      </c>
      <c r="C17" s="6" t="e">
        <f>#REF!</f>
        <v>#REF!</v>
      </c>
      <c r="D17" s="6" t="e">
        <f>#REF!</f>
        <v>#REF!</v>
      </c>
      <c r="E17" s="6">
        <f>'Rate Class Energy Model'!I5</f>
        <v>53904198.56000004</v>
      </c>
      <c r="F17" s="6">
        <f>'Rate Class Energy Model'!I6</f>
        <v>52548354.210000001</v>
      </c>
      <c r="G17" s="6">
        <f>'Rate Class Energy Model'!I7</f>
        <v>53400132.330000058</v>
      </c>
      <c r="H17" s="6">
        <f>'Rate Class Energy Model'!I8</f>
        <v>51568132.580000013</v>
      </c>
      <c r="I17" s="6">
        <f>'Rate Class Energy Model'!I9</f>
        <v>53694751.762000032</v>
      </c>
      <c r="J17" s="6">
        <f>'Rate Class Energy Model'!I10</f>
        <v>54967857.400627784</v>
      </c>
      <c r="K17" s="6">
        <f>'Rate Class Energy Model'!I11</f>
        <v>54450452.833235905</v>
      </c>
      <c r="L17" s="6">
        <f>'Rate Class Energy Model'!$I$12</f>
        <v>57950054.217326239</v>
      </c>
      <c r="M17" s="6">
        <f>'Rate Class Energy Model'!$I$13</f>
        <v>59283500.907326229</v>
      </c>
      <c r="N17" s="6">
        <f>'Rate Class Energy Model'!$I$14</f>
        <v>59268857.75732626</v>
      </c>
      <c r="O17" s="6">
        <f>'Rate Class Energy Model'!$I$15</f>
        <v>59257379.74732624</v>
      </c>
      <c r="P17" s="6">
        <f>'Rate Class Energy Model'!$I$16</f>
        <v>53976407.622955889</v>
      </c>
      <c r="Q17" s="6">
        <f>'Rate Class Energy Model'!I66</f>
        <v>60525071.04564669</v>
      </c>
      <c r="R17" s="6">
        <f>'Rate Class Energy Model'!I67</f>
        <v>61465748.061840639</v>
      </c>
    </row>
    <row r="18" spans="10:18" ht="12.75">
      <c r="J18" s="50"/>
      <c r="K18" s="24"/>
      <c r="L18" s="24"/>
      <c r="M18" s="24"/>
      <c r="N18" s="24"/>
      <c r="O18" s="24"/>
      <c r="P18" s="24"/>
      <c r="R18" s="49"/>
    </row>
    <row r="19" spans="1:18" ht="12.75">
      <c r="A19" s="42" t="str">
        <f>'Rate Class Energy Model'!J2</f>
        <v>GS&gt;50 to 999</v>
      </c>
      <c r="R19" s="6"/>
    </row>
    <row r="20" spans="1:18" ht="12.75">
      <c r="A20" t="s">
        <v>58</v>
      </c>
      <c r="B20" s="6" t="e">
        <f>#REF!</f>
        <v>#REF!</v>
      </c>
      <c r="C20" s="6" t="e">
        <f>#REF!</f>
        <v>#REF!</v>
      </c>
      <c r="D20" s="6" t="e">
        <f>#REF!</f>
        <v>#REF!</v>
      </c>
      <c r="E20" s="6">
        <f>'Rate Class Customer Model'!D3</f>
        <v>143.49999999999994</v>
      </c>
      <c r="F20" s="6">
        <f>'Rate Class Customer Model'!D4</f>
        <v>149.99999999999994</v>
      </c>
      <c r="G20" s="6">
        <f>'Rate Class Customer Model'!D5</f>
        <v>154</v>
      </c>
      <c r="H20" s="6">
        <f>'Rate Class Customer Model'!D6</f>
        <v>150.00000000000006</v>
      </c>
      <c r="I20" s="6">
        <f>'Rate Class Customer Model'!D7</f>
        <v>151.49999999999994</v>
      </c>
      <c r="J20" s="6">
        <f>'Rate Class Customer Model'!D8</f>
        <v>157</v>
      </c>
      <c r="K20" s="6">
        <f>'Rate Class Customer Model'!D9</f>
        <v>160.50000000000006</v>
      </c>
      <c r="L20" s="6">
        <f>'Rate Class Customer Model'!$D$10</f>
        <v>167.99999999999994</v>
      </c>
      <c r="M20" s="6">
        <f>'Rate Class Customer Model'!$D$11</f>
        <v>156</v>
      </c>
      <c r="N20" s="6">
        <f>'Rate Class Customer Model'!$D$12</f>
        <v>200</v>
      </c>
      <c r="O20" s="6">
        <f>'Rate Class Customer Model'!$D$13</f>
        <v>207</v>
      </c>
      <c r="P20" s="6">
        <f>'Rate Class Customer Model'!$D$14</f>
        <v>198</v>
      </c>
      <c r="Q20" s="28">
        <f>'Rate Class Customer Model'!D15</f>
        <v>195</v>
      </c>
      <c r="R20" s="6">
        <f>'Rate Class Customer Model'!D16</f>
        <v>206.18739637090999</v>
      </c>
    </row>
    <row r="21" spans="1:20" ht="12.75">
      <c r="A21" t="s">
        <v>59</v>
      </c>
      <c r="B21" s="6" t="e">
        <f>#REF!</f>
        <v>#REF!</v>
      </c>
      <c r="C21" s="6" t="e">
        <f>#REF!</f>
        <v>#REF!</v>
      </c>
      <c r="D21" s="6" t="e">
        <f>#REF!</f>
        <v>#REF!</v>
      </c>
      <c r="E21" s="6">
        <f>'Rate Class Energy Model'!J5</f>
        <v>95605635.429999992</v>
      </c>
      <c r="F21" s="6">
        <f>'Rate Class Energy Model'!J6</f>
        <v>100526809.53000002</v>
      </c>
      <c r="G21" s="6">
        <f>'Rate Class Energy Model'!J7</f>
        <v>108937029.5</v>
      </c>
      <c r="H21" s="6">
        <f>'Rate Class Energy Model'!J8</f>
        <v>111434995.56</v>
      </c>
      <c r="I21" s="6">
        <f>'Rate Class Energy Model'!J9</f>
        <v>114821444.94</v>
      </c>
      <c r="J21" s="6">
        <f>'Rate Class Energy Model'!J10</f>
        <v>115962505.42</v>
      </c>
      <c r="K21" s="6">
        <f>'Rate Class Energy Model'!J11</f>
        <v>120440901.12643015</v>
      </c>
      <c r="L21" s="6">
        <f>'Rate Class Energy Model'!$J$12</f>
        <v>120657967.29093055</v>
      </c>
      <c r="M21" s="6">
        <f>'Rate Class Energy Model'!$J$13</f>
        <v>120442131.38787621</v>
      </c>
      <c r="N21" s="6">
        <f>'Rate Class Energy Model'!$J$14</f>
        <v>118781620.30613004</v>
      </c>
      <c r="O21" s="6">
        <f>'Rate Class Energy Model'!$J$15</f>
        <v>122267484.43183494</v>
      </c>
      <c r="P21" s="6">
        <f>'Rate Class Energy Model'!$J$16</f>
        <v>135205064.93338111</v>
      </c>
      <c r="Q21" s="6">
        <f>'Rate Class Energy Model'!J66</f>
        <v>134190842.4989544</v>
      </c>
      <c r="R21" s="6">
        <f>'Rate Class Energy Model'!J67</f>
        <v>141883646.23203093</v>
      </c>
      <c r="T21" s="96"/>
    </row>
    <row r="22" spans="1:20" ht="12.75">
      <c r="A22" t="s">
        <v>60</v>
      </c>
      <c r="B22" s="6" t="e">
        <f>#REF!</f>
        <v>#REF!</v>
      </c>
      <c r="C22" s="6" t="e">
        <f>#REF!</f>
        <v>#REF!</v>
      </c>
      <c r="D22" s="6" t="e">
        <f>#REF!</f>
        <v>#REF!</v>
      </c>
      <c r="E22" s="6">
        <f>'Rate Class Load Model'!B2</f>
        <v>292864.41000000003</v>
      </c>
      <c r="F22" s="6">
        <f>'Rate Class Load Model'!B3</f>
        <v>298046.73</v>
      </c>
      <c r="G22" s="6">
        <f>'Rate Class Load Model'!B4</f>
        <v>276911.94999999995</v>
      </c>
      <c r="H22" s="6">
        <f>'Rate Class Load Model'!B5</f>
        <v>299829.52599999995</v>
      </c>
      <c r="I22" s="6">
        <f>'Rate Class Load Model'!B6</f>
        <v>322163.37</v>
      </c>
      <c r="J22" s="6">
        <f>'Rate Class Load Model'!B7</f>
        <v>322746.80000000005</v>
      </c>
      <c r="K22" s="6">
        <f>'Rate Class Load Model'!B8</f>
        <v>330063.74999999994</v>
      </c>
      <c r="L22" s="28">
        <f>'Rate Class Load Model'!$B$9</f>
        <v>320892.79120000004</v>
      </c>
      <c r="M22" s="28">
        <f>'Rate Class Load Model'!$B$10</f>
        <v>318710.76</v>
      </c>
      <c r="N22" s="28">
        <f>'Rate Class Load Model'!$B$11</f>
        <v>313359.68</v>
      </c>
      <c r="O22" s="28">
        <f>'Rate Class Load Model'!$B$12</f>
        <v>321135.30999999994</v>
      </c>
      <c r="P22" s="28">
        <f>'Rate Class Load Model'!$B$13</f>
        <v>362945.97000000003</v>
      </c>
      <c r="Q22" s="6">
        <f>'Rate Class Load Model'!B14</f>
        <v>355732.47900861094</v>
      </c>
      <c r="R22" s="6">
        <f>'Rate Class Load Model'!B15</f>
        <v>376125.67493414757</v>
      </c>
      <c r="T22" s="96"/>
    </row>
    <row r="23" spans="10:18" ht="12.75">
      <c r="J23" s="50"/>
      <c r="K23" s="24"/>
      <c r="L23" s="24"/>
      <c r="M23" s="24"/>
      <c r="N23" s="24"/>
      <c r="O23" s="24"/>
      <c r="P23" s="24"/>
      <c r="R23" s="49"/>
    </row>
    <row r="24" spans="1:18" ht="12.75">
      <c r="A24" s="42" t="str">
        <f>'Rate Class Energy Model'!K2</f>
        <v>GS&gt; 1000 to 4999</v>
      </c>
      <c r="R24" s="6"/>
    </row>
    <row r="25" spans="1:18" ht="12.75">
      <c r="A25" t="s">
        <v>58</v>
      </c>
      <c r="B25" s="6" t="e">
        <f>#REF!</f>
        <v>#REF!</v>
      </c>
      <c r="C25" s="6" t="e">
        <f>#REF!</f>
        <v>#REF!</v>
      </c>
      <c r="D25" s="6" t="e">
        <f>#REF!</f>
        <v>#REF!</v>
      </c>
      <c r="E25" s="6">
        <f>'Rate Class Customer Model'!E3</f>
        <v>8</v>
      </c>
      <c r="F25" s="6">
        <f>'Rate Class Customer Model'!E4</f>
        <v>8</v>
      </c>
      <c r="G25" s="6">
        <f>'Rate Class Customer Model'!E5</f>
        <v>8</v>
      </c>
      <c r="H25" s="6">
        <f>'Rate Class Customer Model'!E6</f>
        <v>8.9999999999999964</v>
      </c>
      <c r="I25" s="6">
        <f>'Rate Class Customer Model'!E7</f>
        <v>10</v>
      </c>
      <c r="J25" s="6">
        <f>'Rate Class Customer Model'!E8</f>
        <v>10</v>
      </c>
      <c r="K25" s="6">
        <f>'Rate Class Customer Model'!E9</f>
        <v>10</v>
      </c>
      <c r="L25" s="6">
        <f>'Rate Class Customer Model'!$E$10</f>
        <v>10.999999999999996</v>
      </c>
      <c r="M25" s="6">
        <f>'Rate Class Customer Model'!$E$11</f>
        <v>12</v>
      </c>
      <c r="N25" s="6">
        <f>'Rate Class Customer Model'!$E$12</f>
        <v>12</v>
      </c>
      <c r="O25" s="6">
        <f>'Rate Class Customer Model'!$E$13</f>
        <v>13</v>
      </c>
      <c r="P25" s="6">
        <f>'Rate Class Customer Model'!$E$14</f>
        <v>13.13</v>
      </c>
      <c r="Q25" s="28">
        <f>'Rate Class Customer Model'!E15</f>
        <v>13</v>
      </c>
      <c r="R25" s="6">
        <f>'Rate Class Customer Model'!E16</f>
        <v>13.262759024987531</v>
      </c>
    </row>
    <row r="26" spans="1:20" ht="12.75">
      <c r="A26" t="s">
        <v>59</v>
      </c>
      <c r="B26" s="6" t="e">
        <f>#REF!</f>
        <v>#REF!</v>
      </c>
      <c r="C26" s="6" t="e">
        <f>#REF!</f>
        <v>#REF!</v>
      </c>
      <c r="D26" s="6" t="e">
        <f>#REF!</f>
        <v>#REF!</v>
      </c>
      <c r="E26" s="6">
        <f>'Rate Class Energy Model'!K5</f>
        <v>93745282.329999998</v>
      </c>
      <c r="F26" s="6">
        <f>'Rate Class Energy Model'!K6</f>
        <v>95675788.049999982</v>
      </c>
      <c r="G26" s="6">
        <f>'Rate Class Energy Model'!K7</f>
        <v>94637561.370000005</v>
      </c>
      <c r="H26" s="6">
        <f>'Rate Class Energy Model'!K8</f>
        <v>89631034.289999977</v>
      </c>
      <c r="I26" s="6">
        <f>'Rate Class Energy Model'!K9</f>
        <v>98222154.929999992</v>
      </c>
      <c r="J26" s="6">
        <f>'Rate Class Energy Model'!K10</f>
        <v>93577346.780000001</v>
      </c>
      <c r="K26" s="6">
        <f>'Rate Class Energy Model'!K11</f>
        <v>88022483.93817918</v>
      </c>
      <c r="L26" s="6">
        <f>'Rate Class Energy Model'!$K$12</f>
        <v>102711186.54068013</v>
      </c>
      <c r="M26" s="6">
        <f>'Rate Class Energy Model'!$K$13</f>
        <v>106799063.24656813</v>
      </c>
      <c r="N26" s="6">
        <f>'Rate Class Energy Model'!$K$14</f>
        <v>103523740.7583143</v>
      </c>
      <c r="O26" s="6">
        <f>'Rate Class Energy Model'!$K$15</f>
        <v>113824139.36260942</v>
      </c>
      <c r="P26" s="6">
        <f>'Rate Class Energy Model'!$K$16</f>
        <v>120619929.01350442</v>
      </c>
      <c r="Q26" s="6">
        <f>'Rate Class Energy Model'!K66</f>
        <v>116974711.41988847</v>
      </c>
      <c r="R26" s="6">
        <f>'Rate Class Energy Model'!K67</f>
        <v>116660067.50550972</v>
      </c>
      <c r="T26" s="96"/>
    </row>
    <row r="27" spans="1:20" ht="12.75">
      <c r="A27" t="s">
        <v>60</v>
      </c>
      <c r="B27" s="6" t="e">
        <f>#REF!</f>
        <v>#REF!</v>
      </c>
      <c r="C27" s="6" t="e">
        <f>#REF!</f>
        <v>#REF!</v>
      </c>
      <c r="D27" s="6" t="e">
        <f>#REF!</f>
        <v>#REF!</v>
      </c>
      <c r="E27" s="6">
        <f>'Rate Class Load Model'!C2</f>
        <v>235859</v>
      </c>
      <c r="F27" s="6">
        <f>'Rate Class Load Model'!C3</f>
        <v>236202.55</v>
      </c>
      <c r="G27" s="6">
        <f>'Rate Class Load Model'!C4</f>
        <v>235749.59</v>
      </c>
      <c r="H27" s="6">
        <f>'Rate Class Load Model'!C5</f>
        <v>250935.3768</v>
      </c>
      <c r="I27" s="6">
        <f>'Rate Class Load Model'!C6</f>
        <v>282975.62</v>
      </c>
      <c r="J27" s="6">
        <f>'Rate Class Load Model'!C7</f>
        <v>265624.51</v>
      </c>
      <c r="K27" s="6">
        <f>'Rate Class Load Model'!C8</f>
        <v>257988.30</v>
      </c>
      <c r="L27" s="28">
        <f>'Rate Class Load Model'!$C$9</f>
        <v>285634.91000000003</v>
      </c>
      <c r="M27" s="28">
        <f>'Rate Class Load Model'!$C$10</f>
        <v>294618.27999999997</v>
      </c>
      <c r="N27" s="28">
        <f>'Rate Class Load Model'!$C$11</f>
        <v>289208.77999999997</v>
      </c>
      <c r="O27" s="28">
        <f>'Rate Class Load Model'!$C$12</f>
        <v>296491.61</v>
      </c>
      <c r="P27" s="28">
        <f>'Rate Class Load Model'!$C$13</f>
        <v>307814.96999999991</v>
      </c>
      <c r="Q27" s="6">
        <f>'Rate Class Load Model'!C14</f>
        <v>315597.41265660711</v>
      </c>
      <c r="R27" s="6">
        <f>'Rate Class Load Model'!C15</f>
        <v>314748.5043406068</v>
      </c>
      <c r="T27" s="96"/>
    </row>
    <row r="28" spans="10:18" ht="12.75">
      <c r="J28" s="50"/>
      <c r="K28" s="24"/>
      <c r="L28" s="24"/>
      <c r="M28" s="24"/>
      <c r="N28" s="24"/>
      <c r="O28" s="24"/>
      <c r="P28" s="24"/>
      <c r="R28" s="49"/>
    </row>
    <row r="29" spans="1:18" ht="12.75">
      <c r="A29" s="42" t="str">
        <f>'Rate Class Energy Model'!L2</f>
        <v>Sentinels</v>
      </c>
      <c r="R29" s="6"/>
    </row>
    <row r="30" spans="1:18" ht="12.75">
      <c r="A30" t="s">
        <v>84</v>
      </c>
      <c r="B30" s="6" t="e">
        <f>#REF!</f>
        <v>#REF!</v>
      </c>
      <c r="C30" s="6" t="e">
        <f>#REF!</f>
        <v>#REF!</v>
      </c>
      <c r="D30" s="6" t="e">
        <f>#REF!</f>
        <v>#REF!</v>
      </c>
      <c r="E30" s="6">
        <f>'Rate Class Customer Model'!F3</f>
        <v>355.50</v>
      </c>
      <c r="F30" s="6">
        <f>'Rate Class Customer Model'!F4</f>
        <v>326.50000000000011</v>
      </c>
      <c r="G30" s="6">
        <f>'Rate Class Customer Model'!F5</f>
        <v>325.50000000000011</v>
      </c>
      <c r="H30" s="6">
        <f>'Rate Class Customer Model'!F6</f>
        <v>365.50</v>
      </c>
      <c r="I30" s="6">
        <f>'Rate Class Customer Model'!F7</f>
        <v>373.49999999999989</v>
      </c>
      <c r="J30" s="6">
        <f>'Rate Class Customer Model'!F8</f>
        <v>324.99999999999989</v>
      </c>
      <c r="K30" s="6">
        <f>'Rate Class Customer Model'!F9</f>
        <v>315.49999999999989</v>
      </c>
      <c r="L30" s="28">
        <f>'Rate Class Customer Model'!$F$10</f>
        <v>327.50000000000011</v>
      </c>
      <c r="M30" s="28">
        <f>'Rate Class Customer Model'!$F$11</f>
        <v>161</v>
      </c>
      <c r="N30" s="28">
        <f>'Rate Class Customer Model'!$F$12</f>
        <v>153</v>
      </c>
      <c r="O30" s="28">
        <f>'Rate Class Customer Model'!$F$13</f>
        <v>177</v>
      </c>
      <c r="P30" s="28">
        <f>'Rate Class Customer Model'!$F$14</f>
        <v>170</v>
      </c>
      <c r="Q30" s="6">
        <f>'Rate Class Customer Model'!F15</f>
        <v>172</v>
      </c>
      <c r="R30" s="6">
        <f>'Rate Class Customer Model'!F16</f>
        <v>174.86548212493437</v>
      </c>
    </row>
    <row r="31" spans="1:18" ht="12.75">
      <c r="A31" t="s">
        <v>59</v>
      </c>
      <c r="B31" s="6" t="e">
        <f>#REF!</f>
        <v>#REF!</v>
      </c>
      <c r="C31" s="6" t="e">
        <f>#REF!</f>
        <v>#REF!</v>
      </c>
      <c r="D31" s="6" t="e">
        <f>#REF!</f>
        <v>#REF!</v>
      </c>
      <c r="E31" s="6">
        <f>'Rate Class Energy Model'!L5</f>
        <v>286934.61000000004</v>
      </c>
      <c r="F31" s="6">
        <f>'Rate Class Energy Model'!L6</f>
        <v>284179.90999999992</v>
      </c>
      <c r="G31" s="6">
        <f>'Rate Class Energy Model'!L7</f>
        <v>321692.96000000002</v>
      </c>
      <c r="H31" s="6">
        <f>'Rate Class Energy Model'!L8</f>
        <v>367014.05</v>
      </c>
      <c r="I31" s="6">
        <f>'Rate Class Energy Model'!L9</f>
        <v>473516.96999999991</v>
      </c>
      <c r="J31" s="6">
        <f>'Rate Class Energy Model'!L10</f>
        <v>458396.86999999988</v>
      </c>
      <c r="K31" s="6">
        <f>'Rate Class Energy Model'!L11</f>
        <v>530578</v>
      </c>
      <c r="L31" s="6">
        <f>'Rate Class Energy Model'!$L$12</f>
        <v>571306.28</v>
      </c>
      <c r="M31" s="6">
        <f>'Rate Class Energy Model'!$L$13</f>
        <v>435095</v>
      </c>
      <c r="N31" s="6">
        <f>'Rate Class Energy Model'!$L$14</f>
        <v>439445.95</v>
      </c>
      <c r="O31" s="6">
        <f>'Rate Class Energy Model'!$L$15</f>
        <v>443840.40950000001</v>
      </c>
      <c r="P31" s="6">
        <f>'Rate Class Energy Model'!$L$16</f>
        <v>448278.81359500001</v>
      </c>
      <c r="Q31" s="6">
        <f>'Rate Class Energy Model'!L66</f>
        <v>453552.68199023529</v>
      </c>
      <c r="R31" s="6">
        <f>'Rate Class Energy Model'!L63</f>
        <v>461108.76979813684</v>
      </c>
    </row>
    <row r="32" spans="1:18" ht="12.75">
      <c r="A32" t="s">
        <v>60</v>
      </c>
      <c r="B32" s="6" t="e">
        <f>#REF!</f>
        <v>#REF!</v>
      </c>
      <c r="C32" s="6" t="e">
        <f>#REF!</f>
        <v>#REF!</v>
      </c>
      <c r="D32" s="6" t="e">
        <f>#REF!</f>
        <v>#REF!</v>
      </c>
      <c r="E32" s="6">
        <f>'Rate Class Load Model'!D2</f>
        <v>1090.8200000000006</v>
      </c>
      <c r="F32" s="6">
        <f>'Rate Class Load Model'!D3</f>
        <v>1155.1400000000012</v>
      </c>
      <c r="G32" s="6">
        <f>'Rate Class Load Model'!D4</f>
        <v>806.75000000000068</v>
      </c>
      <c r="H32" s="6">
        <f>'Rate Class Load Model'!D5</f>
        <v>643.70999999999981</v>
      </c>
      <c r="I32" s="6">
        <f>'Rate Class Load Model'!D6</f>
        <v>635.96999999999991</v>
      </c>
      <c r="J32" s="6">
        <f>'Rate Class Load Model'!D7</f>
        <v>627.91999999999996</v>
      </c>
      <c r="K32" s="6">
        <f>'Rate Class Load Model'!D8</f>
        <v>615.68000000000006</v>
      </c>
      <c r="L32" s="28">
        <f>'Rate Class Load Model'!$D$9</f>
        <v>585.82999999999993</v>
      </c>
      <c r="M32" s="28">
        <f>'Rate Class Load Model'!$D$10</f>
        <v>530.20999999999992</v>
      </c>
      <c r="N32" s="28">
        <f>'Rate Class Load Model'!$D$11</f>
        <v>649.59999999999991</v>
      </c>
      <c r="O32" s="28">
        <f>'Rate Class Load Model'!$D$12</f>
        <v>675.93</v>
      </c>
      <c r="P32" s="28">
        <f>'Rate Class Load Model'!$D$13</f>
        <v>703.32722429187197</v>
      </c>
      <c r="Q32" s="6">
        <f>'Rate Class Load Model'!D14</f>
        <v>618.11221391042602</v>
      </c>
      <c r="R32" s="6">
        <f>'Rate Class Load Model'!D15</f>
        <v>628.40982728347217</v>
      </c>
    </row>
    <row r="33" spans="2:18" ht="12.7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8"/>
      <c r="R33" s="6"/>
    </row>
    <row r="34" spans="1:18" ht="12.75">
      <c r="A34" s="42" t="str">
        <f>'Rate Class Energy Model'!M2</f>
        <v>Streetlights</v>
      </c>
      <c r="R34" s="6"/>
    </row>
    <row r="35" spans="1:18" ht="12.75">
      <c r="A35" t="s">
        <v>84</v>
      </c>
      <c r="B35" s="6" t="e">
        <f>#REF!</f>
        <v>#REF!</v>
      </c>
      <c r="C35" s="6" t="e">
        <f>#REF!</f>
        <v>#REF!</v>
      </c>
      <c r="D35" s="6" t="e">
        <f>#REF!</f>
        <v>#REF!</v>
      </c>
      <c r="E35" s="6">
        <f>'Rate Class Customer Model'!G3</f>
        <v>3803.50</v>
      </c>
      <c r="F35" s="6">
        <f>'Rate Class Customer Model'!G4</f>
        <v>3945.0000000000009</v>
      </c>
      <c r="G35" s="6">
        <f>'Rate Class Customer Model'!G5</f>
        <v>4082.9999999999991</v>
      </c>
      <c r="H35" s="6">
        <f>'Rate Class Customer Model'!G6</f>
        <v>4216.4999999999982</v>
      </c>
      <c r="I35" s="6">
        <f>'Rate Class Customer Model'!G7</f>
        <v>4291.5000000000018</v>
      </c>
      <c r="J35" s="6">
        <f>'Rate Class Customer Model'!G8</f>
        <v>4311.5000000000018</v>
      </c>
      <c r="K35" s="6">
        <f>'Rate Class Customer Model'!G9</f>
        <v>4332.4999999999982</v>
      </c>
      <c r="L35" s="28">
        <f>'Rate Class Customer Model'!$G$10</f>
        <v>4361.50</v>
      </c>
      <c r="M35" s="28">
        <f>'Rate Class Customer Model'!$G$11</f>
        <v>4387</v>
      </c>
      <c r="N35" s="28">
        <f>'Rate Class Customer Model'!$G$12</f>
        <v>4417</v>
      </c>
      <c r="O35" s="28">
        <f>'Rate Class Customer Model'!$G$13</f>
        <v>4477</v>
      </c>
      <c r="P35" s="28">
        <f>'Rate Class Customer Model'!$G$14</f>
        <v>4477</v>
      </c>
      <c r="Q35" s="6">
        <f>'Rate Class Customer Model'!G15</f>
        <v>4595</v>
      </c>
      <c r="R35" s="6">
        <f>'Rate Class Customer Model'!G16</f>
        <v>4648.5230208224757</v>
      </c>
    </row>
    <row r="36" spans="1:18" ht="12.75">
      <c r="A36" t="s">
        <v>59</v>
      </c>
      <c r="B36" s="6" t="e">
        <f>#REF!</f>
        <v>#REF!</v>
      </c>
      <c r="C36" s="6" t="e">
        <f>#REF!</f>
        <v>#REF!</v>
      </c>
      <c r="D36" s="6" t="e">
        <f>#REF!</f>
        <v>#REF!</v>
      </c>
      <c r="E36" s="6">
        <f>'Rate Class Energy Model'!M5</f>
        <v>2358997.7199999997</v>
      </c>
      <c r="F36" s="6">
        <f>'Rate Class Energy Model'!M6</f>
        <v>2448007.0499999998</v>
      </c>
      <c r="G36" s="6">
        <f>'Rate Class Energy Model'!M7</f>
        <v>2465526.9299999997</v>
      </c>
      <c r="H36" s="6">
        <f>'Rate Class Energy Model'!M8</f>
        <v>2629569.87</v>
      </c>
      <c r="I36" s="6">
        <f>'Rate Class Energy Model'!M9</f>
        <v>2649774.84</v>
      </c>
      <c r="J36" s="6">
        <f>'Rate Class Energy Model'!M10</f>
        <v>2670158.7100000004</v>
      </c>
      <c r="K36" s="6">
        <f>'Rate Class Energy Model'!M11</f>
        <v>2664323.25</v>
      </c>
      <c r="L36" s="6">
        <f>'Rate Class Energy Model'!$M$12</f>
        <v>2708302.56</v>
      </c>
      <c r="M36" s="6">
        <f>'Rate Class Energy Model'!$M$13</f>
        <v>2743202</v>
      </c>
      <c r="N36" s="6">
        <f>'Rate Class Energy Model'!$M$14</f>
        <v>2762363.48</v>
      </c>
      <c r="O36" s="6">
        <f>'Rate Class Energy Model'!$M$15</f>
        <v>2769251.2600000002</v>
      </c>
      <c r="P36" s="6">
        <f>'Rate Class Energy Model'!$M$16</f>
        <v>2782603</v>
      </c>
      <c r="Q36" s="6">
        <f>'Rate Class Energy Model'!M66</f>
        <v>2856493.9701827406</v>
      </c>
      <c r="R36" s="70">
        <f>'Rate Class Energy Model'!M67</f>
        <v>2890323.2955556107</v>
      </c>
    </row>
    <row r="37" spans="1:18" ht="12.75">
      <c r="A37" t="s">
        <v>60</v>
      </c>
      <c r="B37" s="6" t="e">
        <f>#REF!</f>
        <v>#REF!</v>
      </c>
      <c r="C37" s="6" t="e">
        <f>#REF!</f>
        <v>#REF!</v>
      </c>
      <c r="D37" s="6" t="e">
        <f>#REF!</f>
        <v>#REF!</v>
      </c>
      <c r="E37" s="6">
        <f>'Rate Class Load Model'!E2</f>
        <v>6764</v>
      </c>
      <c r="F37" s="6">
        <f>'Rate Class Load Model'!E3</f>
        <v>6796</v>
      </c>
      <c r="G37" s="6">
        <f>'Rate Class Load Model'!E4</f>
        <v>6855.37</v>
      </c>
      <c r="H37" s="6">
        <f>'Rate Class Load Model'!E5</f>
        <v>7431.4600000000009</v>
      </c>
      <c r="I37" s="6">
        <f>'Rate Class Load Model'!E6</f>
        <v>7477.1900000000014</v>
      </c>
      <c r="J37" s="6">
        <f>'Rate Class Load Model'!E7</f>
        <v>7513.5100000000011</v>
      </c>
      <c r="K37" s="6">
        <f>'Rate Class Load Model'!E8</f>
        <v>7542.3500000000013</v>
      </c>
      <c r="L37" s="28">
        <f>'Rate Class Load Model'!$E$9</f>
        <v>7569.3000000000011</v>
      </c>
      <c r="M37" s="28">
        <f>'Rate Class Load Model'!$E$10</f>
        <v>7634.1600000000008</v>
      </c>
      <c r="N37" s="28">
        <f>'Rate Class Load Model'!$E$11</f>
        <v>7680.7800000000007</v>
      </c>
      <c r="O37" s="28">
        <f>'Rate Class Load Model'!$E$12</f>
        <v>7730.8799999999992</v>
      </c>
      <c r="P37" s="28">
        <f>'Rate Class Load Model'!$E$13</f>
        <v>7764.2099999999982</v>
      </c>
      <c r="Q37" s="6">
        <f>'Rate Class Load Model'!E14</f>
        <v>7964.0495972316767</v>
      </c>
      <c r="R37" s="6">
        <f>'Rate Class Load Model'!E15</f>
        <v>8058.3674665927629</v>
      </c>
    </row>
    <row r="39" ht="12.75">
      <c r="A39" s="42" t="str">
        <f>'Rate Class Energy Model'!N2</f>
        <v>USL</v>
      </c>
    </row>
    <row r="40" spans="1:18" ht="12.75">
      <c r="A40" t="s">
        <v>84</v>
      </c>
      <c r="B40" s="6" t="e">
        <f>#REF!</f>
        <v>#REF!</v>
      </c>
      <c r="C40" s="6" t="e">
        <f>#REF!</f>
        <v>#REF!</v>
      </c>
      <c r="D40" s="6" t="e">
        <f>#REF!</f>
        <v>#REF!</v>
      </c>
      <c r="E40" s="6">
        <f>'Rate Class Customer Model'!H3</f>
        <v>0</v>
      </c>
      <c r="F40" s="6">
        <f>'Rate Class Customer Model'!H4</f>
        <v>0</v>
      </c>
      <c r="G40" s="6">
        <f>'Rate Class Customer Model'!H5</f>
        <v>0.99999999999999989</v>
      </c>
      <c r="H40" s="6">
        <f>'Rate Class Customer Model'!H6</f>
        <v>66.50</v>
      </c>
      <c r="I40" s="6">
        <f>'Rate Class Customer Model'!H7</f>
        <v>133.49999999999994</v>
      </c>
      <c r="J40" s="6">
        <f>'Rate Class Customer Model'!H8</f>
        <v>136</v>
      </c>
      <c r="K40" s="6">
        <f>'Rate Class Customer Model'!H9</f>
        <v>136</v>
      </c>
      <c r="L40" s="28">
        <f>'Rate Class Customer Model'!$H$10</f>
        <v>137.50</v>
      </c>
      <c r="M40" s="28">
        <f>'Rate Class Customer Model'!$H$11</f>
        <v>144</v>
      </c>
      <c r="N40" s="28">
        <f>'Rate Class Customer Model'!$H$12</f>
        <v>151</v>
      </c>
      <c r="O40" s="28">
        <f>'Rate Class Customer Model'!$H$13</f>
        <v>146</v>
      </c>
      <c r="P40" s="28">
        <f>'Rate Class Customer Model'!$H$14</f>
        <v>147.46</v>
      </c>
      <c r="Q40" s="6">
        <f>'Rate Class Customer Model'!H15</f>
        <v>144</v>
      </c>
      <c r="R40" s="6">
        <f>'Rate Class Customer Model'!H16</f>
        <v>144</v>
      </c>
    </row>
    <row r="41" spans="1:18" ht="12.75">
      <c r="A41" t="s">
        <v>59</v>
      </c>
      <c r="B41" s="6" t="e">
        <f>#REF!</f>
        <v>#REF!</v>
      </c>
      <c r="C41" s="6" t="e">
        <f>#REF!</f>
        <v>#REF!</v>
      </c>
      <c r="D41" s="6" t="e">
        <f>#REF!</f>
        <v>#REF!</v>
      </c>
      <c r="E41" s="6">
        <f>'Rate Class Energy Model'!N5</f>
        <v>0</v>
      </c>
      <c r="F41" s="6">
        <f>'Rate Class Energy Model'!N6</f>
        <v>0</v>
      </c>
      <c r="G41" s="6">
        <f>'Rate Class Energy Model'!N7</f>
        <v>1409.73</v>
      </c>
      <c r="H41" s="6">
        <f>'Rate Class Energy Model'!N8</f>
        <v>856968.85999999987</v>
      </c>
      <c r="I41" s="6">
        <f>'Rate Class Energy Model'!N9</f>
        <v>853331.06999999937</v>
      </c>
      <c r="J41" s="6">
        <f>'Rate Class Energy Model'!N10</f>
        <v>857917.32999999938</v>
      </c>
      <c r="K41" s="6">
        <f>'Rate Class Energy Model'!N11</f>
        <v>909340.61999999941</v>
      </c>
      <c r="L41" s="6">
        <f>'Rate Class Energy Model'!$N$12</f>
        <v>915976.48999999941</v>
      </c>
      <c r="M41" s="6">
        <f>'Rate Class Energy Model'!$N$13</f>
        <v>891705</v>
      </c>
      <c r="N41" s="6">
        <f>'Rate Class Energy Model'!$N$14</f>
        <v>892749.83999999973</v>
      </c>
      <c r="O41" s="6">
        <f>'Rate Class Energy Model'!$N$15</f>
        <v>900264.79999999993</v>
      </c>
      <c r="P41" s="6">
        <f>'Rate Class Energy Model'!$N$16</f>
        <v>923011</v>
      </c>
      <c r="Q41" s="6">
        <f>'Rate Class Energy Model'!N66</f>
        <v>898658.35931569722</v>
      </c>
      <c r="R41" s="6">
        <f>'Rate Class Energy Model'!N67</f>
        <v>895971.2983467998</v>
      </c>
    </row>
    <row r="42" ht="12.75">
      <c r="R42" s="6"/>
    </row>
    <row r="43" spans="1:17" ht="12.75">
      <c r="A43" s="42" t="s">
        <v>85</v>
      </c>
      <c r="B43" s="6"/>
      <c r="C43" s="6"/>
      <c r="D43" s="6"/>
      <c r="E43" s="6"/>
      <c r="F43" s="6"/>
      <c r="G43" s="6"/>
      <c r="H43" s="6"/>
      <c r="J43" s="6"/>
      <c r="K43" s="6"/>
      <c r="L43" s="6"/>
      <c r="M43" s="6"/>
      <c r="N43" s="6"/>
      <c r="O43" s="6"/>
      <c r="P43" s="6"/>
      <c r="Q43" s="28"/>
    </row>
    <row r="44" spans="1:18" ht="12.75">
      <c r="A44" t="s">
        <v>70</v>
      </c>
      <c r="B44" s="6" t="e">
        <f>#REF!</f>
        <v>#REF!</v>
      </c>
      <c r="C44" s="6" t="e">
        <f>#REF!</f>
        <v>#REF!</v>
      </c>
      <c r="D44" s="6" t="e">
        <f>#REF!</f>
        <v>#REF!</v>
      </c>
      <c r="E44" s="6">
        <f>E12+E16+E20+E25+E30+E35+E40</f>
        <v>21980.499999999996</v>
      </c>
      <c r="F44" s="6">
        <f t="shared" si="1" ref="F44:R44">F12+F16+F20+F25+F30+F35+F40</f>
        <v>22671.50</v>
      </c>
      <c r="G44" s="6">
        <f t="shared" si="1"/>
        <v>23532.500000000007</v>
      </c>
      <c r="H44" s="6">
        <f t="shared" si="1"/>
        <v>24291.50</v>
      </c>
      <c r="I44" s="6">
        <f t="shared" si="1"/>
        <v>24745.000000000007</v>
      </c>
      <c r="J44" s="6">
        <f t="shared" si="1"/>
        <v>24979.999999999993</v>
      </c>
      <c r="K44" s="6">
        <f t="shared" si="1"/>
        <v>25199.999999999993</v>
      </c>
      <c r="L44" s="6">
        <f t="shared" si="1"/>
        <v>25477.499999999993</v>
      </c>
      <c r="M44" s="6">
        <f t="shared" si="2" ref="M44:P44">M12+M16+M20+M25+M30+M35+M40</f>
        <v>25704</v>
      </c>
      <c r="N44" s="6">
        <f t="shared" si="2"/>
        <v>25837</v>
      </c>
      <c r="O44" s="6">
        <f t="shared" si="2"/>
        <v>26241</v>
      </c>
      <c r="P44" s="6">
        <f t="shared" si="2"/>
        <v>26329.59</v>
      </c>
      <c r="Q44" s="6">
        <f t="shared" si="1"/>
        <v>26832</v>
      </c>
      <c r="R44" s="6">
        <f t="shared" si="1"/>
        <v>27124.367611881407</v>
      </c>
    </row>
    <row r="45" spans="1:18" ht="12.75">
      <c r="A45" t="s">
        <v>59</v>
      </c>
      <c r="B45" s="6" t="e">
        <f>#REF!</f>
        <v>#REF!</v>
      </c>
      <c r="C45" s="6" t="e">
        <f>#REF!</f>
        <v>#REF!</v>
      </c>
      <c r="D45" s="6" t="e">
        <f>#REF!</f>
        <v>#REF!</v>
      </c>
      <c r="E45" s="6">
        <f>E13+E17+E21+E26+E31+E36+E41</f>
        <v>432666845.60000199</v>
      </c>
      <c r="F45" s="6">
        <f t="shared" si="3" ref="F45:Q45">F13+F17+F21+F26+F31+F36+F41</f>
        <v>439067347.78000152</v>
      </c>
      <c r="G45" s="6">
        <f t="shared" si="3"/>
        <v>463814907.0500015</v>
      </c>
      <c r="H45" s="6">
        <f t="shared" si="3"/>
        <v>464739829.6385175</v>
      </c>
      <c r="I45" s="6">
        <f t="shared" si="3"/>
        <v>486354858.93703115</v>
      </c>
      <c r="J45" s="6">
        <f t="shared" si="3"/>
        <v>484450482.16240931</v>
      </c>
      <c r="K45" s="6">
        <f t="shared" si="3"/>
        <v>479731715.26329255</v>
      </c>
      <c r="L45" s="6">
        <f t="shared" si="3"/>
        <v>503997902.79419905</v>
      </c>
      <c r="M45" s="6">
        <f t="shared" si="4" ref="M45:P45">M13+M17+M21+M26+M31+M36+M41</f>
        <v>502886983.03080952</v>
      </c>
      <c r="N45" s="6">
        <f t="shared" si="4"/>
        <v>503784317.31962299</v>
      </c>
      <c r="O45" s="6">
        <f t="shared" si="4"/>
        <v>512030353.4829101</v>
      </c>
      <c r="P45" s="6">
        <f t="shared" si="4"/>
        <v>522556553.86407334</v>
      </c>
      <c r="Q45" s="6">
        <f t="shared" si="3"/>
        <v>526316113.50996381</v>
      </c>
      <c r="R45" s="6">
        <f>R13+R17+R21+R26+R31+R36+R41</f>
        <v>534214272.37453431</v>
      </c>
    </row>
    <row r="46" spans="1:18" ht="12.75">
      <c r="A46" t="s">
        <v>69</v>
      </c>
      <c r="B46" s="6" t="e">
        <f>#REF!</f>
        <v>#REF!</v>
      </c>
      <c r="C46" s="6" t="e">
        <f>#REF!</f>
        <v>#REF!</v>
      </c>
      <c r="D46" s="6" t="e">
        <f>#REF!</f>
        <v>#REF!</v>
      </c>
      <c r="E46" s="6">
        <f>E22+E27+E32+E37</f>
        <v>536578.23</v>
      </c>
      <c r="F46" s="6">
        <f t="shared" si="5" ref="F46:R46">F22+F27+F32+F37</f>
        <v>542200.42000000004</v>
      </c>
      <c r="G46" s="6">
        <f t="shared" si="5"/>
        <v>520323.65999999992</v>
      </c>
      <c r="H46" s="6">
        <f t="shared" si="5"/>
        <v>558840.07279999985</v>
      </c>
      <c r="I46" s="6">
        <f t="shared" si="5"/>
        <v>613252.14999999991</v>
      </c>
      <c r="J46" s="6">
        <f t="shared" si="5"/>
        <v>596512.74000000011</v>
      </c>
      <c r="K46" s="6">
        <f t="shared" si="5"/>
        <v>596210.07999999996</v>
      </c>
      <c r="L46" s="6">
        <f t="shared" si="5"/>
        <v>614682.83120000002</v>
      </c>
      <c r="M46" s="6">
        <f t="shared" si="6" ref="M46:P46">M22+M27+M32+M37</f>
        <v>621493.41</v>
      </c>
      <c r="N46" s="6">
        <f t="shared" si="6"/>
        <v>610898.84</v>
      </c>
      <c r="O46" s="6">
        <f t="shared" si="6"/>
        <v>626033.73</v>
      </c>
      <c r="P46" s="6">
        <f t="shared" si="6"/>
        <v>679228.47722429177</v>
      </c>
      <c r="Q46" s="6">
        <f t="shared" si="5"/>
        <v>679912.05347636016</v>
      </c>
      <c r="R46" s="6">
        <f t="shared" si="5"/>
        <v>699560.95656863065</v>
      </c>
    </row>
    <row r="48" spans="1:18" ht="12.75">
      <c r="A48" s="42" t="s">
        <v>86</v>
      </c>
      <c r="R48" s="6"/>
    </row>
    <row r="49" spans="1:18" ht="12.75">
      <c r="A49" t="s">
        <v>70</v>
      </c>
      <c r="B49" s="6"/>
      <c r="C49" s="6"/>
      <c r="D49" s="6"/>
      <c r="E49" s="6">
        <f>'Rate Class Customer Model'!I3</f>
        <v>21980.499999999996</v>
      </c>
      <c r="F49" s="6">
        <f>'Rate Class Customer Model'!I4</f>
        <v>22671.50</v>
      </c>
      <c r="G49" s="6">
        <f>'Rate Class Customer Model'!I5</f>
        <v>23532.500000000007</v>
      </c>
      <c r="H49" s="6">
        <f>'Rate Class Customer Model'!I6</f>
        <v>24291.50</v>
      </c>
      <c r="I49" s="6">
        <f>'Rate Class Customer Model'!I7</f>
        <v>24745.000000000007</v>
      </c>
      <c r="J49" s="6">
        <f>'Rate Class Customer Model'!I8</f>
        <v>24979.999999999993</v>
      </c>
      <c r="K49" s="6">
        <f>'Rate Class Customer Model'!I9</f>
        <v>25199.999999999993</v>
      </c>
      <c r="L49" s="6">
        <f>'Rate Class Customer Model'!$I$10</f>
        <v>25477.499999999993</v>
      </c>
      <c r="M49" s="6">
        <f>'Rate Class Customer Model'!$I$11</f>
        <v>25704</v>
      </c>
      <c r="N49" s="6">
        <f>'Rate Class Customer Model'!$I$12</f>
        <v>25837</v>
      </c>
      <c r="O49" s="6">
        <f>'Rate Class Customer Model'!$I$13</f>
        <v>26241</v>
      </c>
      <c r="P49" s="6">
        <f>'Rate Class Customer Model'!$I$14</f>
        <v>26329.59</v>
      </c>
      <c r="Q49" s="6">
        <f>'Rate Class Customer Model'!I15</f>
        <v>26832</v>
      </c>
      <c r="R49" s="6">
        <f>'Rate Class Customer Model'!I16</f>
        <v>27124.367611881407</v>
      </c>
    </row>
    <row r="50" spans="1:18" ht="12.75">
      <c r="A50" t="s">
        <v>59</v>
      </c>
      <c r="B50" s="6"/>
      <c r="C50" s="6"/>
      <c r="D50" s="6"/>
      <c r="E50" s="6">
        <f>'Rate Class Energy Model'!G5</f>
        <v>432666845.60000199</v>
      </c>
      <c r="F50" s="6">
        <f>'Rate Class Energy Model'!G6</f>
        <v>439067347.78000152</v>
      </c>
      <c r="G50" s="6">
        <f>'Rate Class Energy Model'!G7</f>
        <v>463814907.0500015</v>
      </c>
      <c r="H50" s="6">
        <f>'Rate Class Energy Model'!G8</f>
        <v>464739829.6385175</v>
      </c>
      <c r="I50" s="6">
        <f>'Rate Class Energy Model'!G9</f>
        <v>486354858.93703115</v>
      </c>
      <c r="J50" s="6">
        <f>'Rate Class Energy Model'!G10</f>
        <v>484450482.16240931</v>
      </c>
      <c r="K50" s="6">
        <f>'Rate Class Energy Model'!G11</f>
        <v>479731715.26329255</v>
      </c>
      <c r="L50" s="6">
        <f>'Rate Class Energy Model'!$G$12</f>
        <v>503997902.79419905</v>
      </c>
      <c r="M50" s="6">
        <f>'Rate Class Energy Model'!$G$13</f>
        <v>502886983.03080952</v>
      </c>
      <c r="N50" s="6">
        <f>'Rate Class Energy Model'!$G$14</f>
        <v>503784317.31962299</v>
      </c>
      <c r="O50" s="6">
        <f>'Rate Class Energy Model'!$G$15</f>
        <v>512030353.4829101</v>
      </c>
      <c r="P50" s="6">
        <f>'Rate Class Energy Model'!$G$16</f>
        <v>522556553.86407334</v>
      </c>
      <c r="Q50" s="28">
        <f>'Rate Class Energy Model'!G17</f>
        <v>526316113.50996381</v>
      </c>
      <c r="R50" s="6">
        <f>'Rate Class Energy Model'!G18</f>
        <v>534214272.37453431</v>
      </c>
    </row>
    <row r="51" spans="1:18" ht="12.75">
      <c r="A51" t="s">
        <v>69</v>
      </c>
      <c r="B51" s="6"/>
      <c r="C51" s="6"/>
      <c r="D51" s="6"/>
      <c r="E51" s="6">
        <f>'Rate Class Load Model'!F2</f>
        <v>536578.23</v>
      </c>
      <c r="F51" s="6">
        <f>'Rate Class Load Model'!F3</f>
        <v>542200.42000000004</v>
      </c>
      <c r="G51" s="6">
        <f>'Rate Class Load Model'!F4</f>
        <v>520323.65999999992</v>
      </c>
      <c r="H51" s="6">
        <f>'Rate Class Load Model'!F5</f>
        <v>558840.07279999985</v>
      </c>
      <c r="I51" s="6">
        <f>'Rate Class Load Model'!F6</f>
        <v>613252.14999999991</v>
      </c>
      <c r="J51" s="6">
        <f>'Rate Class Load Model'!F7</f>
        <v>596512.74000000011</v>
      </c>
      <c r="K51" s="6">
        <f>'Rate Class Load Model'!F8</f>
        <v>596210.07999999996</v>
      </c>
      <c r="L51" s="28">
        <f>'Rate Class Load Model'!$F$9</f>
        <v>614682.83120000002</v>
      </c>
      <c r="M51" s="28">
        <f>'Rate Class Load Model'!$F$10</f>
        <v>621493.41</v>
      </c>
      <c r="N51" s="28">
        <f>'Rate Class Load Model'!$F$11</f>
        <v>610898.84</v>
      </c>
      <c r="O51" s="28">
        <f>'Rate Class Load Model'!$F$12</f>
        <v>626033.73</v>
      </c>
      <c r="P51" s="28">
        <f>'Rate Class Load Model'!$F$13</f>
        <v>679228.47722429177</v>
      </c>
      <c r="Q51" s="6">
        <f>'Rate Class Load Model'!F14</f>
        <v>679912.05347636016</v>
      </c>
      <c r="R51" s="6">
        <f>'Rate Class Load Model'!F15</f>
        <v>699560.95656863065</v>
      </c>
    </row>
    <row r="53" spans="1:18" ht="12.75">
      <c r="A53" s="42" t="s">
        <v>87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12.75">
      <c r="A54" t="s">
        <v>70</v>
      </c>
      <c r="B54" s="6" t="e">
        <f>B44-B49</f>
        <v>#REF!</v>
      </c>
      <c r="C54" s="6" t="e">
        <f>C44-C49</f>
        <v>#REF!</v>
      </c>
      <c r="D54" s="6" t="e">
        <f>D44-D49</f>
        <v>#REF!</v>
      </c>
      <c r="E54" s="6">
        <f>E44-E49</f>
        <v>0</v>
      </c>
      <c r="F54" s="6">
        <f t="shared" si="7" ref="F54:R54">F44-F49</f>
        <v>0</v>
      </c>
      <c r="G54" s="6">
        <f t="shared" si="7"/>
        <v>0</v>
      </c>
      <c r="H54" s="6">
        <f t="shared" si="7"/>
        <v>0</v>
      </c>
      <c r="I54" s="6">
        <f t="shared" si="7"/>
        <v>0</v>
      </c>
      <c r="J54" s="6">
        <f t="shared" si="7"/>
        <v>0</v>
      </c>
      <c r="K54" s="6">
        <f t="shared" si="7"/>
        <v>0</v>
      </c>
      <c r="L54" s="6">
        <f t="shared" si="7"/>
        <v>0</v>
      </c>
      <c r="M54" s="6">
        <f t="shared" si="8" ref="M54:P54">M44-M49</f>
        <v>0</v>
      </c>
      <c r="N54" s="6">
        <f t="shared" si="8"/>
        <v>0</v>
      </c>
      <c r="O54" s="6">
        <f t="shared" si="8"/>
        <v>0</v>
      </c>
      <c r="P54" s="6">
        <f t="shared" si="8"/>
        <v>0</v>
      </c>
      <c r="Q54" s="6">
        <f t="shared" si="7"/>
        <v>0</v>
      </c>
      <c r="R54" s="6">
        <f t="shared" si="7"/>
        <v>0</v>
      </c>
    </row>
    <row r="55" spans="1:18" ht="12.75">
      <c r="A55" t="s">
        <v>59</v>
      </c>
      <c r="B55" s="6" t="e">
        <f t="shared" si="9" ref="B55:D56">B45-B50</f>
        <v>#REF!</v>
      </c>
      <c r="C55" s="6" t="e">
        <f t="shared" si="9"/>
        <v>#REF!</v>
      </c>
      <c r="D55" s="6" t="e">
        <f t="shared" si="9"/>
        <v>#REF!</v>
      </c>
      <c r="E55" s="6">
        <f t="shared" si="10" ref="E55:R56">E45-E50</f>
        <v>0</v>
      </c>
      <c r="F55" s="6">
        <f t="shared" si="10"/>
        <v>0</v>
      </c>
      <c r="G55" s="6">
        <f t="shared" si="10"/>
        <v>0</v>
      </c>
      <c r="H55" s="6">
        <f t="shared" si="10"/>
        <v>0</v>
      </c>
      <c r="I55" s="6">
        <f t="shared" si="10"/>
        <v>0</v>
      </c>
      <c r="J55" s="6">
        <f t="shared" si="10"/>
        <v>0</v>
      </c>
      <c r="K55" s="6">
        <f t="shared" si="10"/>
        <v>0</v>
      </c>
      <c r="L55" s="6">
        <f t="shared" si="10"/>
        <v>0</v>
      </c>
      <c r="M55" s="6">
        <f t="shared" si="11" ref="M55:P55">M45-M50</f>
        <v>0</v>
      </c>
      <c r="N55" s="6">
        <f t="shared" si="11"/>
        <v>0</v>
      </c>
      <c r="O55" s="6">
        <f t="shared" si="11"/>
        <v>0</v>
      </c>
      <c r="P55" s="6">
        <f t="shared" si="11"/>
        <v>0</v>
      </c>
      <c r="Q55" s="6">
        <f t="shared" si="10"/>
        <v>0</v>
      </c>
      <c r="R55" s="6">
        <f>R45-R50</f>
        <v>0</v>
      </c>
    </row>
    <row r="56" spans="1:18" ht="12.75">
      <c r="A56" t="s">
        <v>69</v>
      </c>
      <c r="B56" s="6" t="e">
        <f t="shared" si="9"/>
        <v>#REF!</v>
      </c>
      <c r="C56" s="6" t="e">
        <f t="shared" si="9"/>
        <v>#REF!</v>
      </c>
      <c r="D56" s="6" t="e">
        <f t="shared" si="9"/>
        <v>#REF!</v>
      </c>
      <c r="E56" s="6">
        <f t="shared" si="10"/>
        <v>0</v>
      </c>
      <c r="F56" s="6">
        <f t="shared" si="10"/>
        <v>0</v>
      </c>
      <c r="G56" s="6">
        <f t="shared" si="10"/>
        <v>0</v>
      </c>
      <c r="H56" s="6">
        <f t="shared" si="10"/>
        <v>0</v>
      </c>
      <c r="I56" s="6">
        <f t="shared" si="10"/>
        <v>0</v>
      </c>
      <c r="J56" s="6">
        <f t="shared" si="10"/>
        <v>0</v>
      </c>
      <c r="K56" s="6">
        <f t="shared" si="10"/>
        <v>0</v>
      </c>
      <c r="L56" s="6">
        <f t="shared" si="10"/>
        <v>0</v>
      </c>
      <c r="M56" s="6">
        <f t="shared" si="12" ref="M56:P56">M46-M51</f>
        <v>0</v>
      </c>
      <c r="N56" s="6">
        <f t="shared" si="12"/>
        <v>0</v>
      </c>
      <c r="O56" s="6">
        <f t="shared" si="12"/>
        <v>0</v>
      </c>
      <c r="P56" s="6">
        <f t="shared" si="12"/>
        <v>0</v>
      </c>
      <c r="Q56" s="6">
        <f t="shared" si="10"/>
        <v>0</v>
      </c>
      <c r="R56" s="6">
        <f t="shared" si="10"/>
        <v>0</v>
      </c>
    </row>
    <row r="61" ht="12.75">
      <c r="R61" s="6"/>
    </row>
  </sheetData>
  <mergeCells count="1">
    <mergeCell ref="A1:R1"/>
  </mergeCells>
  <pageMargins left="0.38" right="0.75" top="0.73" bottom="0.74" header="0.5" footer="0.5"/>
  <pageSetup orientation="landscape" scale="58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G153"/>
  <sheetViews>
    <sheetView workbookViewId="0" topLeftCell="B1">
      <selection pane="topLeft" activeCell="A1" sqref="A1"/>
    </sheetView>
  </sheetViews>
  <sheetFormatPr defaultColWidth="9.14285714285714" defaultRowHeight="12.75"/>
  <cols>
    <col min="1" max="1" width="11.8571428571429" customWidth="1"/>
    <col min="2" max="2" width="18" style="6" customWidth="1"/>
    <col min="3" max="3" width="11.7142857142857" style="1" customWidth="1"/>
    <col min="4" max="4" width="13.4285714285714" style="1" customWidth="1"/>
    <col min="5" max="5" width="14.4285714285714" style="35" customWidth="1"/>
    <col min="6" max="6" width="10.1428571428571" style="1" customWidth="1"/>
    <col min="7" max="8" width="12.4285714285714" style="1" customWidth="1"/>
    <col min="9" max="9" width="13" style="1" customWidth="1"/>
    <col min="10" max="10" width="15.4285714285714" style="1" bestFit="1" customWidth="1"/>
    <col min="11" max="11" width="17" style="1" customWidth="1"/>
    <col min="12" max="12" width="12.4285714285714" style="1" customWidth="1"/>
    <col min="13" max="13" width="25.8571428571429" bestFit="1" customWidth="1"/>
    <col min="14" max="16" width="18" customWidth="1"/>
    <col min="17" max="17" width="17.1428571428571" customWidth="1"/>
    <col min="18" max="19" width="15.7142857142857" customWidth="1"/>
    <col min="20" max="20" width="15" customWidth="1"/>
    <col min="21" max="22" width="14.1428571428571" bestFit="1" customWidth="1"/>
    <col min="23" max="23" width="11.7142857142857" bestFit="1" customWidth="1"/>
    <col min="24" max="24" width="11.8571428571429" bestFit="1" customWidth="1"/>
    <col min="25" max="25" width="12.5714285714286" style="6" customWidth="1"/>
    <col min="26" max="26" width="11.2857142857143" style="6" customWidth="1"/>
    <col min="27" max="27" width="11.5714285714286" style="6" customWidth="1"/>
    <col min="28" max="28" width="9.28571428571429" style="6" customWidth="1"/>
    <col min="29" max="29" width="9.14285714285714" style="6"/>
    <col min="30" max="30" width="11.7142857142857" style="6" bestFit="1" customWidth="1"/>
    <col min="31" max="31" width="10.7142857142857" style="6" bestFit="1" customWidth="1"/>
    <col min="32" max="33" width="9.14285714285714" style="6"/>
  </cols>
  <sheetData>
    <row r="2" spans="2:27" ht="42" customHeight="1">
      <c r="B2" s="7" t="s">
        <v>90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12" ht="13.5" thickBot="1">
      <c r="A3" s="3">
        <v>37622</v>
      </c>
      <c r="B3" s="46">
        <v>8766427.7873398345</v>
      </c>
      <c r="C3" s="65">
        <v>829.50</v>
      </c>
      <c r="D3" s="65">
        <v>0</v>
      </c>
      <c r="E3" s="68">
        <v>125.66024937363977</v>
      </c>
      <c r="F3" s="67">
        <v>31</v>
      </c>
      <c r="G3" s="67">
        <v>0</v>
      </c>
      <c r="H3" s="47">
        <v>4331</v>
      </c>
      <c r="I3" s="67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14" ht="12.75">
      <c r="A4" s="3">
        <v>37653</v>
      </c>
      <c r="B4" s="46">
        <v>13772520.128131574</v>
      </c>
      <c r="C4" s="65">
        <v>699.20</v>
      </c>
      <c r="D4" s="65">
        <v>0</v>
      </c>
      <c r="E4" s="68">
        <v>125.80592062045517</v>
      </c>
      <c r="F4" s="67">
        <v>28</v>
      </c>
      <c r="G4" s="67">
        <v>0</v>
      </c>
      <c r="H4" s="47">
        <v>4352</v>
      </c>
      <c r="I4" s="67">
        <v>319.87200000000001</v>
      </c>
      <c r="J4" s="10">
        <f t="shared" si="0" ref="J4:J67">$N$18+C4*$N$19+D4*$N$20+E4*$N$21+F4*$N$22+G4*$N$23+H4*$N$24+I4*$N$25</f>
        <v>13344680.981331848</v>
      </c>
      <c r="K4" s="10"/>
      <c r="L4" s="14"/>
      <c r="M4" s="54" t="s">
        <v>29</v>
      </c>
      <c r="N4" s="54"/>
    </row>
    <row r="5" spans="1:14" ht="12.75">
      <c r="A5" s="3">
        <v>37681</v>
      </c>
      <c r="B5" s="46">
        <v>14260346.567221265</v>
      </c>
      <c r="C5" s="65">
        <v>593.10</v>
      </c>
      <c r="D5" s="65">
        <v>0</v>
      </c>
      <c r="E5" s="68">
        <v>125.9517607362029</v>
      </c>
      <c r="F5" s="67">
        <v>31</v>
      </c>
      <c r="G5" s="67">
        <v>1</v>
      </c>
      <c r="H5" s="47">
        <v>4353</v>
      </c>
      <c r="I5" s="67">
        <v>336.28800000000001</v>
      </c>
      <c r="J5" s="10">
        <f t="shared" si="0"/>
        <v>12769512.222701717</v>
      </c>
      <c r="K5" s="10"/>
      <c r="L5" s="14"/>
      <c r="M5" s="36" t="s">
        <v>30</v>
      </c>
      <c r="N5" s="64">
        <v>0.66463921042193164</v>
      </c>
    </row>
    <row r="6" spans="1:14" ht="12.75">
      <c r="A6" s="3">
        <v>37712</v>
      </c>
      <c r="B6" s="46">
        <v>13389122.662076879</v>
      </c>
      <c r="C6" s="65">
        <v>387.10</v>
      </c>
      <c r="D6" s="65">
        <v>0</v>
      </c>
      <c r="E6" s="68">
        <v>126.09776991664374</v>
      </c>
      <c r="F6" s="67">
        <v>30</v>
      </c>
      <c r="G6" s="67">
        <v>1</v>
      </c>
      <c r="H6" s="47">
        <v>4347</v>
      </c>
      <c r="I6" s="67">
        <v>336.24</v>
      </c>
      <c r="J6" s="10">
        <f t="shared" si="0"/>
        <v>12470254.448429581</v>
      </c>
      <c r="K6" s="10"/>
      <c r="L6" s="14"/>
      <c r="M6" s="36" t="s">
        <v>31</v>
      </c>
      <c r="N6" s="64">
        <v>0.44174528003028873</v>
      </c>
    </row>
    <row r="7" spans="1:14" ht="12.75">
      <c r="A7" s="3">
        <v>37742</v>
      </c>
      <c r="B7" s="46">
        <v>12846440.734366035</v>
      </c>
      <c r="C7" s="65">
        <v>215.80</v>
      </c>
      <c r="D7" s="65">
        <v>0</v>
      </c>
      <c r="E7" s="68">
        <v>126.2439483577654</v>
      </c>
      <c r="F7" s="67">
        <v>31</v>
      </c>
      <c r="G7" s="67">
        <v>1</v>
      </c>
      <c r="H7" s="47">
        <v>4348</v>
      </c>
      <c r="I7" s="67">
        <v>336.28800000000001</v>
      </c>
      <c r="J7" s="10">
        <f t="shared" si="0"/>
        <v>12250853.987257116</v>
      </c>
      <c r="K7" s="10"/>
      <c r="L7" s="14"/>
      <c r="M7" s="36" t="s">
        <v>32</v>
      </c>
      <c r="N7" s="64">
        <v>0.39733865457815259</v>
      </c>
    </row>
    <row r="8" spans="1:14" ht="12.75">
      <c r="A8" s="3">
        <v>37773</v>
      </c>
      <c r="B8" s="46">
        <v>13136066.322432587</v>
      </c>
      <c r="C8" s="65">
        <v>54.50</v>
      </c>
      <c r="D8" s="65">
        <v>41.40</v>
      </c>
      <c r="E8" s="68">
        <v>126.3902962557828</v>
      </c>
      <c r="F8" s="67">
        <v>30</v>
      </c>
      <c r="G8" s="67">
        <v>0</v>
      </c>
      <c r="H8" s="47">
        <v>4355</v>
      </c>
      <c r="I8" s="67">
        <v>336.24</v>
      </c>
      <c r="J8" s="10">
        <f t="shared" si="0"/>
        <v>13282886.500449397</v>
      </c>
      <c r="K8" s="10"/>
      <c r="L8" s="14"/>
      <c r="M8" s="36" t="s">
        <v>33</v>
      </c>
      <c r="N8" s="69">
        <v>1031161.9197455637</v>
      </c>
    </row>
    <row r="9" spans="1:14" ht="13.5" thickBot="1">
      <c r="A9" s="3">
        <v>37803</v>
      </c>
      <c r="B9" s="46">
        <v>15423366.972652514</v>
      </c>
      <c r="C9" s="65">
        <v>6.50</v>
      </c>
      <c r="D9" s="65">
        <v>83.90</v>
      </c>
      <c r="E9" s="68">
        <v>126.5368138071383</v>
      </c>
      <c r="F9" s="67">
        <v>31</v>
      </c>
      <c r="G9" s="67">
        <v>0</v>
      </c>
      <c r="H9" s="47">
        <v>4362</v>
      </c>
      <c r="I9" s="67">
        <v>351.91199999999998</v>
      </c>
      <c r="J9" s="10">
        <f t="shared" si="0"/>
        <v>14047490.372312138</v>
      </c>
      <c r="K9" s="10"/>
      <c r="L9" s="14"/>
      <c r="M9" s="52" t="s">
        <v>34</v>
      </c>
      <c r="N9" s="52">
        <v>96</v>
      </c>
    </row>
    <row r="10" spans="1:12" ht="12.75">
      <c r="A10" s="3">
        <v>37834</v>
      </c>
      <c r="B10" s="46">
        <v>14467180.01529929</v>
      </c>
      <c r="C10" s="65">
        <v>5.70</v>
      </c>
      <c r="D10" s="65">
        <v>102.60</v>
      </c>
      <c r="E10" s="68">
        <v>126.68350120850199</v>
      </c>
      <c r="F10" s="67">
        <v>31</v>
      </c>
      <c r="G10" s="67">
        <v>0</v>
      </c>
      <c r="H10" s="47">
        <v>4365</v>
      </c>
      <c r="I10" s="67">
        <v>319.92</v>
      </c>
      <c r="J10" s="10">
        <f t="shared" si="0"/>
        <v>14483757.112375934</v>
      </c>
      <c r="K10" s="10"/>
      <c r="L10" s="14"/>
    </row>
    <row r="11" spans="1:13" ht="13.5" thickBot="1">
      <c r="A11" s="3">
        <v>37865</v>
      </c>
      <c r="B11" s="46">
        <v>13141414.955058327</v>
      </c>
      <c r="C11" s="65">
        <v>73.900000000000006</v>
      </c>
      <c r="D11" s="65">
        <v>14.80</v>
      </c>
      <c r="E11" s="68">
        <v>126.83035865677196</v>
      </c>
      <c r="F11" s="67">
        <v>30</v>
      </c>
      <c r="G11" s="67">
        <v>1</v>
      </c>
      <c r="H11" s="47">
        <v>4345</v>
      </c>
      <c r="I11" s="67">
        <v>336.24</v>
      </c>
      <c r="J11" s="10">
        <f t="shared" si="0"/>
        <v>12342253.918947589</v>
      </c>
      <c r="K11" s="10"/>
      <c r="L11" s="14"/>
      <c r="M11" t="s">
        <v>35</v>
      </c>
    </row>
    <row r="12" spans="1:18" ht="12.75">
      <c r="A12" s="3">
        <v>37895</v>
      </c>
      <c r="B12" s="46">
        <v>12701448.489194874</v>
      </c>
      <c r="C12" s="65">
        <v>293.50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4355</v>
      </c>
      <c r="I12" s="67">
        <v>351.91199999999998</v>
      </c>
      <c r="J12" s="10">
        <f t="shared" si="0"/>
        <v>12351393.449069917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18" ht="12.75">
      <c r="A13" s="3">
        <v>37926</v>
      </c>
      <c r="B13" s="46">
        <v>12620157.611397972</v>
      </c>
      <c r="C13" s="65">
        <v>391.50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4378</v>
      </c>
      <c r="I13" s="67">
        <v>319.68</v>
      </c>
      <c r="J13" s="10">
        <f t="shared" si="0"/>
        <v>12584375.728107225</v>
      </c>
      <c r="K13" s="10"/>
      <c r="L13" s="14"/>
      <c r="M13" s="36" t="s">
        <v>36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4.3003116139729E-09</v>
      </c>
    </row>
    <row r="14" spans="1:18" ht="12.75">
      <c r="A14" s="3">
        <v>37956</v>
      </c>
      <c r="B14" s="46">
        <v>13513691.336775674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4390</v>
      </c>
      <c r="I14" s="67">
        <v>336.28800000000001</v>
      </c>
      <c r="J14" s="10">
        <f t="shared" si="0"/>
        <v>13263788.194173619</v>
      </c>
      <c r="K14" s="10"/>
      <c r="L14" s="14"/>
      <c r="M14" s="36" t="s">
        <v>37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18" ht="13.5" thickBot="1">
      <c r="A15" s="3">
        <v>37987</v>
      </c>
      <c r="B15" s="46">
        <v>15223222.987186842</v>
      </c>
      <c r="C15" s="65">
        <v>859.10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4382</v>
      </c>
      <c r="I15" s="67">
        <v>336.28800000000001</v>
      </c>
      <c r="J15" s="10">
        <f t="shared" si="0"/>
        <v>13644549.609203413</v>
      </c>
      <c r="K15" s="10"/>
      <c r="L15" s="14"/>
      <c r="M15" s="52" t="s">
        <v>11</v>
      </c>
      <c r="N15" s="52">
        <v>95</v>
      </c>
      <c r="O15" s="52">
        <v>167611572763078.63</v>
      </c>
      <c r="P15" s="52"/>
      <c r="Q15" s="52"/>
      <c r="R15" s="52"/>
    </row>
    <row r="16" spans="1:12" ht="13.5" thickBot="1">
      <c r="A16" s="3">
        <v>38018</v>
      </c>
      <c r="B16" s="46">
        <v>13730710.786001146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4385</v>
      </c>
      <c r="I16" s="67">
        <v>320.16000000000003</v>
      </c>
      <c r="J16" s="10">
        <f t="shared" si="0"/>
        <v>13378688.360099593</v>
      </c>
      <c r="K16" s="10"/>
      <c r="L16" s="14"/>
    </row>
    <row r="17" spans="1:21" ht="12.75">
      <c r="A17" s="3">
        <v>38047</v>
      </c>
      <c r="B17" s="46">
        <v>13785424.039013196</v>
      </c>
      <c r="C17" s="65">
        <v>513.60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4380</v>
      </c>
      <c r="I17" s="67">
        <v>368.28</v>
      </c>
      <c r="J17" s="10">
        <f t="shared" si="0"/>
        <v>12684621.981404588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ht="12.75">
      <c r="A18" s="3">
        <v>38078</v>
      </c>
      <c r="B18" s="46">
        <v>12210311.981258366</v>
      </c>
      <c r="C18" s="65">
        <v>329.30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4373</v>
      </c>
      <c r="I18" s="67">
        <v>336.24</v>
      </c>
      <c r="J18" s="10">
        <f t="shared" si="0"/>
        <v>12476746.604031194</v>
      </c>
      <c r="K18" s="10"/>
      <c r="L18" s="14"/>
      <c r="M18" s="36" t="s">
        <v>38</v>
      </c>
      <c r="N18" s="60">
        <v>2350315.4075402073</v>
      </c>
      <c r="O18" s="36">
        <v>5250702.8626346197</v>
      </c>
      <c r="P18" s="60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ht="12.75">
      <c r="A19" s="3">
        <v>38108</v>
      </c>
      <c r="B19" s="46">
        <v>12430459.122203099</v>
      </c>
      <c r="C19" s="65">
        <v>164.10</v>
      </c>
      <c r="D19" s="65">
        <v>14.20</v>
      </c>
      <c r="E19" s="68">
        <v>128.58816137146633</v>
      </c>
      <c r="F19" s="67">
        <v>31</v>
      </c>
      <c r="G19" s="67">
        <v>1</v>
      </c>
      <c r="H19" s="47">
        <v>4366</v>
      </c>
      <c r="I19" s="67">
        <v>319.92</v>
      </c>
      <c r="J19" s="10">
        <f t="shared" si="0"/>
        <v>12562627.802192461</v>
      </c>
      <c r="K19" s="10"/>
      <c r="L19" s="14"/>
      <c r="M19" s="36" t="s">
        <v>3</v>
      </c>
      <c r="N19" s="60">
        <v>1361.1302091657085</v>
      </c>
      <c r="O19" s="36">
        <v>750.70981392479882</v>
      </c>
      <c r="P19" s="60">
        <v>1.8131243043827552</v>
      </c>
      <c r="Q19" s="36">
        <v>0.073221974786654251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ht="12.75">
      <c r="A20" s="3">
        <v>38139</v>
      </c>
      <c r="B20" s="46">
        <v>12752424.249378465</v>
      </c>
      <c r="C20" s="65">
        <v>60.10</v>
      </c>
      <c r="D20" s="65">
        <v>29.20</v>
      </c>
      <c r="E20" s="68">
        <v>128.85303193013166</v>
      </c>
      <c r="F20" s="67">
        <v>30</v>
      </c>
      <c r="G20" s="67">
        <v>0</v>
      </c>
      <c r="H20" s="47">
        <v>4367</v>
      </c>
      <c r="I20" s="67">
        <v>352.08</v>
      </c>
      <c r="J20" s="10">
        <f t="shared" si="0"/>
        <v>13081976.582501527</v>
      </c>
      <c r="K20" s="10"/>
      <c r="L20" s="14"/>
      <c r="M20" s="36" t="s">
        <v>4</v>
      </c>
      <c r="N20" s="60">
        <v>19642.533038640828</v>
      </c>
      <c r="O20" s="36">
        <v>6132.3215452986287</v>
      </c>
      <c r="P20" s="60">
        <v>3.2031153118022426</v>
      </c>
      <c r="Q20" s="36">
        <v>0.0018933754508114998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ht="12.75">
      <c r="A21" s="3">
        <v>38169</v>
      </c>
      <c r="B21" s="46">
        <v>13991456.942053929</v>
      </c>
      <c r="C21" s="65">
        <v>7.70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4362</v>
      </c>
      <c r="I21" s="67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60">
        <v>15652.54468167708</v>
      </c>
      <c r="O21" s="36">
        <v>37775.077478728039</v>
      </c>
      <c r="P21" s="60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ht="12.75">
      <c r="A22" s="3">
        <v>38200</v>
      </c>
      <c r="B22" s="46">
        <v>13708660.288774144</v>
      </c>
      <c r="C22" s="65">
        <v>28.90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4372</v>
      </c>
      <c r="I22" s="67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60">
        <v>9630.5516526737811</v>
      </c>
      <c r="O22" s="36">
        <v>141409.49831266684</v>
      </c>
      <c r="P22" s="60">
        <v>0.06810399419832408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ht="12.75">
      <c r="A23" s="3">
        <v>38231</v>
      </c>
      <c r="B23" s="46">
        <v>13169571.964046661</v>
      </c>
      <c r="C23" s="65">
        <v>43.90</v>
      </c>
      <c r="D23" s="65">
        <v>31.20</v>
      </c>
      <c r="E23" s="68">
        <v>129.65092164364802</v>
      </c>
      <c r="F23" s="67">
        <v>30</v>
      </c>
      <c r="G23" s="67">
        <v>1</v>
      </c>
      <c r="H23" s="47">
        <v>4374</v>
      </c>
      <c r="I23" s="67">
        <v>336.24</v>
      </c>
      <c r="J23" s="10">
        <f t="shared" si="0"/>
        <v>12723834.809190145</v>
      </c>
      <c r="K23" s="10"/>
      <c r="L23" s="14"/>
      <c r="M23" s="36" t="s">
        <v>27</v>
      </c>
      <c r="N23" s="60">
        <v>-432080.65046934417</v>
      </c>
      <c r="O23" s="36">
        <v>312947.97983007506</v>
      </c>
      <c r="P23" s="60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ht="12.75">
      <c r="A24" s="3">
        <v>38261</v>
      </c>
      <c r="B24" s="46">
        <v>12461257.659208261</v>
      </c>
      <c r="C24" s="65">
        <v>253.50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4362</v>
      </c>
      <c r="I24" s="67">
        <v>319.92</v>
      </c>
      <c r="J24" s="10">
        <f t="shared" si="0"/>
        <v>12418462.109956943</v>
      </c>
      <c r="K24" s="10"/>
      <c r="L24" s="14"/>
      <c r="M24" s="36" t="s">
        <v>77</v>
      </c>
      <c r="N24" s="60">
        <v>1935.4574656640025</v>
      </c>
      <c r="O24" s="36">
        <v>692.51725097484484</v>
      </c>
      <c r="P24" s="60">
        <v>2.7948148048867978</v>
      </c>
      <c r="Q24" s="36">
        <v>0.0063737682555808951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5" thickBot="1">
      <c r="A25" s="3">
        <v>38292</v>
      </c>
      <c r="B25" s="46">
        <v>12515465.088927137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4372</v>
      </c>
      <c r="I25" s="67">
        <v>352.08</v>
      </c>
      <c r="J25" s="10">
        <f t="shared" si="0"/>
        <v>12564072.833595436</v>
      </c>
      <c r="K25" s="10"/>
      <c r="L25" s="14"/>
      <c r="M25" s="52" t="s">
        <v>6</v>
      </c>
      <c r="N25" s="61">
        <v>-1936.0425389931652</v>
      </c>
      <c r="O25" s="52">
        <v>6805.2647443076012</v>
      </c>
      <c r="P25" s="61">
        <v>-0.28449187676535381</v>
      </c>
      <c r="Q25" s="52">
        <v>0.77670184439807011</v>
      </c>
      <c r="R25" s="52">
        <v>-15460.075909099174</v>
      </c>
      <c r="S25" s="52">
        <v>11587.990831112846</v>
      </c>
      <c r="T25" s="52">
        <v>-15460.075909099174</v>
      </c>
      <c r="U25" s="52">
        <v>11587.990831112846</v>
      </c>
    </row>
    <row r="26" spans="1:12" ht="12.75">
      <c r="A26" s="3">
        <v>38322</v>
      </c>
      <c r="B26" s="46">
        <v>14058095.917001337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4381</v>
      </c>
      <c r="I26" s="67">
        <v>336.28800000000001</v>
      </c>
      <c r="J26" s="10">
        <f t="shared" si="0"/>
        <v>13385598.580101203</v>
      </c>
      <c r="K26" s="10"/>
      <c r="L26" s="14"/>
    </row>
    <row r="27" spans="1:12" ht="12.75">
      <c r="A27" s="3">
        <v>38353</v>
      </c>
      <c r="B27" s="46">
        <v>8119792.3790399684</v>
      </c>
      <c r="C27" s="65">
        <v>765.80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4398</v>
      </c>
      <c r="I27" s="67">
        <v>319.92</v>
      </c>
      <c r="J27" s="10">
        <f t="shared" si="0"/>
        <v>13630450.867725771</v>
      </c>
      <c r="K27" s="10"/>
      <c r="L27" s="14"/>
    </row>
    <row r="28" spans="1:12" ht="12.75">
      <c r="A28" s="3">
        <v>38384</v>
      </c>
      <c r="B28" s="46">
        <v>13584680.06310958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4398</v>
      </c>
      <c r="I28" s="67">
        <v>319.87200000000001</v>
      </c>
      <c r="J28" s="10">
        <f t="shared" si="0"/>
        <v>13437284.427576032</v>
      </c>
      <c r="K28" s="10"/>
      <c r="L28" s="14"/>
    </row>
    <row r="29" spans="1:12" ht="12.75">
      <c r="A29" s="3">
        <v>38412</v>
      </c>
      <c r="B29" s="46">
        <v>13362329.632816982</v>
      </c>
      <c r="C29" s="65">
        <v>646.90</v>
      </c>
      <c r="D29" s="65">
        <v>0</v>
      </c>
      <c r="E29" s="68">
        <v>131.32553708212294</v>
      </c>
      <c r="F29" s="67">
        <v>31</v>
      </c>
      <c r="G29" s="67">
        <v>1</v>
      </c>
      <c r="H29" s="47">
        <v>4397</v>
      </c>
      <c r="I29" s="67">
        <v>351.91199999999998</v>
      </c>
      <c r="J29" s="10">
        <f t="shared" si="0"/>
        <v>12981765.702178674</v>
      </c>
      <c r="K29" s="10"/>
      <c r="L29" s="14"/>
    </row>
    <row r="30" spans="1:12" ht="12.75">
      <c r="A30" s="3">
        <v>38443</v>
      </c>
      <c r="B30" s="46">
        <v>12199755.517307324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4399</v>
      </c>
      <c r="I30" s="67">
        <v>336.24</v>
      </c>
      <c r="J30" s="10">
        <f t="shared" si="0"/>
        <v>12591824.518355176</v>
      </c>
      <c r="K30" s="10"/>
      <c r="L30" s="14"/>
    </row>
    <row r="31" spans="1:12" ht="12.75">
      <c r="A31" s="3">
        <v>38473</v>
      </c>
      <c r="B31" s="46">
        <v>12102963.492063493</v>
      </c>
      <c r="C31" s="65">
        <v>212.70</v>
      </c>
      <c r="D31" s="65">
        <v>0</v>
      </c>
      <c r="E31" s="68">
        <v>131.90996128607299</v>
      </c>
      <c r="F31" s="67">
        <v>31</v>
      </c>
      <c r="G31" s="67">
        <v>1</v>
      </c>
      <c r="H31" s="47">
        <v>4391</v>
      </c>
      <c r="I31" s="67">
        <v>336.28800000000001</v>
      </c>
      <c r="J31" s="10">
        <f t="shared" si="0"/>
        <v>12418546.675159548</v>
      </c>
      <c r="K31" s="10"/>
      <c r="L31" s="14"/>
    </row>
    <row r="32" spans="1:12" ht="12.75">
      <c r="A32" s="3">
        <v>38504</v>
      </c>
      <c r="B32" s="46">
        <v>15227134.557276726</v>
      </c>
      <c r="C32" s="65">
        <v>13.10</v>
      </c>
      <c r="D32" s="65">
        <v>119.60</v>
      </c>
      <c r="E32" s="68">
        <v>132.20314796642501</v>
      </c>
      <c r="F32" s="67">
        <v>30</v>
      </c>
      <c r="G32" s="67">
        <v>0</v>
      </c>
      <c r="H32" s="47">
        <v>4394</v>
      </c>
      <c r="I32" s="67">
        <v>352.08</v>
      </c>
      <c r="J32" s="10">
        <f t="shared" si="0"/>
        <v>14898383.641883683</v>
      </c>
      <c r="K32" s="10"/>
      <c r="L32" s="14"/>
    </row>
    <row r="33" spans="1:12" ht="12.75">
      <c r="A33" s="3">
        <v>38534</v>
      </c>
      <c r="B33" s="46">
        <v>15041396.481162746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4400</v>
      </c>
      <c r="I33" s="67">
        <v>319.92</v>
      </c>
      <c r="J33" s="10">
        <f t="shared" si="0"/>
        <v>15463183.400656603</v>
      </c>
      <c r="K33" s="10"/>
      <c r="L33" s="14"/>
    </row>
    <row r="34" spans="1:12" ht="12.75">
      <c r="A34" s="3">
        <v>38565</v>
      </c>
      <c r="B34" s="46">
        <v>14684731.832090264</v>
      </c>
      <c r="C34" s="65">
        <v>3.80</v>
      </c>
      <c r="D34" s="65">
        <v>102.50</v>
      </c>
      <c r="E34" s="68">
        <v>132.79147770964664</v>
      </c>
      <c r="F34" s="67">
        <v>31</v>
      </c>
      <c r="G34" s="67">
        <v>0</v>
      </c>
      <c r="H34" s="47">
        <v>4396</v>
      </c>
      <c r="I34" s="67">
        <v>351.91199999999998</v>
      </c>
      <c r="J34" s="10">
        <f t="shared" si="0"/>
        <v>14572873.395301571</v>
      </c>
      <c r="K34" s="10"/>
      <c r="L34" s="14"/>
    </row>
    <row r="35" spans="1:12" ht="12.75">
      <c r="A35" s="3">
        <v>38596</v>
      </c>
      <c r="B35" s="46">
        <v>13365326.553834384</v>
      </c>
      <c r="C35" s="65">
        <v>32.799999999999997</v>
      </c>
      <c r="D35" s="65">
        <v>25.60</v>
      </c>
      <c r="E35" s="68">
        <v>133.08662367246211</v>
      </c>
      <c r="F35" s="67">
        <v>30</v>
      </c>
      <c r="G35" s="67">
        <v>1</v>
      </c>
      <c r="H35" s="47">
        <v>4406</v>
      </c>
      <c r="I35" s="67">
        <v>336.24</v>
      </c>
      <c r="J35" s="10">
        <f t="shared" si="0"/>
        <v>12714440.197272208</v>
      </c>
      <c r="K35" s="10"/>
      <c r="L35" s="14"/>
    </row>
    <row r="36" spans="1:12" ht="12.75">
      <c r="A36" s="3">
        <v>38626</v>
      </c>
      <c r="B36" s="46">
        <v>12487023.742589405</v>
      </c>
      <c r="C36" s="65">
        <v>234.20</v>
      </c>
      <c r="D36" s="65">
        <v>7.60</v>
      </c>
      <c r="E36" s="68">
        <v>133.38242563475035</v>
      </c>
      <c r="F36" s="67">
        <v>31</v>
      </c>
      <c r="G36" s="67">
        <v>1</v>
      </c>
      <c r="H36" s="47">
        <v>4413</v>
      </c>
      <c r="I36" s="67">
        <v>319.92</v>
      </c>
      <c r="J36" s="10">
        <f t="shared" si="0"/>
        <v>12694411.24828298</v>
      </c>
      <c r="K36" s="10"/>
      <c r="L36" s="14"/>
    </row>
    <row r="37" spans="1:12" ht="12.75">
      <c r="A37" s="3">
        <v>38657</v>
      </c>
      <c r="B37" s="46">
        <v>11736597.695544081</v>
      </c>
      <c r="C37" s="65">
        <v>396.30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4429</v>
      </c>
      <c r="I37" s="67">
        <v>352.08</v>
      </c>
      <c r="J37" s="10">
        <f t="shared" si="0"/>
        <v>12729481.188153775</v>
      </c>
      <c r="K37" s="10"/>
      <c r="L37" s="14"/>
    </row>
    <row r="38" spans="1:12" ht="12.75">
      <c r="A38" s="3">
        <v>38687</v>
      </c>
      <c r="B38" s="46">
        <v>14414584.633773187</v>
      </c>
      <c r="C38" s="65">
        <v>688.80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4445</v>
      </c>
      <c r="I38" s="67">
        <v>319.92</v>
      </c>
      <c r="J38" s="10">
        <f t="shared" si="0"/>
        <v>13667204.082032114</v>
      </c>
      <c r="K38" s="10"/>
      <c r="L38" s="14"/>
    </row>
    <row r="39" spans="1:12" ht="12.75">
      <c r="A39" s="3">
        <v>38718</v>
      </c>
      <c r="B39" s="39">
        <v>14007802.734748516</v>
      </c>
      <c r="C39" s="65">
        <v>554.70000000000005</v>
      </c>
      <c r="D39" s="65">
        <v>0</v>
      </c>
      <c r="E39" s="68">
        <v>134.25197202423306</v>
      </c>
      <c r="F39" s="67">
        <v>31</v>
      </c>
      <c r="G39" s="67">
        <v>0</v>
      </c>
      <c r="H39" s="47">
        <v>4451</v>
      </c>
      <c r="I39" s="67">
        <v>336.28800000000001</v>
      </c>
      <c r="J39" s="10">
        <f t="shared" si="0"/>
        <v>13468919.732827425</v>
      </c>
      <c r="K39" s="10"/>
      <c r="L39" s="14"/>
    </row>
    <row r="40" spans="1:12" ht="12.75">
      <c r="A40" s="3">
        <v>38749</v>
      </c>
      <c r="B40" s="39">
        <v>13362222.786383629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4475</v>
      </c>
      <c r="I40" s="67">
        <v>319.87200000000001</v>
      </c>
      <c r="J40" s="10">
        <f t="shared" si="0"/>
        <v>13588060.003447093</v>
      </c>
      <c r="K40" s="10"/>
      <c r="L40" s="14"/>
    </row>
    <row r="41" spans="1:12" ht="12.75">
      <c r="A41" s="3">
        <v>38777</v>
      </c>
      <c r="B41" s="39">
        <v>12578997.867661119</v>
      </c>
      <c r="C41" s="65">
        <v>530.40</v>
      </c>
      <c r="D41" s="65">
        <v>0</v>
      </c>
      <c r="E41" s="68">
        <v>134.80561580788987</v>
      </c>
      <c r="F41" s="67">
        <v>31</v>
      </c>
      <c r="G41" s="67">
        <v>1</v>
      </c>
      <c r="H41" s="47">
        <v>4479</v>
      </c>
      <c r="I41" s="67">
        <v>368.28</v>
      </c>
      <c r="J41" s="10">
        <f t="shared" si="0"/>
        <v>13004684.488467896</v>
      </c>
      <c r="K41" s="10"/>
      <c r="L41" s="14"/>
    </row>
    <row r="42" spans="1:12" ht="12.75">
      <c r="A42" s="3">
        <v>38808</v>
      </c>
      <c r="B42" s="39">
        <v>12029183.696691526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4475</v>
      </c>
      <c r="I42" s="67">
        <v>303.83999999999997</v>
      </c>
      <c r="J42" s="10">
        <f t="shared" si="0"/>
        <v>12822685.148453392</v>
      </c>
      <c r="K42" s="10"/>
      <c r="L42" s="14"/>
    </row>
    <row r="43" spans="1:12" ht="12.75">
      <c r="A43" s="3">
        <v>38838</v>
      </c>
      <c r="B43" s="39">
        <v>12907036.551922524</v>
      </c>
      <c r="C43" s="65">
        <v>155.50</v>
      </c>
      <c r="D43" s="65">
        <v>22.40</v>
      </c>
      <c r="E43" s="68">
        <v>135.36154277170829</v>
      </c>
      <c r="F43" s="67">
        <v>31</v>
      </c>
      <c r="G43" s="67">
        <v>1</v>
      </c>
      <c r="H43" s="47">
        <v>4466</v>
      </c>
      <c r="I43" s="67">
        <v>351.91199999999998</v>
      </c>
      <c r="J43" s="10">
        <f t="shared" si="0"/>
        <v>12949619.381982749</v>
      </c>
      <c r="K43" s="10"/>
      <c r="L43" s="14"/>
    </row>
    <row r="44" spans="1:12" ht="12.75">
      <c r="A44" s="3">
        <v>38869</v>
      </c>
      <c r="B44" s="39">
        <v>13461546.648767859</v>
      </c>
      <c r="C44" s="65">
        <v>26.70</v>
      </c>
      <c r="D44" s="65">
        <v>43.20</v>
      </c>
      <c r="E44" s="68">
        <v>135.64036538705133</v>
      </c>
      <c r="F44" s="67">
        <v>30</v>
      </c>
      <c r="G44" s="67">
        <v>0</v>
      </c>
      <c r="H44" s="47">
        <v>4484</v>
      </c>
      <c r="I44" s="67">
        <v>352.08</v>
      </c>
      <c r="J44" s="10">
        <f t="shared" si="0"/>
        <v>13644197.859742928</v>
      </c>
      <c r="K44" s="10"/>
      <c r="L44" s="14"/>
    </row>
    <row r="45" spans="1:12" ht="12.75">
      <c r="A45" s="3">
        <v>38899</v>
      </c>
      <c r="B45" s="39">
        <v>15795856.11276249</v>
      </c>
      <c r="C45" s="65">
        <v>1.90</v>
      </c>
      <c r="D45" s="65">
        <v>136.10</v>
      </c>
      <c r="E45" s="68">
        <v>135.9197623313303</v>
      </c>
      <c r="F45" s="67">
        <v>31</v>
      </c>
      <c r="G45" s="67">
        <v>0</v>
      </c>
      <c r="H45" s="47">
        <v>4489</v>
      </c>
      <c r="I45" s="67">
        <v>319.92</v>
      </c>
      <c r="J45" s="10">
        <f t="shared" si="0"/>
        <v>15521177.390034616</v>
      </c>
      <c r="K45" s="10"/>
      <c r="L45" s="14"/>
    </row>
    <row r="46" spans="1:12" ht="12.75">
      <c r="A46" s="3">
        <v>38930</v>
      </c>
      <c r="B46" s="39">
        <v>14421557.090804489</v>
      </c>
      <c r="C46" s="65">
        <v>8.10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4496</v>
      </c>
      <c r="I46" s="67">
        <v>351.91199999999998</v>
      </c>
      <c r="J46" s="10">
        <f t="shared" si="0"/>
        <v>14189201.827514241</v>
      </c>
      <c r="K46" s="10"/>
      <c r="L46" s="14"/>
    </row>
    <row r="47" spans="1:12" ht="12.75">
      <c r="A47" s="3">
        <v>38961</v>
      </c>
      <c r="B47" s="39">
        <v>12076511.295426216</v>
      </c>
      <c r="C47" s="65">
        <v>105.30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4498</v>
      </c>
      <c r="I47" s="67">
        <v>319.68</v>
      </c>
      <c r="J47" s="10">
        <f t="shared" si="0"/>
        <v>12654050.047384035</v>
      </c>
      <c r="K47" s="10"/>
      <c r="L47" s="14"/>
    </row>
    <row r="48" spans="1:12" ht="12.75">
      <c r="A48" s="3">
        <v>38991</v>
      </c>
      <c r="B48" s="39">
        <v>12975918.256783968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4525</v>
      </c>
      <c r="I48" s="67">
        <v>336.28800000000001</v>
      </c>
      <c r="J48" s="10">
        <f t="shared" si="0"/>
        <v>12878242.809784625</v>
      </c>
      <c r="K48" s="10"/>
      <c r="L48" s="14"/>
    </row>
    <row r="49" spans="1:12" ht="12.75">
      <c r="A49" s="3">
        <v>39022</v>
      </c>
      <c r="B49" s="39">
        <v>11701185.626618085</v>
      </c>
      <c r="C49" s="65">
        <v>393.10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4718</v>
      </c>
      <c r="I49" s="67">
        <v>352.08</v>
      </c>
      <c r="J49" s="10">
        <f t="shared" si="0"/>
        <v>13337131.571391761</v>
      </c>
      <c r="K49" s="10"/>
      <c r="L49" s="14"/>
    </row>
    <row r="50" spans="1:12" ht="12.75">
      <c r="A50" s="3">
        <v>39052</v>
      </c>
      <c r="B50" s="39">
        <v>14773673.755873049</v>
      </c>
      <c r="C50" s="65">
        <v>508.10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4738</v>
      </c>
      <c r="I50" s="67">
        <v>304.29599999999999</v>
      </c>
      <c r="J50" s="10">
        <f t="shared" si="0"/>
        <v>14071012.253789248</v>
      </c>
      <c r="K50" s="10"/>
      <c r="L50" s="14"/>
    </row>
    <row r="51" spans="1:12" ht="12.75">
      <c r="A51" s="3">
        <v>39083</v>
      </c>
      <c r="B51" s="39">
        <v>15493769.488925112</v>
      </c>
      <c r="C51" s="65">
        <v>665.60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4756</v>
      </c>
      <c r="I51" s="67">
        <v>351.91199999999998</v>
      </c>
      <c r="J51" s="10">
        <f t="shared" si="0"/>
        <v>14232118.951752642</v>
      </c>
      <c r="K51" s="10"/>
      <c r="L51" s="14"/>
    </row>
    <row r="52" spans="1:12" ht="12.75">
      <c r="A52" s="3">
        <v>39114</v>
      </c>
      <c r="B52" s="39">
        <v>15246357.100393135</v>
      </c>
      <c r="C52" s="65">
        <v>761.80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4752</v>
      </c>
      <c r="I52" s="67">
        <v>319.87200000000001</v>
      </c>
      <c r="J52" s="10">
        <f t="shared" si="0"/>
        <v>14392541.786351331</v>
      </c>
      <c r="K52" s="10"/>
      <c r="L52" s="14"/>
    </row>
    <row r="53" spans="1:12" ht="12.75">
      <c r="A53" s="3">
        <v>39142</v>
      </c>
      <c r="B53" s="39">
        <v>14741478.521430627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4751</v>
      </c>
      <c r="I53" s="67">
        <v>351.91199999999998</v>
      </c>
      <c r="J53" s="10">
        <f t="shared" si="0"/>
        <v>13661880.869492978</v>
      </c>
      <c r="K53" s="10"/>
      <c r="L53" s="14"/>
    </row>
    <row r="54" spans="1:12" ht="12.75">
      <c r="A54" s="3">
        <v>39173</v>
      </c>
      <c r="B54" s="39">
        <v>13687988.752517022</v>
      </c>
      <c r="C54" s="65">
        <v>374.20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4758</v>
      </c>
      <c r="I54" s="67">
        <v>319.68</v>
      </c>
      <c r="J54" s="10">
        <f t="shared" si="0"/>
        <v>13472325.473993506</v>
      </c>
      <c r="K54" s="10"/>
      <c r="L54" s="14"/>
    </row>
    <row r="55" spans="1:12" ht="12.75">
      <c r="A55" s="3">
        <v>39203</v>
      </c>
      <c r="B55" s="39">
        <v>13088060.830376834</v>
      </c>
      <c r="C55" s="65">
        <v>138.40</v>
      </c>
      <c r="D55" s="65">
        <v>23.30</v>
      </c>
      <c r="E55" s="68">
        <v>138.63271579331135</v>
      </c>
      <c r="F55" s="67">
        <v>31</v>
      </c>
      <c r="G55" s="67">
        <v>1</v>
      </c>
      <c r="H55" s="47">
        <v>4762</v>
      </c>
      <c r="I55" s="67">
        <v>351.91199999999998</v>
      </c>
      <c r="J55" s="10">
        <f t="shared" si="0"/>
        <v>13568119.926859478</v>
      </c>
      <c r="K55" s="10"/>
      <c r="L55" s="14"/>
    </row>
    <row r="56" spans="1:12" ht="12.75">
      <c r="A56" s="3">
        <v>39234</v>
      </c>
      <c r="B56" s="39">
        <v>15422536.350560937</v>
      </c>
      <c r="C56" s="65">
        <v>19.20</v>
      </c>
      <c r="D56" s="65">
        <v>74.20</v>
      </c>
      <c r="E56" s="68">
        <v>138.89566792567766</v>
      </c>
      <c r="F56" s="67">
        <v>30</v>
      </c>
      <c r="G56" s="67">
        <v>0</v>
      </c>
      <c r="H56" s="47">
        <v>4766</v>
      </c>
      <c r="I56" s="67">
        <v>336.24</v>
      </c>
      <c r="J56" s="10">
        <f t="shared" si="0"/>
        <v>14870327.594945177</v>
      </c>
      <c r="K56" s="10"/>
      <c r="L56" s="14"/>
    </row>
    <row r="57" spans="1:12" ht="12.75">
      <c r="A57" s="3">
        <v>39264</v>
      </c>
      <c r="B57" s="39">
        <v>14782717.230798736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4764</v>
      </c>
      <c r="I57" s="67">
        <v>336.28800000000001</v>
      </c>
      <c r="J57" s="10">
        <f t="shared" si="0"/>
        <v>15019718.434027519</v>
      </c>
      <c r="K57" s="10"/>
      <c r="L57" s="14"/>
    </row>
    <row r="58" spans="1:12" ht="12.75">
      <c r="A58" s="3">
        <v>39295</v>
      </c>
      <c r="B58" s="39">
        <v>16065299.069901239</v>
      </c>
      <c r="C58" s="65">
        <v>8.40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4770</v>
      </c>
      <c r="I58" s="67">
        <v>351.91199999999998</v>
      </c>
      <c r="J58" s="10">
        <f t="shared" si="0"/>
        <v>15475545.837345129</v>
      </c>
      <c r="K58" s="10"/>
      <c r="L58" s="14"/>
    </row>
    <row r="59" spans="1:12" ht="12.75">
      <c r="A59" s="3">
        <v>39326</v>
      </c>
      <c r="B59" s="39">
        <v>13883469.901236936</v>
      </c>
      <c r="C59" s="65">
        <v>55.20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4778</v>
      </c>
      <c r="I59" s="67">
        <v>303.83999999999997</v>
      </c>
      <c r="J59" s="10">
        <f t="shared" si="0"/>
        <v>13858821.687441513</v>
      </c>
      <c r="K59" s="10"/>
      <c r="L59" s="14"/>
    </row>
    <row r="60" spans="1:12" ht="12.75">
      <c r="A60" s="3">
        <v>39356</v>
      </c>
      <c r="B60" s="39">
        <v>13636520.615591141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4783</v>
      </c>
      <c r="I60" s="67">
        <v>351.91199999999998</v>
      </c>
      <c r="J60" s="10">
        <f t="shared" si="0"/>
        <v>13453509.935540581</v>
      </c>
      <c r="K60" s="10"/>
      <c r="L60" s="14"/>
    </row>
    <row r="61" spans="1:12" ht="12.75">
      <c r="A61" s="3">
        <v>39387</v>
      </c>
      <c r="B61" s="39">
        <v>11555201.275290057</v>
      </c>
      <c r="C61" s="65">
        <v>467.50</v>
      </c>
      <c r="D61" s="65">
        <v>0</v>
      </c>
      <c r="E61" s="68">
        <v>140.21792886666916</v>
      </c>
      <c r="F61" s="67">
        <v>30</v>
      </c>
      <c r="G61" s="67">
        <v>1</v>
      </c>
      <c r="H61" s="47">
        <v>4807</v>
      </c>
      <c r="I61" s="67">
        <v>352.08</v>
      </c>
      <c r="J61" s="10">
        <f t="shared" si="0"/>
        <v>13660349.256511949</v>
      </c>
      <c r="K61" s="10"/>
      <c r="L61" s="14"/>
    </row>
    <row r="62" spans="1:12" ht="12.75">
      <c r="A62" s="3">
        <v>39417</v>
      </c>
      <c r="B62" s="39">
        <v>15348673.266852047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4814</v>
      </c>
      <c r="I62" s="67">
        <v>304.29599999999999</v>
      </c>
      <c r="J62" s="10">
        <f t="shared" si="0"/>
        <v>14448439.542296812</v>
      </c>
      <c r="K62" s="10"/>
      <c r="L62" s="14"/>
    </row>
    <row r="63" spans="1:10" ht="12.75">
      <c r="A63" s="3">
        <v>39448</v>
      </c>
      <c r="B63" s="47">
        <v>14944320.606002493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4818</v>
      </c>
      <c r="I63" s="67">
        <v>352</v>
      </c>
      <c r="J63" s="10">
        <f t="shared" si="0"/>
        <v>14351608.690767456</v>
      </c>
    </row>
    <row r="64" spans="1:10" ht="12.75">
      <c r="A64" s="3">
        <v>39479</v>
      </c>
      <c r="B64" s="47">
        <v>14878718.160897499</v>
      </c>
      <c r="C64" s="65">
        <v>678.80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4819</v>
      </c>
      <c r="I64" s="67">
        <v>320</v>
      </c>
      <c r="J64" s="10">
        <f t="shared" si="0"/>
        <v>14458066.564958375</v>
      </c>
    </row>
    <row r="65" spans="1:10" ht="12.75">
      <c r="A65" s="3">
        <v>39508</v>
      </c>
      <c r="B65" s="47">
        <v>15031787.563524788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4821</v>
      </c>
      <c r="I65" s="67">
        <v>304</v>
      </c>
      <c r="J65" s="10">
        <f t="shared" si="0"/>
        <v>14001592.630923362</v>
      </c>
    </row>
    <row r="66" spans="1:10" ht="12.75">
      <c r="A66" s="3">
        <v>39539</v>
      </c>
      <c r="B66" s="47">
        <v>13075471.003931347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4828</v>
      </c>
      <c r="I66" s="67">
        <v>352</v>
      </c>
      <c r="J66" s="10">
        <f t="shared" si="0"/>
        <v>13460856.737075023</v>
      </c>
    </row>
    <row r="67" spans="1:10" ht="12.75">
      <c r="A67" s="3">
        <v>39569</v>
      </c>
      <c r="B67" s="47">
        <v>12988944.721449805</v>
      </c>
      <c r="C67" s="65">
        <v>214.10</v>
      </c>
      <c r="D67" s="65">
        <v>0.30</v>
      </c>
      <c r="E67" s="68">
        <v>140.19078504447415</v>
      </c>
      <c r="F67" s="67">
        <v>31</v>
      </c>
      <c r="G67" s="67">
        <v>1</v>
      </c>
      <c r="H67" s="47">
        <v>4822</v>
      </c>
      <c r="I67" s="67">
        <v>336</v>
      </c>
      <c r="J67" s="10">
        <f t="shared" si="0"/>
        <v>13390700.729195854</v>
      </c>
    </row>
    <row r="68" spans="1:10" ht="12.75">
      <c r="A68" s="3">
        <v>39600</v>
      </c>
      <c r="B68" s="47">
        <v>14567856.247003548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4826</v>
      </c>
      <c r="I68" s="67">
        <v>336</v>
      </c>
      <c r="J68" s="10">
        <f t="shared" si="1" ref="J68:J122">$N$18+C68*$N$19+D68*$N$20+E68*$N$21+F68*$N$22+G68*$N$23+H68*$N$24+I68*$N$25</f>
        <v>14649555.479063591</v>
      </c>
    </row>
    <row r="69" spans="1:10" ht="12.75">
      <c r="A69" s="3">
        <v>39630</v>
      </c>
      <c r="B69" s="47">
        <v>15501958.327739956</v>
      </c>
      <c r="C69" s="65">
        <v>3.70</v>
      </c>
      <c r="D69" s="65">
        <v>87.70</v>
      </c>
      <c r="E69" s="68">
        <v>140.07371525716499</v>
      </c>
      <c r="F69" s="67">
        <v>31</v>
      </c>
      <c r="G69" s="67">
        <v>0</v>
      </c>
      <c r="H69" s="47">
        <v>4828</v>
      </c>
      <c r="I69" s="67">
        <v>352</v>
      </c>
      <c r="J69" s="10">
        <f t="shared" si="1"/>
        <v>15231960.595327307</v>
      </c>
    </row>
    <row r="70" spans="1:10" ht="12.75">
      <c r="A70" s="3">
        <v>39661</v>
      </c>
      <c r="B70" s="47">
        <v>14655648.719915621</v>
      </c>
      <c r="C70" s="65">
        <v>20.20</v>
      </c>
      <c r="D70" s="65">
        <v>45.20</v>
      </c>
      <c r="E70" s="68">
        <v>140.01521702937399</v>
      </c>
      <c r="F70" s="67">
        <v>31</v>
      </c>
      <c r="G70" s="67">
        <v>0</v>
      </c>
      <c r="H70" s="47">
        <v>4826</v>
      </c>
      <c r="I70" s="67">
        <v>320</v>
      </c>
      <c r="J70" s="10">
        <f t="shared" si="1"/>
        <v>14476778.389828458</v>
      </c>
    </row>
    <row r="71" spans="1:10" ht="12.75">
      <c r="A71" s="3">
        <v>39692</v>
      </c>
      <c r="B71" s="47">
        <v>13543492.501678014</v>
      </c>
      <c r="C71" s="65">
        <v>70.400000000000006</v>
      </c>
      <c r="D71" s="65">
        <v>20.30</v>
      </c>
      <c r="E71" s="68">
        <v>139.95674323188132</v>
      </c>
      <c r="F71" s="67">
        <v>30</v>
      </c>
      <c r="G71" s="67">
        <v>1</v>
      </c>
      <c r="H71" s="47">
        <v>4827</v>
      </c>
      <c r="I71" s="67">
        <v>336</v>
      </c>
      <c r="J71" s="10">
        <f t="shared" si="1"/>
        <v>13584340.364658216</v>
      </c>
    </row>
    <row r="72" spans="1:10" ht="12.75">
      <c r="A72" s="3">
        <v>39722</v>
      </c>
      <c r="B72" s="47">
        <v>12894890.037395725</v>
      </c>
      <c r="C72" s="65">
        <v>297.50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4829</v>
      </c>
      <c r="I72" s="67">
        <v>352</v>
      </c>
      <c r="J72" s="10">
        <f t="shared" si="1"/>
        <v>13476319.518944128</v>
      </c>
    </row>
    <row r="73" spans="1:10" ht="12.75">
      <c r="A73" s="3">
        <v>39753</v>
      </c>
      <c r="B73" s="47">
        <v>13116865.41375012</v>
      </c>
      <c r="C73" s="65">
        <v>460.60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4828</v>
      </c>
      <c r="I73" s="67">
        <v>304</v>
      </c>
      <c r="J73" s="10">
        <f t="shared" si="1"/>
        <v>13778769.389398074</v>
      </c>
    </row>
    <row r="74" spans="1:10" ht="12.75">
      <c r="A74" s="3">
        <v>39783</v>
      </c>
      <c r="B74" s="47">
        <v>15243338.364176815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4838</v>
      </c>
      <c r="I74" s="67">
        <v>336</v>
      </c>
      <c r="J74" s="10">
        <f t="shared" si="1"/>
        <v>14441979.739156639</v>
      </c>
    </row>
    <row r="75" spans="1:33" s="15" customFormat="1" ht="12.75">
      <c r="A75" s="3">
        <v>39814</v>
      </c>
      <c r="B75" s="47">
        <v>14944320.606002493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si="2" ref="H75:H80">H74+($H$81-$H$74)/7</f>
        <v>4368</v>
      </c>
      <c r="I75" s="67">
        <v>336</v>
      </c>
      <c r="J75" s="10">
        <f t="shared" si="1"/>
        <v>13604302.751368834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11" ht="12.75">
      <c r="A76" s="3">
        <v>39845</v>
      </c>
      <c r="B76" s="47">
        <v>14878718.160897499</v>
      </c>
      <c r="C76" s="65">
        <v>627.40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3898</v>
      </c>
      <c r="I76" s="67">
        <v>304</v>
      </c>
      <c r="J76" s="10">
        <f t="shared" si="1"/>
        <v>12605158.21038389</v>
      </c>
      <c r="K76" s="48"/>
    </row>
    <row r="77" spans="1:11" ht="12.75">
      <c r="A77" s="3">
        <v>39873</v>
      </c>
      <c r="B77" s="47">
        <v>15031787.563524788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3428</v>
      </c>
      <c r="I77" s="67">
        <v>352</v>
      </c>
      <c r="J77" s="10">
        <f t="shared" si="1"/>
        <v>11110230.10269843</v>
      </c>
      <c r="K77" s="48"/>
    </row>
    <row r="78" spans="1:11" ht="12.75">
      <c r="A78" s="3">
        <v>39904</v>
      </c>
      <c r="B78" s="47">
        <v>13075471.003931347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2958</v>
      </c>
      <c r="I78" s="67">
        <v>320</v>
      </c>
      <c r="J78" s="10">
        <f t="shared" si="1"/>
        <v>9952823.1588611379</v>
      </c>
      <c r="K78" s="48"/>
    </row>
    <row r="79" spans="1:11" ht="12.75">
      <c r="A79" s="3">
        <v>39934</v>
      </c>
      <c r="B79" s="47">
        <v>12988944.721449805</v>
      </c>
      <c r="C79" s="65">
        <v>178.33076923076925</v>
      </c>
      <c r="D79" s="65">
        <v>11.461538461538464</v>
      </c>
      <c r="E79" s="68">
        <v>137.78123318373483</v>
      </c>
      <c r="F79" s="67">
        <v>31</v>
      </c>
      <c r="G79" s="67">
        <v>1</v>
      </c>
      <c r="H79" s="47">
        <f t="shared" si="2"/>
        <v>2488</v>
      </c>
      <c r="I79" s="67">
        <v>320</v>
      </c>
      <c r="J79" s="10">
        <f t="shared" si="1"/>
        <v>9037158.3742311336</v>
      </c>
      <c r="K79" s="48"/>
    </row>
    <row r="80" spans="1:11" ht="12.75">
      <c r="A80" s="3">
        <v>39965</v>
      </c>
      <c r="B80" s="47">
        <v>14567856.247003548</v>
      </c>
      <c r="C80" s="65">
        <v>38</v>
      </c>
      <c r="D80" s="65">
        <v>61.20</v>
      </c>
      <c r="E80" s="68">
        <v>137.38463408752156</v>
      </c>
      <c r="F80" s="67">
        <v>30</v>
      </c>
      <c r="G80" s="67">
        <v>0</v>
      </c>
      <c r="H80" s="47">
        <f t="shared" si="2"/>
        <v>2018</v>
      </c>
      <c r="I80" s="67">
        <v>352</v>
      </c>
      <c r="J80" s="10">
        <f t="shared" si="1"/>
        <v>9267763.2426486854</v>
      </c>
      <c r="K80" s="48"/>
    </row>
    <row r="81" spans="1:11" ht="12.75">
      <c r="A81" s="3">
        <v>39995</v>
      </c>
      <c r="B81" s="47">
        <v>15501958.327739956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Model'!C9</f>
        <v>1548.0000000000005</v>
      </c>
      <c r="I81" s="67">
        <v>352</v>
      </c>
      <c r="J81" s="10">
        <f t="shared" si="1"/>
        <v>9021524.7645810414</v>
      </c>
      <c r="K81" s="48"/>
    </row>
    <row r="82" spans="1:11" ht="12.75">
      <c r="A82" s="3">
        <v>40026</v>
      </c>
      <c r="B82" s="47">
        <v>14655648.719915621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si="3" ref="H82:H91">H81+($H$92-$H$81)/11</f>
        <v>1553.2272727272732</v>
      </c>
      <c r="I82" s="67">
        <v>320</v>
      </c>
      <c r="J82" s="10">
        <f t="shared" si="1"/>
        <v>8693457.0843122695</v>
      </c>
      <c r="K82" s="48"/>
    </row>
    <row r="83" spans="1:11" ht="12.75">
      <c r="A83" s="3">
        <v>40057</v>
      </c>
      <c r="B83" s="47">
        <v>13543492.501678014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1558.454545454546</v>
      </c>
      <c r="I83" s="67">
        <v>336</v>
      </c>
      <c r="J83" s="10">
        <f t="shared" si="1"/>
        <v>7338402.9644646589</v>
      </c>
      <c r="K83" s="48"/>
    </row>
    <row r="84" spans="1:11" ht="12.75">
      <c r="A84" s="3">
        <v>40087</v>
      </c>
      <c r="B84" s="47">
        <v>12894890.037395725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1563.6818181818187</v>
      </c>
      <c r="I84" s="67">
        <v>336</v>
      </c>
      <c r="J84" s="10">
        <f t="shared" si="1"/>
        <v>7123013.9777350165</v>
      </c>
      <c r="K84" s="48"/>
    </row>
    <row r="85" spans="1:11" ht="12.75">
      <c r="A85" s="3">
        <v>40118</v>
      </c>
      <c r="B85" s="47">
        <v>13116865.41375012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1568.9090909090915</v>
      </c>
      <c r="I85" s="67">
        <v>320</v>
      </c>
      <c r="J85" s="10">
        <f t="shared" si="1"/>
        <v>7321778.5399857759</v>
      </c>
      <c r="K85" s="48"/>
    </row>
    <row r="86" spans="1:33" s="32" customFormat="1" ht="12.75">
      <c r="A86" s="3">
        <v>40148</v>
      </c>
      <c r="B86" s="47">
        <v>15243338.364176815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1574.1363636363642</v>
      </c>
      <c r="I86" s="67">
        <v>352</v>
      </c>
      <c r="J86" s="10">
        <f t="shared" si="1"/>
        <v>7963810.9566041045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27" ht="12.75">
      <c r="A87" s="3">
        <v>40179</v>
      </c>
      <c r="B87" s="46">
        <v>14443779.611635899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1579.3636363636369</v>
      </c>
      <c r="I87" s="67">
        <v>320</v>
      </c>
      <c r="J87" s="10">
        <f t="shared" si="1"/>
        <v>8184300.4265819192</v>
      </c>
      <c r="K87" s="48"/>
      <c r="Y87" s="11"/>
      <c r="Z87" s="11"/>
      <c r="AA87" s="11"/>
    </row>
    <row r="88" spans="1:11" ht="12.75">
      <c r="A88" s="3">
        <v>40210</v>
      </c>
      <c r="B88" s="46">
        <v>14461971.7063212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1584.5909090909097</v>
      </c>
      <c r="I88" s="67">
        <v>304</v>
      </c>
      <c r="J88" s="10">
        <f t="shared" si="1"/>
        <v>8083786.6071394701</v>
      </c>
      <c r="K88" s="48"/>
    </row>
    <row r="89" spans="1:11" ht="12.75">
      <c r="A89" s="3">
        <v>40238</v>
      </c>
      <c r="B89" s="46">
        <v>14480163.8010065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1589.8181818181824</v>
      </c>
      <c r="I89" s="67">
        <v>368</v>
      </c>
      <c r="J89" s="10">
        <f t="shared" si="1"/>
        <v>7487815.4001297206</v>
      </c>
      <c r="K89" s="48"/>
    </row>
    <row r="90" spans="1:11" ht="12.75">
      <c r="A90" s="3">
        <v>40269</v>
      </c>
      <c r="B90" s="46">
        <v>14498355.895691801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1595.0454545454552</v>
      </c>
      <c r="I90" s="67">
        <v>320</v>
      </c>
      <c r="J90" s="10">
        <f t="shared" si="1"/>
        <v>7289201.794558268</v>
      </c>
      <c r="K90" s="48"/>
    </row>
    <row r="91" spans="1:11" ht="12.75">
      <c r="A91" s="3">
        <v>40299</v>
      </c>
      <c r="B91" s="46">
        <v>14516547.9903771</v>
      </c>
      <c r="C91" s="65">
        <v>180.11407692307694</v>
      </c>
      <c r="D91" s="65">
        <v>11.576153846153849</v>
      </c>
      <c r="E91" s="68">
        <v>136.5361783393459</v>
      </c>
      <c r="F91" s="67">
        <v>31</v>
      </c>
      <c r="G91" s="67">
        <v>1</v>
      </c>
      <c r="H91" s="47">
        <f t="shared" si="3"/>
        <v>1600.2727272727279</v>
      </c>
      <c r="I91" s="67">
        <v>320</v>
      </c>
      <c r="J91" s="10">
        <f t="shared" si="1"/>
        <v>7304190.3706259374</v>
      </c>
      <c r="K91" s="48"/>
    </row>
    <row r="92" spans="1:11" ht="12.75">
      <c r="A92" s="3">
        <v>40330</v>
      </c>
      <c r="B92" s="46">
        <v>14534740.0850624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Model'!C10</f>
        <v>1605.5000000000005</v>
      </c>
      <c r="I92" s="67">
        <v>352</v>
      </c>
      <c r="J92" s="10">
        <f t="shared" si="1"/>
        <v>8473395.0689082518</v>
      </c>
      <c r="K92" s="48"/>
    </row>
    <row r="93" spans="1:11" ht="12.75">
      <c r="A93" s="3">
        <v>40360</v>
      </c>
      <c r="B93" s="46">
        <v>14552932.179747701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si="4" ref="H93:H110">H92+($H$92-$H$81)/11</f>
        <v>1610.7272727272732</v>
      </c>
      <c r="I93" s="67">
        <v>336</v>
      </c>
      <c r="J93" s="10">
        <f t="shared" si="1"/>
        <v>9195465.8397324216</v>
      </c>
      <c r="K93" s="48"/>
    </row>
    <row r="94" spans="1:11" ht="12.75">
      <c r="A94" s="3">
        <v>40391</v>
      </c>
      <c r="B94" s="46">
        <v>14571124.274433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1615.954545454546</v>
      </c>
      <c r="I94" s="67">
        <v>336</v>
      </c>
      <c r="J94" s="10">
        <f t="shared" si="1"/>
        <v>8812448.437173821</v>
      </c>
      <c r="K94" s="48"/>
    </row>
    <row r="95" spans="1:11" ht="12.75">
      <c r="A95" s="3">
        <v>40422</v>
      </c>
      <c r="B95" s="46">
        <v>14589316.369118299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1621.1818181818187</v>
      </c>
      <c r="I95" s="67">
        <v>336</v>
      </c>
      <c r="J95" s="10">
        <f t="shared" si="1"/>
        <v>7490443.8456939738</v>
      </c>
      <c r="K95" s="48"/>
    </row>
    <row r="96" spans="1:11" ht="12.75">
      <c r="A96" s="3">
        <v>40452</v>
      </c>
      <c r="B96" s="46">
        <v>14607508.463803699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1626.4090909090915</v>
      </c>
      <c r="I96" s="67">
        <v>320</v>
      </c>
      <c r="J96" s="10">
        <f t="shared" si="1"/>
        <v>7314670.5902819987</v>
      </c>
      <c r="K96" s="48"/>
    </row>
    <row r="97" spans="1:11" ht="12.75">
      <c r="A97" s="3">
        <v>40483</v>
      </c>
      <c r="B97" s="46">
        <v>14625700.558489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1631.6363636363642</v>
      </c>
      <c r="I97" s="67">
        <v>336</v>
      </c>
      <c r="J97" s="10">
        <f t="shared" si="1"/>
        <v>7464138.0327827279</v>
      </c>
      <c r="K97" s="48"/>
    </row>
    <row r="98" spans="1:11" ht="12.75">
      <c r="A98" s="3">
        <v>40513</v>
      </c>
      <c r="B98" s="46">
        <v>14643892.6531743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1636.8636363636369</v>
      </c>
      <c r="I98" s="67">
        <v>368</v>
      </c>
      <c r="J98" s="10">
        <f t="shared" si="1"/>
        <v>8119668.1384397158</v>
      </c>
      <c r="K98" s="48"/>
    </row>
    <row r="99" spans="1:11" ht="12.75">
      <c r="A99" s="3">
        <v>40544</v>
      </c>
      <c r="C99" s="19">
        <f t="shared" si="5" ref="C99:D110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1642.0909090909097</v>
      </c>
      <c r="I99" s="67">
        <v>336</v>
      </c>
      <c r="J99" s="10">
        <f t="shared" si="1"/>
        <v>8329503.9919572808</v>
      </c>
      <c r="K99" s="48"/>
    </row>
    <row r="100" spans="1:11" ht="12.75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1647.3181818181824</v>
      </c>
      <c r="I100" s="67">
        <v>304</v>
      </c>
      <c r="J100" s="10">
        <f t="shared" si="1"/>
        <v>8302335.3565375805</v>
      </c>
      <c r="K100" s="48"/>
    </row>
    <row r="101" spans="1:11" ht="12.75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1652.5454545454552</v>
      </c>
      <c r="I101" s="67">
        <v>368</v>
      </c>
      <c r="J101" s="10">
        <f t="shared" si="1"/>
        <v>7674818.481768948</v>
      </c>
      <c r="K101" s="48"/>
    </row>
    <row r="102" spans="1:11" ht="12.7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1657.7727272727279</v>
      </c>
      <c r="I102" s="67">
        <v>320</v>
      </c>
      <c r="J102" s="10">
        <f t="shared" si="1"/>
        <v>7455805.8939959751</v>
      </c>
      <c r="K102" s="48"/>
    </row>
    <row r="103" spans="1:11" ht="12.75">
      <c r="A103" s="3">
        <v>40664</v>
      </c>
      <c r="C103" s="19">
        <f t="shared" si="5"/>
        <v>182.38060576923076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1663.0000000000007</v>
      </c>
      <c r="I103" s="67">
        <v>336</v>
      </c>
      <c r="J103" s="10">
        <f t="shared" si="1"/>
        <v>7436843.4140259493</v>
      </c>
      <c r="K103" s="48"/>
    </row>
    <row r="104" spans="1:11" ht="12.7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1668.2272727272734</v>
      </c>
      <c r="I104" s="67">
        <v>352</v>
      </c>
      <c r="J104" s="10">
        <f t="shared" si="1"/>
        <v>8632277.7895784192</v>
      </c>
      <c r="K104" s="48"/>
    </row>
    <row r="105" spans="1:11" ht="12.7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1673.4545454545462</v>
      </c>
      <c r="I105" s="67">
        <v>320</v>
      </c>
      <c r="J105" s="10">
        <f t="shared" si="1"/>
        <v>9452985.9471099731</v>
      </c>
      <c r="K105" s="48"/>
    </row>
    <row r="106" spans="1:11" ht="12.7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1678.6818181818189</v>
      </c>
      <c r="I106" s="67">
        <v>352</v>
      </c>
      <c r="J106" s="10">
        <f t="shared" si="1"/>
        <v>8972870.8158723079</v>
      </c>
      <c r="K106" s="48"/>
    </row>
    <row r="107" spans="1:11" ht="12.7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1683.9090909090917</v>
      </c>
      <c r="I107" s="67">
        <v>336</v>
      </c>
      <c r="J107" s="10">
        <f t="shared" si="1"/>
        <v>7589409.2332741152</v>
      </c>
      <c r="K107" s="48"/>
    </row>
    <row r="108" spans="1:11" ht="12.7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1689.1363636363644</v>
      </c>
      <c r="I108" s="67">
        <v>320</v>
      </c>
      <c r="J108" s="10">
        <f t="shared" si="1"/>
        <v>7509180.9394363882</v>
      </c>
      <c r="K108" s="48"/>
    </row>
    <row r="109" spans="1:11" ht="12.75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1694.3636363636372</v>
      </c>
      <c r="I109" s="67">
        <v>352</v>
      </c>
      <c r="J109" s="10">
        <f t="shared" si="1"/>
        <v>7610647.5795629136</v>
      </c>
      <c r="K109" s="48"/>
    </row>
    <row r="110" spans="1:11" ht="12.75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f t="shared" si="4"/>
        <v>1699.5909090909099</v>
      </c>
      <c r="I110" s="67">
        <v>336</v>
      </c>
      <c r="J110" s="10">
        <f t="shared" si="1"/>
        <v>8367684.3175434619</v>
      </c>
      <c r="K110" s="48"/>
    </row>
    <row r="111" spans="1:11" ht="12.75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4857.7539123630704</v>
      </c>
      <c r="I111" s="67">
        <v>336</v>
      </c>
      <c r="J111" s="10">
        <f t="shared" si="1"/>
        <v>14622925.093181044</v>
      </c>
      <c r="K111" s="48"/>
    </row>
    <row r="112" spans="1:11" ht="12.75">
      <c r="A112" s="3">
        <v>40940</v>
      </c>
      <c r="C112" s="19">
        <f t="shared" si="6" ref="C112:D122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4866.3803513623598</v>
      </c>
      <c r="I112" s="67">
        <v>320</v>
      </c>
      <c r="J112" s="10">
        <f t="shared" si="1"/>
        <v>14581172.313524282</v>
      </c>
      <c r="K112" s="48"/>
    </row>
    <row r="113" spans="1:11" ht="12.75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4875.00679036165</v>
      </c>
      <c r="I113" s="67">
        <v>352</v>
      </c>
      <c r="J113" s="10">
        <f t="shared" si="1"/>
        <v>14012740.714183584</v>
      </c>
      <c r="K113" s="48"/>
    </row>
    <row r="114" spans="1:11" ht="12.7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4883.6332293609503</v>
      </c>
      <c r="I114" s="67">
        <v>320</v>
      </c>
      <c r="J114" s="10">
        <f t="shared" si="1"/>
        <v>13769514.393982725</v>
      </c>
      <c r="K114" s="48"/>
    </row>
    <row r="115" spans="1:11" ht="12.75">
      <c r="A115" s="3">
        <v>41030</v>
      </c>
      <c r="C115" s="19">
        <f t="shared" si="6"/>
        <v>182.38060576923076</v>
      </c>
      <c r="D115" s="19">
        <f t="shared" si="6"/>
        <v>10.404711538461537</v>
      </c>
      <c r="E115" s="68">
        <v>145.00291712756246</v>
      </c>
      <c r="F115" s="67">
        <v>31</v>
      </c>
      <c r="G115" s="67">
        <v>1</v>
      </c>
      <c r="H115" s="47">
        <v>4892.2596683602396</v>
      </c>
      <c r="I115" s="67">
        <v>352</v>
      </c>
      <c r="J115" s="10">
        <f t="shared" si="1"/>
        <v>13726338.665215768</v>
      </c>
      <c r="K115" s="48"/>
    </row>
    <row r="116" spans="1:11" ht="12.7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4900.8861073595299</v>
      </c>
      <c r="I116" s="67">
        <v>336</v>
      </c>
      <c r="J116" s="10">
        <f t="shared" si="1"/>
        <v>14990490.318745097</v>
      </c>
      <c r="K116" s="48"/>
    </row>
    <row r="117" spans="1:11" ht="12.7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4909.5125463588201</v>
      </c>
      <c r="I117" s="67">
        <v>336</v>
      </c>
      <c r="J117" s="10">
        <f t="shared" si="1"/>
        <v>15756009.517934555</v>
      </c>
      <c r="K117" s="48"/>
    </row>
    <row r="118" spans="1:11" ht="12.7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4918.1389853581204</v>
      </c>
      <c r="I118" s="67">
        <v>352</v>
      </c>
      <c r="J118" s="10">
        <f t="shared" si="1"/>
        <v>15313635.957680922</v>
      </c>
      <c r="K118" s="48"/>
    </row>
    <row r="119" spans="1:11" ht="12.7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4926.7654243574098</v>
      </c>
      <c r="I119" s="67">
        <v>304</v>
      </c>
      <c r="J119" s="10">
        <f t="shared" si="1"/>
        <v>13998893.11542627</v>
      </c>
      <c r="K119" s="48"/>
    </row>
    <row r="120" spans="1:11" ht="12.7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4935.3918633567</v>
      </c>
      <c r="I120" s="67">
        <v>352</v>
      </c>
      <c r="J120" s="10">
        <f t="shared" si="1"/>
        <v>13801523.968208939</v>
      </c>
      <c r="K120" s="48"/>
    </row>
    <row r="121" spans="1:11" ht="12.75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4944.0183023559903</v>
      </c>
      <c r="I121" s="67">
        <v>352</v>
      </c>
      <c r="J121" s="10">
        <f t="shared" si="1"/>
        <v>13971710.330007341</v>
      </c>
      <c r="K121" s="48"/>
    </row>
    <row r="122" spans="1:11" ht="12.75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4952.6447413552896</v>
      </c>
      <c r="I122" s="67">
        <v>304</v>
      </c>
      <c r="J122" s="10">
        <f t="shared" si="1"/>
        <v>14797467.282259243</v>
      </c>
      <c r="K122" s="48"/>
    </row>
    <row r="123" spans="1:11" ht="12.75">
      <c r="A123" s="3"/>
      <c r="E123" s="34"/>
      <c r="F123" s="10"/>
      <c r="G123" s="10"/>
      <c r="H123" s="18"/>
      <c r="I123" s="59"/>
      <c r="J123" s="10"/>
      <c r="K123" s="48"/>
    </row>
    <row r="124" spans="1:10" ht="12.75">
      <c r="A124" s="3"/>
      <c r="C124" s="20"/>
      <c r="D124" s="1" t="s">
        <v>15</v>
      </c>
      <c r="J124" s="48">
        <f>SUM(J3:J110)</f>
        <v>1281684797.3602586</v>
      </c>
    </row>
    <row r="125" ht="12.75">
      <c r="A125" s="3"/>
    </row>
    <row r="126" spans="1:12" ht="12.75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si="7" ref="K126:K133">J126-B126</f>
        <v>-1400964.2996744514</v>
      </c>
      <c r="L126" s="5">
        <f t="shared" si="8" ref="L126:L133">K126/B126</f>
        <v>-0.0088647203348045066</v>
      </c>
    </row>
    <row r="127" spans="1:12" ht="12.75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-0.024543411055840555</v>
      </c>
    </row>
    <row r="128" spans="1:27" ht="12.75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0.035013508177605172</v>
      </c>
      <c r="Y128" s="11"/>
      <c r="Z128" s="11"/>
      <c r="AA128" s="11"/>
    </row>
    <row r="129" spans="1:12" ht="12.75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0.012727035394077338</v>
      </c>
    </row>
    <row r="130" spans="1:12" ht="12.75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-0.016411327530595335</v>
      </c>
    </row>
    <row r="131" spans="1:12" ht="12.75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-0.0066929171984948009</v>
      </c>
    </row>
    <row r="132" spans="1:12" ht="12.75">
      <c r="A132" s="17">
        <v>2009</v>
      </c>
      <c r="B132" s="6">
        <f>SUM(B75:B86)</f>
        <v>170443291.66746572</v>
      </c>
      <c r="J132" s="6">
        <f>SUM(J75:J86)</f>
        <v>113039424.127875</v>
      </c>
      <c r="K132" s="37">
        <f>J132-B132</f>
        <v>-57403867.539590716</v>
      </c>
      <c r="L132" s="5">
        <f>K132/B132</f>
        <v>-0.33679159196001368</v>
      </c>
    </row>
    <row r="133" spans="1:12" ht="12.75">
      <c r="A133">
        <v>2010</v>
      </c>
      <c r="B133" s="6">
        <f>SUM(B87:B98)</f>
        <v>174526033.5888609</v>
      </c>
      <c r="J133" s="6">
        <f>SUM(J87:J98)</f>
        <v>95219524.552048221</v>
      </c>
      <c r="K133" s="37">
        <f t="shared" si="7"/>
        <v>-79306509.036812678</v>
      </c>
      <c r="L133" s="5">
        <f t="shared" si="8"/>
        <v>-0.45441076844523215</v>
      </c>
    </row>
    <row r="134" spans="1:10" ht="12.75">
      <c r="A134" s="17">
        <v>2011</v>
      </c>
      <c r="J134" s="6">
        <f>SUM(J99:J110)</f>
        <v>97334363.760663316</v>
      </c>
    </row>
    <row r="135" spans="1:10" ht="12.75">
      <c r="A135" s="17">
        <v>2012</v>
      </c>
      <c r="J135" s="6">
        <f>SUM(J111:J122)</f>
        <v>173342421.67034978</v>
      </c>
    </row>
    <row r="136" ht="12.75">
      <c r="J136" s="6"/>
    </row>
    <row r="137" spans="1:11" ht="12.75">
      <c r="A137" t="s">
        <v>91</v>
      </c>
      <c r="B137" s="6">
        <f>SUM(B126:B133)</f>
        <v>1322857742.9397173</v>
      </c>
      <c r="J137" s="6">
        <f>SUM(J126:J133)</f>
        <v>1184350433.5995948</v>
      </c>
      <c r="K137" s="6">
        <f>J137-B137</f>
        <v>-138507309.34012246</v>
      </c>
    </row>
    <row r="138" spans="10:11" ht="12.75">
      <c r="J138" s="6"/>
      <c r="K138" s="6"/>
    </row>
    <row r="139" spans="10:11" ht="12.75">
      <c r="J139" s="6">
        <f>SUM(J126:J134)</f>
        <v>1281684797.3602581</v>
      </c>
      <c r="K139" s="48">
        <f>J124-J139</f>
        <v>0</v>
      </c>
    </row>
    <row r="140" spans="10:12" ht="12.75">
      <c r="J140" s="20"/>
      <c r="K140" s="20" t="s">
        <v>75</v>
      </c>
      <c r="L140" s="20"/>
    </row>
    <row r="141" spans="25:27" ht="12.75">
      <c r="Y141" s="11"/>
      <c r="Z141" s="11"/>
      <c r="AA141" s="11"/>
    </row>
    <row r="153" spans="25:27" ht="12.75">
      <c r="Y153" s="11"/>
      <c r="Z153" s="11"/>
      <c r="AA153" s="11"/>
    </row>
  </sheetData>
  <pageMargins left="0.38" right="0.75" top="0.73" bottom="0.74" header="0.5" footer="0.5"/>
  <pageSetup horizontalDpi="300" verticalDpi="3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G152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11.8571428571429" customWidth="1"/>
    <col min="2" max="2" width="18" style="6" customWidth="1"/>
    <col min="3" max="3" width="11.7142857142857" style="1" customWidth="1"/>
    <col min="4" max="4" width="13.4285714285714" style="1" customWidth="1"/>
    <col min="5" max="5" width="14.4285714285714" style="35" customWidth="1"/>
    <col min="6" max="6" width="10.1428571428571" style="1" customWidth="1"/>
    <col min="7" max="8" width="12.4285714285714" style="1" customWidth="1"/>
    <col min="9" max="9" width="13" style="1" customWidth="1"/>
    <col min="10" max="10" width="15.4285714285714" style="1" bestFit="1" customWidth="1"/>
    <col min="11" max="11" width="17" style="1" customWidth="1"/>
    <col min="12" max="12" width="12.4285714285714" style="1" customWidth="1"/>
    <col min="13" max="13" width="25.8571428571429" bestFit="1" customWidth="1"/>
    <col min="14" max="16" width="18" customWidth="1"/>
    <col min="17" max="17" width="17.1428571428571" customWidth="1"/>
    <col min="18" max="19" width="15.7142857142857" customWidth="1"/>
    <col min="20" max="20" width="15" customWidth="1"/>
    <col min="21" max="22" width="14.1428571428571" bestFit="1" customWidth="1"/>
    <col min="23" max="23" width="11.7142857142857" bestFit="1" customWidth="1"/>
    <col min="24" max="24" width="11.8571428571429" bestFit="1" customWidth="1"/>
    <col min="25" max="25" width="12.5714285714286" style="6" customWidth="1"/>
    <col min="26" max="26" width="11.2857142857143" style="6" customWidth="1"/>
    <col min="27" max="27" width="11.5714285714286" style="6" customWidth="1"/>
    <col min="28" max="28" width="9.28571428571429" style="6" customWidth="1"/>
    <col min="29" max="29" width="9.14285714285714" style="6"/>
    <col min="30" max="30" width="11.7142857142857" style="6" bestFit="1" customWidth="1"/>
    <col min="31" max="31" width="10.7142857142857" style="6" bestFit="1" customWidth="1"/>
    <col min="32" max="33" width="9.14285714285714" style="6"/>
  </cols>
  <sheetData>
    <row r="2" spans="2:27" ht="42" customHeight="1">
      <c r="B2" s="7" t="s">
        <v>81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27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12" ht="13.5" thickBot="1">
      <c r="A3" s="3">
        <v>37622</v>
      </c>
      <c r="B3" s="46">
        <v>74026706.875119522</v>
      </c>
      <c r="C3" s="65">
        <v>829.50</v>
      </c>
      <c r="D3" s="65">
        <v>0</v>
      </c>
      <c r="E3" s="68">
        <v>125.66024937363977</v>
      </c>
      <c r="F3" s="67">
        <v>31</v>
      </c>
      <c r="G3" s="67">
        <v>0</v>
      </c>
      <c r="H3" s="47">
        <v>949</v>
      </c>
      <c r="I3" s="67">
        <v>351.91199999999998</v>
      </c>
      <c r="J3" s="10">
        <f t="shared" si="0" ref="J3:J66">$N$18+C3*$N$19+D3*$N$20+E3*$N$21+F3*$N$22+G3*$N$23+H3*$N$24+I3*$N$25</f>
        <v>79852023.276446566</v>
      </c>
      <c r="K3" s="10"/>
      <c r="L3" s="14"/>
    </row>
    <row r="4" spans="1:14" ht="12.75">
      <c r="A4" s="3">
        <v>37653</v>
      </c>
      <c r="B4" s="46">
        <v>76586153.241537571</v>
      </c>
      <c r="C4" s="65">
        <v>699.20</v>
      </c>
      <c r="D4" s="65">
        <v>0</v>
      </c>
      <c r="E4" s="68">
        <v>125.80592062045517</v>
      </c>
      <c r="F4" s="67">
        <v>28</v>
      </c>
      <c r="G4" s="67">
        <v>0</v>
      </c>
      <c r="H4" s="47">
        <v>960</v>
      </c>
      <c r="I4" s="67">
        <v>319.87200000000001</v>
      </c>
      <c r="J4" s="10">
        <f t="shared" si="0"/>
        <v>76809178.239413798</v>
      </c>
      <c r="K4" s="10"/>
      <c r="L4" s="14"/>
      <c r="M4" s="54" t="s">
        <v>29</v>
      </c>
      <c r="N4" s="54"/>
    </row>
    <row r="5" spans="1:14" ht="12.75">
      <c r="A5" s="3">
        <v>37681</v>
      </c>
      <c r="B5" s="46">
        <v>79534872.46127367</v>
      </c>
      <c r="C5" s="65">
        <v>593.10</v>
      </c>
      <c r="D5" s="65">
        <v>0</v>
      </c>
      <c r="E5" s="68">
        <v>125.9517607362029</v>
      </c>
      <c r="F5" s="67">
        <v>31</v>
      </c>
      <c r="G5" s="67">
        <v>1</v>
      </c>
      <c r="H5" s="47">
        <v>959</v>
      </c>
      <c r="I5" s="67">
        <v>336.28800000000001</v>
      </c>
      <c r="J5" s="10">
        <f t="shared" si="0"/>
        <v>77921688.526895776</v>
      </c>
      <c r="K5" s="10"/>
      <c r="L5" s="14"/>
      <c r="M5" s="36" t="s">
        <v>30</v>
      </c>
      <c r="N5" s="64">
        <v>0.73777408303790182</v>
      </c>
    </row>
    <row r="6" spans="1:14" ht="12.75">
      <c r="A6" s="3">
        <v>37712</v>
      </c>
      <c r="B6" s="46">
        <v>74709560.030598581</v>
      </c>
      <c r="C6" s="65">
        <v>387.10</v>
      </c>
      <c r="D6" s="65">
        <v>0</v>
      </c>
      <c r="E6" s="68">
        <v>126.09776991664374</v>
      </c>
      <c r="F6" s="67">
        <v>30</v>
      </c>
      <c r="G6" s="67">
        <v>1</v>
      </c>
      <c r="H6" s="47">
        <v>963</v>
      </c>
      <c r="I6" s="67">
        <v>336.24</v>
      </c>
      <c r="J6" s="10">
        <f t="shared" si="0"/>
        <v>76430003.586352974</v>
      </c>
      <c r="K6" s="10"/>
      <c r="L6" s="14"/>
      <c r="M6" s="36" t="s">
        <v>31</v>
      </c>
      <c r="N6" s="64">
        <v>0.54431059760241685</v>
      </c>
    </row>
    <row r="7" spans="1:14" ht="12.75">
      <c r="A7" s="3">
        <v>37742</v>
      </c>
      <c r="B7" s="46">
        <v>75955021.87798813</v>
      </c>
      <c r="C7" s="65">
        <v>215.80</v>
      </c>
      <c r="D7" s="65">
        <v>0</v>
      </c>
      <c r="E7" s="68">
        <v>126.2439483577654</v>
      </c>
      <c r="F7" s="67">
        <v>31</v>
      </c>
      <c r="G7" s="67">
        <v>1</v>
      </c>
      <c r="H7" s="47">
        <v>968</v>
      </c>
      <c r="I7" s="67">
        <v>336.28800000000001</v>
      </c>
      <c r="J7" s="10">
        <f t="shared" si="0"/>
        <v>76386322.318335727</v>
      </c>
      <c r="K7" s="10"/>
      <c r="L7" s="14"/>
      <c r="M7" s="36" t="s">
        <v>32</v>
      </c>
      <c r="N7" s="64">
        <v>0.50806257695715462</v>
      </c>
    </row>
    <row r="8" spans="1:14" ht="12.75">
      <c r="A8" s="3">
        <v>37773</v>
      </c>
      <c r="B8" s="46">
        <v>76426794.042838007</v>
      </c>
      <c r="C8" s="65">
        <v>54.50</v>
      </c>
      <c r="D8" s="65">
        <v>41.40</v>
      </c>
      <c r="E8" s="68">
        <v>126.3902962557828</v>
      </c>
      <c r="F8" s="67">
        <v>30</v>
      </c>
      <c r="G8" s="67">
        <v>0</v>
      </c>
      <c r="H8" s="47">
        <v>969</v>
      </c>
      <c r="I8" s="67">
        <v>336.24</v>
      </c>
      <c r="J8" s="10">
        <f t="shared" si="0"/>
        <v>79012358.539394453</v>
      </c>
      <c r="K8" s="10"/>
      <c r="L8" s="14"/>
      <c r="M8" s="36" t="s">
        <v>33</v>
      </c>
      <c r="N8" s="62">
        <v>2725951.837672113</v>
      </c>
    </row>
    <row r="9" spans="1:14" ht="13.5" thickBot="1">
      <c r="A9" s="3">
        <v>37803</v>
      </c>
      <c r="B9" s="46">
        <v>83654451.357812196</v>
      </c>
      <c r="C9" s="65">
        <v>6.50</v>
      </c>
      <c r="D9" s="65">
        <v>83.90</v>
      </c>
      <c r="E9" s="68">
        <v>126.5368138071383</v>
      </c>
      <c r="F9" s="67">
        <v>31</v>
      </c>
      <c r="G9" s="67">
        <v>0</v>
      </c>
      <c r="H9" s="47">
        <v>970</v>
      </c>
      <c r="I9" s="67">
        <v>351.91199999999998</v>
      </c>
      <c r="J9" s="10">
        <f t="shared" si="0"/>
        <v>83213133.267395094</v>
      </c>
      <c r="K9" s="10"/>
      <c r="L9" s="14"/>
      <c r="M9" s="52" t="s">
        <v>34</v>
      </c>
      <c r="N9" s="52">
        <v>96</v>
      </c>
    </row>
    <row r="10" spans="1:12" ht="12.75">
      <c r="A10" s="3">
        <v>37834</v>
      </c>
      <c r="B10" s="46">
        <v>81075683.304647163</v>
      </c>
      <c r="C10" s="65">
        <v>5.70</v>
      </c>
      <c r="D10" s="65">
        <v>102.60</v>
      </c>
      <c r="E10" s="68">
        <v>126.68350120850199</v>
      </c>
      <c r="F10" s="67">
        <v>31</v>
      </c>
      <c r="G10" s="67">
        <v>0</v>
      </c>
      <c r="H10" s="47">
        <v>971</v>
      </c>
      <c r="I10" s="67">
        <v>319.92</v>
      </c>
      <c r="J10" s="10">
        <f t="shared" si="0"/>
        <v>83934173.302139997</v>
      </c>
      <c r="K10" s="10"/>
      <c r="L10" s="14"/>
    </row>
    <row r="11" spans="1:13" ht="13.5" thickBot="1">
      <c r="A11" s="3">
        <v>37865</v>
      </c>
      <c r="B11" s="46">
        <v>78753349.378466234</v>
      </c>
      <c r="C11" s="65">
        <v>73.900000000000006</v>
      </c>
      <c r="D11" s="65">
        <v>14.80</v>
      </c>
      <c r="E11" s="68">
        <v>126.83035865677196</v>
      </c>
      <c r="F11" s="67">
        <v>30</v>
      </c>
      <c r="G11" s="67">
        <v>1</v>
      </c>
      <c r="H11" s="47">
        <v>970</v>
      </c>
      <c r="I11" s="67">
        <v>336.24</v>
      </c>
      <c r="J11" s="10">
        <f t="shared" si="0"/>
        <v>76273136.853288844</v>
      </c>
      <c r="K11" s="10"/>
      <c r="L11" s="14"/>
      <c r="M11" t="s">
        <v>35</v>
      </c>
    </row>
    <row r="12" spans="1:18" ht="12.75">
      <c r="A12" s="3">
        <v>37895</v>
      </c>
      <c r="B12" s="46">
        <v>77418502.314017966</v>
      </c>
      <c r="C12" s="65">
        <v>293.50</v>
      </c>
      <c r="D12" s="65">
        <v>0</v>
      </c>
      <c r="E12" s="68">
        <v>126.97738634907456</v>
      </c>
      <c r="F12" s="67">
        <v>31</v>
      </c>
      <c r="G12" s="67">
        <v>1</v>
      </c>
      <c r="H12" s="47">
        <v>976</v>
      </c>
      <c r="I12" s="67">
        <v>351.91199999999998</v>
      </c>
      <c r="J12" s="10">
        <f t="shared" si="0"/>
        <v>77205038.620879978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18" ht="12.75">
      <c r="A13" s="3">
        <v>37926</v>
      </c>
      <c r="B13" s="46">
        <v>76366544.578313246</v>
      </c>
      <c r="C13" s="65">
        <v>391.50</v>
      </c>
      <c r="D13" s="65">
        <v>0</v>
      </c>
      <c r="E13" s="68">
        <v>127.12458448276465</v>
      </c>
      <c r="F13" s="67">
        <v>30</v>
      </c>
      <c r="G13" s="67">
        <v>1</v>
      </c>
      <c r="H13" s="47">
        <v>983</v>
      </c>
      <c r="I13" s="67">
        <v>319.68</v>
      </c>
      <c r="J13" s="10">
        <f t="shared" si="0"/>
        <v>76365677.885303423</v>
      </c>
      <c r="K13" s="10"/>
      <c r="L13" s="14"/>
      <c r="M13" s="36" t="s">
        <v>36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18" ht="12.75">
      <c r="A14" s="3">
        <v>37956</v>
      </c>
      <c r="B14" s="46">
        <v>76284499.062918335</v>
      </c>
      <c r="C14" s="65">
        <v>571</v>
      </c>
      <c r="D14" s="65">
        <v>0</v>
      </c>
      <c r="E14" s="68">
        <v>127.27195325542573</v>
      </c>
      <c r="F14" s="67">
        <v>31</v>
      </c>
      <c r="G14" s="67">
        <v>0</v>
      </c>
      <c r="H14" s="47">
        <v>987</v>
      </c>
      <c r="I14" s="67">
        <v>336.28800000000001</v>
      </c>
      <c r="J14" s="10">
        <f t="shared" si="0"/>
        <v>78951574.4375121</v>
      </c>
      <c r="K14" s="10"/>
      <c r="L14" s="14"/>
      <c r="M14" s="36" t="s">
        <v>37</v>
      </c>
      <c r="N14" s="36">
        <v>88</v>
      </c>
      <c r="O14" s="36">
        <v>653911581075101.25</v>
      </c>
      <c r="P14" s="36">
        <v>7430813421307.9688</v>
      </c>
      <c r="Q14" s="36"/>
      <c r="R14" s="36"/>
    </row>
    <row r="15" spans="1:18" ht="13.5" thickBot="1">
      <c r="A15" s="3">
        <v>37987</v>
      </c>
      <c r="B15" s="46">
        <v>84758130.770701841</v>
      </c>
      <c r="C15" s="65">
        <v>859.10</v>
      </c>
      <c r="D15" s="65">
        <v>0</v>
      </c>
      <c r="E15" s="68">
        <v>127.53411264087498</v>
      </c>
      <c r="F15" s="67">
        <v>31</v>
      </c>
      <c r="G15" s="67">
        <v>0</v>
      </c>
      <c r="H15" s="47">
        <v>986</v>
      </c>
      <c r="I15" s="67">
        <v>336.28800000000001</v>
      </c>
      <c r="J15" s="10">
        <f t="shared" si="0"/>
        <v>80196350.943077758</v>
      </c>
      <c r="K15" s="10"/>
      <c r="L15" s="14"/>
      <c r="M15" s="52" t="s">
        <v>11</v>
      </c>
      <c r="N15" s="52">
        <v>95</v>
      </c>
      <c r="O15" s="52">
        <v>1434994049970404.8</v>
      </c>
      <c r="P15" s="52"/>
      <c r="Q15" s="52"/>
      <c r="R15" s="52"/>
    </row>
    <row r="16" spans="1:12" ht="13.5" thickBot="1">
      <c r="A16" s="3">
        <v>38018</v>
      </c>
      <c r="B16" s="46">
        <v>78370409.552495688</v>
      </c>
      <c r="C16" s="65">
        <v>647.70000000000005</v>
      </c>
      <c r="D16" s="65">
        <v>0</v>
      </c>
      <c r="E16" s="68">
        <v>127.79681203173486</v>
      </c>
      <c r="F16" s="67">
        <v>29</v>
      </c>
      <c r="G16" s="67">
        <v>0</v>
      </c>
      <c r="H16" s="47">
        <v>985</v>
      </c>
      <c r="I16" s="67">
        <v>320.16000000000003</v>
      </c>
      <c r="J16" s="10">
        <f t="shared" si="0"/>
        <v>77535136.492426068</v>
      </c>
      <c r="K16" s="10"/>
      <c r="L16" s="14"/>
    </row>
    <row r="17" spans="1:21" ht="12.75">
      <c r="A17" s="3">
        <v>38047</v>
      </c>
      <c r="B17" s="46">
        <v>81880891.566265047</v>
      </c>
      <c r="C17" s="65">
        <v>513.60</v>
      </c>
      <c r="D17" s="65">
        <v>0</v>
      </c>
      <c r="E17" s="68">
        <v>128.06005254032812</v>
      </c>
      <c r="F17" s="67">
        <v>31</v>
      </c>
      <c r="G17" s="67">
        <v>1</v>
      </c>
      <c r="H17" s="47">
        <v>987</v>
      </c>
      <c r="I17" s="67">
        <v>368.28</v>
      </c>
      <c r="J17" s="10">
        <f t="shared" si="0"/>
        <v>78707934.816026703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ht="12.75">
      <c r="A18" s="3">
        <v>38078</v>
      </c>
      <c r="B18" s="46">
        <v>75220977.070185512</v>
      </c>
      <c r="C18" s="65">
        <v>329.30</v>
      </c>
      <c r="D18" s="65">
        <v>0</v>
      </c>
      <c r="E18" s="68">
        <v>128.32383528126866</v>
      </c>
      <c r="F18" s="67">
        <v>30</v>
      </c>
      <c r="G18" s="67">
        <v>1</v>
      </c>
      <c r="H18" s="47">
        <v>998</v>
      </c>
      <c r="I18" s="67">
        <v>336.24</v>
      </c>
      <c r="J18" s="10">
        <f t="shared" si="0"/>
        <v>76676749.247334167</v>
      </c>
      <c r="K18" s="10"/>
      <c r="L18" s="14"/>
      <c r="M18" s="36" t="s">
        <v>38</v>
      </c>
      <c r="N18" s="62">
        <v>41573985.963250898</v>
      </c>
      <c r="O18" s="36">
        <v>14869898.127989987</v>
      </c>
      <c r="P18" s="60">
        <v>2.7958487412227209</v>
      </c>
      <c r="Q18" s="36">
        <v>0.0063550995538602887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ht="12.75">
      <c r="A19" s="3">
        <v>38108</v>
      </c>
      <c r="B19" s="46">
        <v>78364682.979537189</v>
      </c>
      <c r="C19" s="65">
        <v>164.10</v>
      </c>
      <c r="D19" s="65">
        <v>14.20</v>
      </c>
      <c r="E19" s="68">
        <v>128.58816137146633</v>
      </c>
      <c r="F19" s="67">
        <v>31</v>
      </c>
      <c r="G19" s="67">
        <v>1</v>
      </c>
      <c r="H19" s="47">
        <v>1003</v>
      </c>
      <c r="I19" s="67">
        <v>319.92</v>
      </c>
      <c r="J19" s="10">
        <f t="shared" si="0"/>
        <v>77385662.103633374</v>
      </c>
      <c r="K19" s="10"/>
      <c r="L19" s="14"/>
      <c r="M19" s="36" t="s">
        <v>3</v>
      </c>
      <c r="N19" s="62">
        <v>4498.635992805619</v>
      </c>
      <c r="O19" s="36">
        <v>1984.5682132011521</v>
      </c>
      <c r="P19" s="60">
        <v>2.2668084487502802</v>
      </c>
      <c r="Q19" s="36">
        <v>0.025852796320107996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ht="12.75">
      <c r="A20" s="3">
        <v>38139</v>
      </c>
      <c r="B20" s="46">
        <v>80644574.650984898</v>
      </c>
      <c r="C20" s="65">
        <v>60.10</v>
      </c>
      <c r="D20" s="65">
        <v>29.20</v>
      </c>
      <c r="E20" s="68">
        <v>128.85303193013166</v>
      </c>
      <c r="F20" s="67">
        <v>30</v>
      </c>
      <c r="G20" s="67">
        <v>0</v>
      </c>
      <c r="H20" s="47">
        <v>1006</v>
      </c>
      <c r="I20" s="67">
        <v>352.08</v>
      </c>
      <c r="J20" s="10">
        <f t="shared" si="0"/>
        <v>78969505.553882807</v>
      </c>
      <c r="K20" s="10"/>
      <c r="L20" s="14"/>
      <c r="M20" s="36" t="s">
        <v>4</v>
      </c>
      <c r="N20" s="62">
        <v>79947.143351801104</v>
      </c>
      <c r="O20" s="36">
        <v>16225.137786505273</v>
      </c>
      <c r="P20" s="60">
        <v>4.9273629847565621</v>
      </c>
      <c r="Q20" s="36">
        <v>3.8822499291214569E-06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ht="12.75">
      <c r="A21" s="3">
        <v>38169</v>
      </c>
      <c r="B21" s="46">
        <v>83646349.158538923</v>
      </c>
      <c r="C21" s="65">
        <v>7.70</v>
      </c>
      <c r="D21" s="65">
        <v>71.599999999999994</v>
      </c>
      <c r="E21" s="68">
        <v>129.11844807878055</v>
      </c>
      <c r="F21" s="67">
        <v>31</v>
      </c>
      <c r="G21" s="67">
        <v>0</v>
      </c>
      <c r="H21" s="47">
        <v>1009</v>
      </c>
      <c r="I21" s="67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62">
        <v>-112970.68507257158</v>
      </c>
      <c r="O21" s="36">
        <v>61754.691021943232</v>
      </c>
      <c r="P21" s="60">
        <v>-1.8293458068218627</v>
      </c>
      <c r="Q21" s="36">
        <v>0.070734488363211195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ht="12.75">
      <c r="A22" s="3">
        <v>38200</v>
      </c>
      <c r="B22" s="46">
        <v>81801175.043029249</v>
      </c>
      <c r="C22" s="65">
        <v>28.90</v>
      </c>
      <c r="D22" s="65">
        <v>40</v>
      </c>
      <c r="E22" s="68">
        <v>129.38441094123903</v>
      </c>
      <c r="F22" s="67">
        <v>31</v>
      </c>
      <c r="G22" s="67">
        <v>0</v>
      </c>
      <c r="H22" s="47">
        <v>1009</v>
      </c>
      <c r="I22" s="67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62">
        <v>633964.47417899594</v>
      </c>
      <c r="O22" s="36">
        <v>373836.46345756989</v>
      </c>
      <c r="P22" s="60">
        <v>1.6958337030998325</v>
      </c>
      <c r="Q22" s="36">
        <v>0.093452687883894048</v>
      </c>
      <c r="R22" s="36">
        <v>-108956.92516723753</v>
      </c>
      <c r="S22" s="36">
        <v>1376885.8735252293</v>
      </c>
      <c r="T22" s="36">
        <v>-108956.92516723753</v>
      </c>
      <c r="U22" s="36">
        <v>1376885.8735252293</v>
      </c>
    </row>
    <row r="23" spans="1:21" ht="12.75">
      <c r="A23" s="3">
        <v>38231</v>
      </c>
      <c r="B23" s="46">
        <v>80724583.438515976</v>
      </c>
      <c r="C23" s="65">
        <v>43.90</v>
      </c>
      <c r="D23" s="65">
        <v>31.20</v>
      </c>
      <c r="E23" s="68">
        <v>129.65092164364802</v>
      </c>
      <c r="F23" s="67">
        <v>30</v>
      </c>
      <c r="G23" s="67">
        <v>1</v>
      </c>
      <c r="H23" s="47">
        <v>1023</v>
      </c>
      <c r="I23" s="67">
        <v>336.24</v>
      </c>
      <c r="J23" s="10">
        <f t="shared" si="0"/>
        <v>78278872.516786143</v>
      </c>
      <c r="K23" s="10"/>
      <c r="L23" s="14"/>
      <c r="M23" s="36" t="s">
        <v>27</v>
      </c>
      <c r="N23" s="62">
        <v>-671851.25888293877</v>
      </c>
      <c r="O23" s="36">
        <v>827938.85756069049</v>
      </c>
      <c r="P23" s="60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ht="12.75">
      <c r="A24" s="3">
        <v>38261</v>
      </c>
      <c r="B24" s="46">
        <v>77934517.833237723</v>
      </c>
      <c r="C24" s="65">
        <v>253.50</v>
      </c>
      <c r="D24" s="65">
        <v>0</v>
      </c>
      <c r="E24" s="68">
        <v>129.91798131446814</v>
      </c>
      <c r="F24" s="67">
        <v>31</v>
      </c>
      <c r="G24" s="67">
        <v>1</v>
      </c>
      <c r="H24" s="47">
        <v>1027</v>
      </c>
      <c r="I24" s="67">
        <v>319.92</v>
      </c>
      <c r="J24" s="10">
        <f t="shared" si="0"/>
        <v>77022300.821952268</v>
      </c>
      <c r="K24" s="10"/>
      <c r="L24" s="14"/>
      <c r="M24" s="36" t="s">
        <v>77</v>
      </c>
      <c r="N24" s="62">
        <v>21664.198589238855</v>
      </c>
      <c r="O24" s="36">
        <v>7385.1708485838908</v>
      </c>
      <c r="P24" s="60">
        <v>2.9334729058289795</v>
      </c>
      <c r="Q24" s="36">
        <v>0.0042731632797801782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5" thickBot="1">
      <c r="A25" s="3">
        <v>38292</v>
      </c>
      <c r="B25" s="46">
        <v>77253168.818129659</v>
      </c>
      <c r="C25" s="65">
        <v>396</v>
      </c>
      <c r="D25" s="65">
        <v>0</v>
      </c>
      <c r="E25" s="68">
        <v>130.18559108448443</v>
      </c>
      <c r="F25" s="67">
        <v>30</v>
      </c>
      <c r="G25" s="67">
        <v>1</v>
      </c>
      <c r="H25" s="47">
        <v>1047</v>
      </c>
      <c r="I25" s="67">
        <v>352.08</v>
      </c>
      <c r="J25" s="10">
        <f t="shared" si="0"/>
        <v>78211981.560702533</v>
      </c>
      <c r="K25" s="10"/>
      <c r="L25" s="14"/>
      <c r="M25" s="52" t="s">
        <v>6</v>
      </c>
      <c r="N25" s="52">
        <v>24239.355448399394</v>
      </c>
      <c r="O25" s="52">
        <v>17993.48305139277</v>
      </c>
      <c r="P25" s="61">
        <v>1.3471185861662935</v>
      </c>
      <c r="Q25" s="52">
        <v>0.18140075853599957</v>
      </c>
      <c r="R25" s="52">
        <v>-11518.91030239642</v>
      </c>
      <c r="S25" s="52">
        <v>59997.621199195208</v>
      </c>
      <c r="T25" s="52">
        <v>-11518.91030239642</v>
      </c>
      <c r="U25" s="52">
        <v>59997.621199195208</v>
      </c>
    </row>
    <row r="26" spans="1:12" ht="12.75">
      <c r="A26" s="3">
        <v>38322</v>
      </c>
      <c r="B26" s="46">
        <v>79935570.147255674</v>
      </c>
      <c r="C26" s="65">
        <v>636.70000000000005</v>
      </c>
      <c r="D26" s="65">
        <v>0</v>
      </c>
      <c r="E26" s="68">
        <v>130.45375208681136</v>
      </c>
      <c r="F26" s="67">
        <v>31</v>
      </c>
      <c r="G26" s="67">
        <v>0</v>
      </c>
      <c r="H26" s="47">
        <v>1051</v>
      </c>
      <c r="I26" s="67">
        <v>336.28800000000001</v>
      </c>
      <c r="J26" s="10">
        <f t="shared" si="0"/>
        <v>80274193.538205981</v>
      </c>
      <c r="K26" s="10"/>
      <c r="L26" s="14"/>
    </row>
    <row r="27" spans="1:12" ht="12.75">
      <c r="A27" s="3">
        <v>38353</v>
      </c>
      <c r="B27" s="46">
        <v>78291773.073245361</v>
      </c>
      <c r="C27" s="65">
        <v>765.80</v>
      </c>
      <c r="D27" s="65">
        <v>0</v>
      </c>
      <c r="E27" s="68">
        <v>130.74370215685079</v>
      </c>
      <c r="F27" s="67">
        <v>31</v>
      </c>
      <c r="G27" s="67">
        <v>0</v>
      </c>
      <c r="H27" s="47">
        <v>1056</v>
      </c>
      <c r="I27" s="67">
        <v>319.92</v>
      </c>
      <c r="J27" s="10">
        <f t="shared" si="0"/>
        <v>80533782.809794769</v>
      </c>
      <c r="K27" s="10"/>
      <c r="L27" s="14"/>
    </row>
    <row r="28" spans="1:12" ht="12.75">
      <c r="A28" s="3">
        <v>38384</v>
      </c>
      <c r="B28" s="46">
        <v>78814348.50831899</v>
      </c>
      <c r="C28" s="65">
        <v>641.70000000000005</v>
      </c>
      <c r="D28" s="65">
        <v>0</v>
      </c>
      <c r="E28" s="68">
        <v>131.0342966778299</v>
      </c>
      <c r="F28" s="67">
        <v>28</v>
      </c>
      <c r="G28" s="67">
        <v>0</v>
      </c>
      <c r="H28" s="47">
        <v>1060</v>
      </c>
      <c r="I28" s="67">
        <v>319.87200000000001</v>
      </c>
      <c r="J28" s="10">
        <f t="shared" si="0"/>
        <v>78126273.303732708</v>
      </c>
      <c r="K28" s="10"/>
      <c r="L28" s="14"/>
    </row>
    <row r="29" spans="1:12" ht="12.75">
      <c r="A29" s="3">
        <v>38412</v>
      </c>
      <c r="B29" s="46">
        <v>83108466.265060246</v>
      </c>
      <c r="C29" s="65">
        <v>646.90</v>
      </c>
      <c r="D29" s="65">
        <v>0</v>
      </c>
      <c r="E29" s="68">
        <v>131.32553708212294</v>
      </c>
      <c r="F29" s="67">
        <v>31</v>
      </c>
      <c r="G29" s="67">
        <v>1</v>
      </c>
      <c r="H29" s="47">
        <v>1061</v>
      </c>
      <c r="I29" s="67">
        <v>351.91199999999998</v>
      </c>
      <c r="J29" s="10">
        <f t="shared" si="0"/>
        <v>80145099.893711522</v>
      </c>
      <c r="K29" s="10"/>
      <c r="L29" s="14"/>
    </row>
    <row r="30" spans="1:12" ht="12.75">
      <c r="A30" s="3">
        <v>38443</v>
      </c>
      <c r="B30" s="46">
        <v>77162206.932491854</v>
      </c>
      <c r="C30" s="65">
        <v>339</v>
      </c>
      <c r="D30" s="65">
        <v>0</v>
      </c>
      <c r="E30" s="68">
        <v>131.61742480528775</v>
      </c>
      <c r="F30" s="67">
        <v>30</v>
      </c>
      <c r="G30" s="67">
        <v>1</v>
      </c>
      <c r="H30" s="47">
        <v>1067</v>
      </c>
      <c r="I30" s="67">
        <v>336.24</v>
      </c>
      <c r="J30" s="10">
        <f t="shared" si="0"/>
        <v>77843136.65424557</v>
      </c>
      <c r="K30" s="10"/>
      <c r="L30" s="14"/>
    </row>
    <row r="31" spans="1:12" ht="12.75">
      <c r="A31" s="3">
        <v>38473</v>
      </c>
      <c r="B31" s="46">
        <v>78475945.620577529</v>
      </c>
      <c r="C31" s="65">
        <v>212.70</v>
      </c>
      <c r="D31" s="65">
        <v>0</v>
      </c>
      <c r="E31" s="68">
        <v>131.90996128607299</v>
      </c>
      <c r="F31" s="67">
        <v>31</v>
      </c>
      <c r="G31" s="67">
        <v>1</v>
      </c>
      <c r="H31" s="47">
        <v>1066</v>
      </c>
      <c r="I31" s="67">
        <v>336.28800000000001</v>
      </c>
      <c r="J31" s="10">
        <f t="shared" si="0"/>
        <v>77855374.646362484</v>
      </c>
      <c r="K31" s="10"/>
      <c r="L31" s="14"/>
    </row>
    <row r="32" spans="1:12" ht="12.75">
      <c r="A32" s="3">
        <v>38504</v>
      </c>
      <c r="B32" s="46">
        <v>88393244.482692674</v>
      </c>
      <c r="C32" s="65">
        <v>13.10</v>
      </c>
      <c r="D32" s="65">
        <v>119.60</v>
      </c>
      <c r="E32" s="68">
        <v>132.20314796642501</v>
      </c>
      <c r="F32" s="67">
        <v>30</v>
      </c>
      <c r="G32" s="67">
        <v>0</v>
      </c>
      <c r="H32" s="47">
        <v>1063</v>
      </c>
      <c r="I32" s="67">
        <v>352.08</v>
      </c>
      <c r="J32" s="10">
        <f t="shared" si="0"/>
        <v>86841685.837117717</v>
      </c>
      <c r="K32" s="10"/>
      <c r="L32" s="14"/>
    </row>
    <row r="33" spans="1:12" ht="12.75">
      <c r="A33" s="3">
        <v>38534</v>
      </c>
      <c r="B33" s="46">
        <v>87417721.113023505</v>
      </c>
      <c r="C33" s="65">
        <v>1.1000000000000001</v>
      </c>
      <c r="D33" s="65">
        <v>144.69999999999999</v>
      </c>
      <c r="E33" s="68">
        <v>132.49698629149512</v>
      </c>
      <c r="F33" s="67">
        <v>31</v>
      </c>
      <c r="G33" s="67">
        <v>0</v>
      </c>
      <c r="H33" s="47">
        <v>1067</v>
      </c>
      <c r="I33" s="67">
        <v>319.92</v>
      </c>
      <c r="J33" s="10">
        <f t="shared" si="0"/>
        <v>88702263.98376593</v>
      </c>
      <c r="K33" s="10"/>
      <c r="L33" s="14"/>
    </row>
    <row r="34" spans="1:12" ht="12.75">
      <c r="A34" s="3">
        <v>38565</v>
      </c>
      <c r="B34" s="46">
        <v>87825517.555938035</v>
      </c>
      <c r="C34" s="65">
        <v>3.80</v>
      </c>
      <c r="D34" s="65">
        <v>102.50</v>
      </c>
      <c r="E34" s="68">
        <v>132.79147770964664</v>
      </c>
      <c r="F34" s="67">
        <v>31</v>
      </c>
      <c r="G34" s="67">
        <v>0</v>
      </c>
      <c r="H34" s="47">
        <v>1069</v>
      </c>
      <c r="I34" s="67">
        <v>351.91199999999998</v>
      </c>
      <c r="J34" s="10">
        <f t="shared" si="0"/>
        <v>86126165.810927615</v>
      </c>
      <c r="K34" s="10"/>
      <c r="L34" s="14"/>
    </row>
    <row r="35" spans="1:12" ht="12.75">
      <c r="A35" s="3">
        <v>38596</v>
      </c>
      <c r="B35" s="46">
        <v>73412804.953145921</v>
      </c>
      <c r="C35" s="65">
        <v>32.799999999999997</v>
      </c>
      <c r="D35" s="65">
        <v>25.60</v>
      </c>
      <c r="E35" s="68">
        <v>133.08662367246211</v>
      </c>
      <c r="F35" s="67">
        <v>30</v>
      </c>
      <c r="G35" s="67">
        <v>1</v>
      </c>
      <c r="H35" s="47">
        <v>1071</v>
      </c>
      <c r="I35" s="67">
        <v>336.24</v>
      </c>
      <c r="J35" s="10">
        <f t="shared" si="0"/>
        <v>78432981.574879035</v>
      </c>
      <c r="K35" s="10"/>
      <c r="L35" s="14"/>
    </row>
    <row r="36" spans="1:12" ht="12.75">
      <c r="A36" s="3">
        <v>38626</v>
      </c>
      <c r="B36" s="46">
        <v>88514382.147638157</v>
      </c>
      <c r="C36" s="65">
        <v>234.20</v>
      </c>
      <c r="D36" s="65">
        <v>7.60</v>
      </c>
      <c r="E36" s="68">
        <v>133.38242563475035</v>
      </c>
      <c r="F36" s="67">
        <v>31</v>
      </c>
      <c r="G36" s="67">
        <v>1</v>
      </c>
      <c r="H36" s="47">
        <v>1075</v>
      </c>
      <c r="I36" s="67">
        <v>319.92</v>
      </c>
      <c r="J36" s="10">
        <f t="shared" si="0"/>
        <v>78191576.320790216</v>
      </c>
      <c r="K36" s="10"/>
      <c r="L36" s="14"/>
    </row>
    <row r="37" spans="1:12" ht="12.75">
      <c r="A37" s="3">
        <v>38657</v>
      </c>
      <c r="B37" s="46">
        <v>78182214.486517489</v>
      </c>
      <c r="C37" s="65">
        <v>396.30</v>
      </c>
      <c r="D37" s="65">
        <v>0</v>
      </c>
      <c r="E37" s="68">
        <v>133.67888505455369</v>
      </c>
      <c r="F37" s="67">
        <v>30</v>
      </c>
      <c r="G37" s="67">
        <v>1</v>
      </c>
      <c r="H37" s="47">
        <v>1074</v>
      </c>
      <c r="I37" s="67">
        <v>352.08</v>
      </c>
      <c r="J37" s="10">
        <f t="shared" si="0"/>
        <v>78403624.700451195</v>
      </c>
      <c r="K37" s="10"/>
      <c r="L37" s="14"/>
    </row>
    <row r="38" spans="1:12" ht="12.75">
      <c r="A38" s="3">
        <v>38687</v>
      </c>
      <c r="B38" s="46">
        <v>81481154.800153002</v>
      </c>
      <c r="C38" s="65">
        <v>688.80</v>
      </c>
      <c r="D38" s="65">
        <v>0</v>
      </c>
      <c r="E38" s="68">
        <v>133.97600339315525</v>
      </c>
      <c r="F38" s="67">
        <v>31</v>
      </c>
      <c r="G38" s="67">
        <v>0</v>
      </c>
      <c r="H38" s="47">
        <v>1079</v>
      </c>
      <c r="I38" s="67">
        <v>319.92</v>
      </c>
      <c r="J38" s="10">
        <f t="shared" si="0"/>
        <v>80320509.120875016</v>
      </c>
      <c r="K38" s="10"/>
      <c r="L38" s="14"/>
    </row>
    <row r="39" spans="1:12" ht="12.75">
      <c r="A39" s="3">
        <v>38718</v>
      </c>
      <c r="B39" s="39">
        <v>83468522.183973983</v>
      </c>
      <c r="C39" s="65">
        <v>554.70000000000005</v>
      </c>
      <c r="D39" s="65">
        <v>0</v>
      </c>
      <c r="E39" s="68">
        <v>134.25197202423306</v>
      </c>
      <c r="F39" s="67">
        <v>31</v>
      </c>
      <c r="G39" s="67">
        <v>0</v>
      </c>
      <c r="H39" s="47">
        <v>1088</v>
      </c>
      <c r="I39" s="67">
        <v>336.28800000000001</v>
      </c>
      <c r="J39" s="10">
        <f t="shared" si="0"/>
        <v>80277793.226210937</v>
      </c>
      <c r="K39" s="10"/>
      <c r="L39" s="14"/>
    </row>
    <row r="40" spans="1:12" ht="12.75">
      <c r="A40" s="3">
        <v>38749</v>
      </c>
      <c r="B40" s="39">
        <v>77626470.587110341</v>
      </c>
      <c r="C40" s="65">
        <v>602.79999999999995</v>
      </c>
      <c r="D40" s="65">
        <v>0</v>
      </c>
      <c r="E40" s="68">
        <v>134.52850910550649</v>
      </c>
      <c r="F40" s="67">
        <v>28</v>
      </c>
      <c r="G40" s="67">
        <v>0</v>
      </c>
      <c r="H40" s="47">
        <v>1094</v>
      </c>
      <c r="I40" s="67">
        <v>319.87200000000001</v>
      </c>
      <c r="J40" s="10">
        <f t="shared" si="0"/>
        <v>78293115.543902978</v>
      </c>
      <c r="K40" s="10"/>
      <c r="L40" s="14"/>
    </row>
    <row r="41" spans="1:12" ht="12.75">
      <c r="A41" s="3">
        <v>38777</v>
      </c>
      <c r="B41" s="39">
        <v>80628498.642187804</v>
      </c>
      <c r="C41" s="65">
        <v>530.40</v>
      </c>
      <c r="D41" s="65">
        <v>0</v>
      </c>
      <c r="E41" s="68">
        <v>134.80561580788987</v>
      </c>
      <c r="F41" s="67">
        <v>31</v>
      </c>
      <c r="G41" s="67">
        <v>1</v>
      </c>
      <c r="H41" s="47">
        <v>1097</v>
      </c>
      <c r="I41" s="67">
        <v>368.28</v>
      </c>
      <c r="J41" s="10">
        <f t="shared" si="0"/>
        <v>80404522.841985285</v>
      </c>
      <c r="K41" s="10"/>
      <c r="L41" s="14"/>
    </row>
    <row r="42" spans="1:12" ht="12.75">
      <c r="A42" s="3">
        <v>38808</v>
      </c>
      <c r="B42" s="39">
        <v>74263532.013769358</v>
      </c>
      <c r="C42" s="65">
        <v>314.60000000000002</v>
      </c>
      <c r="D42" s="65">
        <v>0</v>
      </c>
      <c r="E42" s="68">
        <v>135.08329330470943</v>
      </c>
      <c r="F42" s="67">
        <v>30</v>
      </c>
      <c r="G42" s="67">
        <v>1</v>
      </c>
      <c r="H42" s="47">
        <v>1094</v>
      </c>
      <c r="I42" s="67">
        <v>303.83999999999997</v>
      </c>
      <c r="J42" s="10">
        <f t="shared" si="0"/>
        <v>77141406.64265132</v>
      </c>
      <c r="K42" s="10"/>
      <c r="L42" s="14"/>
    </row>
    <row r="43" spans="1:12" ht="12.75">
      <c r="A43" s="3">
        <v>38838</v>
      </c>
      <c r="B43" s="39">
        <v>79077511.717326686</v>
      </c>
      <c r="C43" s="65">
        <v>155.50</v>
      </c>
      <c r="D43" s="65">
        <v>22.40</v>
      </c>
      <c r="E43" s="68">
        <v>135.36154277170829</v>
      </c>
      <c r="F43" s="67">
        <v>31</v>
      </c>
      <c r="G43" s="67">
        <v>1</v>
      </c>
      <c r="H43" s="47">
        <v>1096</v>
      </c>
      <c r="I43" s="67">
        <v>351.91199999999998</v>
      </c>
      <c r="J43" s="10">
        <f t="shared" si="0"/>
        <v>80027582.800841287</v>
      </c>
      <c r="K43" s="10"/>
      <c r="L43" s="14"/>
    </row>
    <row r="44" spans="1:12" ht="12.75">
      <c r="A44" s="3">
        <v>38869</v>
      </c>
      <c r="B44" s="39">
        <v>83209893.441365436</v>
      </c>
      <c r="C44" s="65">
        <v>26.70</v>
      </c>
      <c r="D44" s="65">
        <v>43.20</v>
      </c>
      <c r="E44" s="68">
        <v>135.64036538705133</v>
      </c>
      <c r="F44" s="67">
        <v>30</v>
      </c>
      <c r="G44" s="67">
        <v>0</v>
      </c>
      <c r="H44" s="47">
        <v>1101</v>
      </c>
      <c r="I44" s="67">
        <v>352.08</v>
      </c>
      <c r="J44" s="10">
        <f t="shared" si="0"/>
        <v>81229840.274181813</v>
      </c>
      <c r="K44" s="10"/>
      <c r="L44" s="14"/>
    </row>
    <row r="45" spans="1:12" ht="12.75">
      <c r="A45" s="3">
        <v>38899</v>
      </c>
      <c r="B45" s="39">
        <v>88040404.276536584</v>
      </c>
      <c r="C45" s="65">
        <v>1.90</v>
      </c>
      <c r="D45" s="65">
        <v>136.10</v>
      </c>
      <c r="E45" s="68">
        <v>135.9197623313303</v>
      </c>
      <c r="F45" s="67">
        <v>31</v>
      </c>
      <c r="G45" s="67">
        <v>0</v>
      </c>
      <c r="H45" s="47">
        <v>1103</v>
      </c>
      <c r="I45" s="67">
        <v>319.92</v>
      </c>
      <c r="J45" s="10">
        <f t="shared" si="0"/>
        <v>88411555.25487712</v>
      </c>
      <c r="K45" s="10"/>
      <c r="L45" s="14"/>
    </row>
    <row r="46" spans="1:12" ht="12.75">
      <c r="A46" s="3">
        <v>38930</v>
      </c>
      <c r="B46" s="39">
        <v>85613533.493144125</v>
      </c>
      <c r="C46" s="65">
        <v>8.10</v>
      </c>
      <c r="D46" s="65">
        <v>70.099999999999994</v>
      </c>
      <c r="E46" s="68">
        <v>136.19973478756879</v>
      </c>
      <c r="F46" s="67">
        <v>31</v>
      </c>
      <c r="G46" s="67">
        <v>0</v>
      </c>
      <c r="H46" s="47">
        <v>1102</v>
      </c>
      <c r="I46" s="67">
        <v>351.91199999999998</v>
      </c>
      <c r="J46" s="10">
        <f t="shared" si="0"/>
        <v>83885107.917546898</v>
      </c>
      <c r="K46" s="10"/>
      <c r="L46" s="14"/>
    </row>
    <row r="47" spans="1:12" ht="12.75">
      <c r="A47" s="3">
        <v>38961</v>
      </c>
      <c r="B47" s="39">
        <v>76887798.398695946</v>
      </c>
      <c r="C47" s="65">
        <v>105.30</v>
      </c>
      <c r="D47" s="65">
        <v>4.0999999999999996</v>
      </c>
      <c r="E47" s="68">
        <v>136.48028394122719</v>
      </c>
      <c r="F47" s="67">
        <v>30</v>
      </c>
      <c r="G47" s="67">
        <v>1</v>
      </c>
      <c r="H47" s="47">
        <v>1104</v>
      </c>
      <c r="I47" s="67">
        <v>319.68</v>
      </c>
      <c r="J47" s="10">
        <f t="shared" si="0"/>
        <v>76970399.804047138</v>
      </c>
      <c r="K47" s="10"/>
      <c r="L47" s="14"/>
    </row>
    <row r="48" spans="1:12" ht="12.75">
      <c r="A48" s="3">
        <v>38991</v>
      </c>
      <c r="B48" s="39">
        <v>77734572.394285172</v>
      </c>
      <c r="C48" s="65">
        <v>304.10000000000002</v>
      </c>
      <c r="D48" s="65">
        <v>0</v>
      </c>
      <c r="E48" s="68">
        <v>136.76141098020776</v>
      </c>
      <c r="F48" s="67">
        <v>31</v>
      </c>
      <c r="G48" s="67">
        <v>1</v>
      </c>
      <c r="H48" s="47">
        <v>1111</v>
      </c>
      <c r="I48" s="67">
        <v>336.28800000000001</v>
      </c>
      <c r="J48" s="10">
        <f t="shared" si="0"/>
        <v>78693367.317079142</v>
      </c>
      <c r="K48" s="10"/>
      <c r="L48" s="14"/>
    </row>
    <row r="49" spans="1:12" ht="12.75">
      <c r="A49" s="3">
        <v>39022</v>
      </c>
      <c r="B49" s="39">
        <v>72261566.957522303</v>
      </c>
      <c r="C49" s="65">
        <v>393.10</v>
      </c>
      <c r="D49" s="65">
        <v>0</v>
      </c>
      <c r="E49" s="68">
        <v>137.04311709485967</v>
      </c>
      <c r="F49" s="67">
        <v>30</v>
      </c>
      <c r="G49" s="67">
        <v>1</v>
      </c>
      <c r="H49" s="47">
        <v>961</v>
      </c>
      <c r="I49" s="67">
        <v>352.08</v>
      </c>
      <c r="J49" s="10">
        <f t="shared" si="0"/>
        <v>75561115.026353776</v>
      </c>
      <c r="K49" s="10"/>
      <c r="L49" s="14"/>
    </row>
    <row r="50" spans="1:12" ht="12.75">
      <c r="A50" s="3">
        <v>39052</v>
      </c>
      <c r="B50" s="39">
        <v>75158394.678300902</v>
      </c>
      <c r="C50" s="65">
        <v>508.10</v>
      </c>
      <c r="D50" s="65">
        <v>0</v>
      </c>
      <c r="E50" s="68">
        <v>137.32540347798411</v>
      </c>
      <c r="F50" s="67">
        <v>31</v>
      </c>
      <c r="G50" s="67">
        <v>0</v>
      </c>
      <c r="H50" s="47">
        <v>974</v>
      </c>
      <c r="I50" s="67">
        <v>304.29599999999999</v>
      </c>
      <c r="J50" s="10">
        <f t="shared" si="0"/>
        <v>76475765.033413932</v>
      </c>
      <c r="K50" s="10"/>
      <c r="L50" s="14"/>
    </row>
    <row r="51" spans="1:12" ht="12.75">
      <c r="A51" s="3">
        <v>39083</v>
      </c>
      <c r="B51" s="39">
        <v>81970978.540607914</v>
      </c>
      <c r="C51" s="65">
        <v>665.60</v>
      </c>
      <c r="D51" s="65">
        <v>0</v>
      </c>
      <c r="E51" s="68">
        <v>137.58587596073079</v>
      </c>
      <c r="F51" s="67">
        <v>31</v>
      </c>
      <c r="G51" s="67">
        <v>0</v>
      </c>
      <c r="H51" s="47">
        <v>980</v>
      </c>
      <c r="I51" s="67">
        <v>351.91199999999998</v>
      </c>
      <c r="J51" s="10">
        <f t="shared" si="0"/>
        <v>78439040.788028792</v>
      </c>
      <c r="K51" s="10"/>
      <c r="L51" s="14"/>
    </row>
    <row r="52" spans="1:12" ht="12.75">
      <c r="A52" s="3">
        <v>39114</v>
      </c>
      <c r="B52" s="39">
        <v>78614761.16597949</v>
      </c>
      <c r="C52" s="65">
        <v>761.80</v>
      </c>
      <c r="D52" s="65">
        <v>0</v>
      </c>
      <c r="E52" s="68">
        <v>137.84684249565245</v>
      </c>
      <c r="F52" s="67">
        <v>28</v>
      </c>
      <c r="G52" s="67">
        <v>0</v>
      </c>
      <c r="H52" s="47">
        <v>981</v>
      </c>
      <c r="I52" s="67">
        <v>319.87200000000001</v>
      </c>
      <c r="J52" s="10">
        <f t="shared" si="0"/>
        <v>76185469.829791099</v>
      </c>
      <c r="K52" s="10"/>
      <c r="L52" s="14"/>
    </row>
    <row r="53" spans="1:12" ht="12.75">
      <c r="A53" s="3">
        <v>39142</v>
      </c>
      <c r="B53" s="39">
        <v>81615210.211909115</v>
      </c>
      <c r="C53" s="65">
        <v>565.20000000000005</v>
      </c>
      <c r="D53" s="65">
        <v>0</v>
      </c>
      <c r="E53" s="68">
        <v>138.10830401984444</v>
      </c>
      <c r="F53" s="67">
        <v>31</v>
      </c>
      <c r="G53" s="67">
        <v>1</v>
      </c>
      <c r="H53" s="47">
        <v>982</v>
      </c>
      <c r="I53" s="67">
        <v>351.91199999999998</v>
      </c>
      <c r="J53" s="10">
        <f t="shared" si="0"/>
        <v>77299835.816907436</v>
      </c>
      <c r="K53" s="10"/>
      <c r="L53" s="14"/>
    </row>
    <row r="54" spans="1:12" ht="12.75">
      <c r="A54" s="3">
        <v>39173</v>
      </c>
      <c r="B54" s="39">
        <v>76941902.694409832</v>
      </c>
      <c r="C54" s="65">
        <v>374.20</v>
      </c>
      <c r="D54" s="65">
        <v>0</v>
      </c>
      <c r="E54" s="68">
        <v>138.37026147217955</v>
      </c>
      <c r="F54" s="67">
        <v>30</v>
      </c>
      <c r="G54" s="67">
        <v>1</v>
      </c>
      <c r="H54" s="47">
        <v>985</v>
      </c>
      <c r="I54" s="67">
        <v>319.68</v>
      </c>
      <c r="J54" s="10">
        <f t="shared" si="0"/>
        <v>75060748.046207309</v>
      </c>
      <c r="K54" s="10"/>
      <c r="L54" s="14"/>
    </row>
    <row r="55" spans="1:12" ht="12.75">
      <c r="A55" s="3">
        <v>39203</v>
      </c>
      <c r="B55" s="39">
        <v>78855847.84734875</v>
      </c>
      <c r="C55" s="65">
        <v>138.40</v>
      </c>
      <c r="D55" s="65">
        <v>23.30</v>
      </c>
      <c r="E55" s="68">
        <v>138.63271579331135</v>
      </c>
      <c r="F55" s="67">
        <v>31</v>
      </c>
      <c r="G55" s="67">
        <v>1</v>
      </c>
      <c r="H55" s="47">
        <v>986</v>
      </c>
      <c r="I55" s="67">
        <v>351.91199999999998</v>
      </c>
      <c r="J55" s="10">
        <f t="shared" si="0"/>
        <v>77270000.052323237</v>
      </c>
      <c r="K55" s="10"/>
      <c r="L55" s="14"/>
    </row>
    <row r="56" spans="1:12" ht="12.75">
      <c r="A56" s="3">
        <v>39234</v>
      </c>
      <c r="B56" s="39">
        <v>85177647.655575797</v>
      </c>
      <c r="C56" s="65">
        <v>19.20</v>
      </c>
      <c r="D56" s="65">
        <v>74.20</v>
      </c>
      <c r="E56" s="68">
        <v>138.89566792567766</v>
      </c>
      <c r="F56" s="67">
        <v>30</v>
      </c>
      <c r="G56" s="67">
        <v>0</v>
      </c>
      <c r="H56" s="47">
        <v>992</v>
      </c>
      <c r="I56" s="67">
        <v>336.24</v>
      </c>
      <c r="J56" s="10">
        <f t="shared" si="0"/>
        <v>80561359.153704837</v>
      </c>
      <c r="K56" s="10"/>
      <c r="L56" s="14"/>
    </row>
    <row r="57" spans="1:12" ht="12.75">
      <c r="A57" s="3">
        <v>39264</v>
      </c>
      <c r="B57" s="39">
        <v>83848447.924057931</v>
      </c>
      <c r="C57" s="65">
        <v>9.1999999999999993</v>
      </c>
      <c r="D57" s="65">
        <v>82</v>
      </c>
      <c r="E57" s="68">
        <v>139.1591188135038</v>
      </c>
      <c r="F57" s="67">
        <v>31</v>
      </c>
      <c r="G57" s="67">
        <v>0</v>
      </c>
      <c r="H57" s="47">
        <v>995</v>
      </c>
      <c r="I57" s="67">
        <v>336.28800000000001</v>
      </c>
      <c r="J57" s="10">
        <f t="shared" si="0"/>
        <v>81810318.843648359</v>
      </c>
      <c r="K57" s="10"/>
      <c r="L57" s="14"/>
    </row>
    <row r="58" spans="1:12" ht="12.75">
      <c r="A58" s="3">
        <v>39295</v>
      </c>
      <c r="B58" s="39">
        <v>87075178.099530175</v>
      </c>
      <c r="C58" s="65">
        <v>8.40</v>
      </c>
      <c r="D58" s="65">
        <v>106</v>
      </c>
      <c r="E58" s="68">
        <v>139.42306940280611</v>
      </c>
      <c r="F58" s="67">
        <v>31</v>
      </c>
      <c r="G58" s="67">
        <v>0</v>
      </c>
      <c r="H58" s="47">
        <v>996</v>
      </c>
      <c r="I58" s="67">
        <v>351.91199999999998</v>
      </c>
      <c r="J58" s="10">
        <f t="shared" si="0"/>
        <v>84096012.58451359</v>
      </c>
      <c r="K58" s="10"/>
      <c r="L58" s="14"/>
    </row>
    <row r="59" spans="1:12" ht="12.75">
      <c r="A59" s="3">
        <v>39326</v>
      </c>
      <c r="B59" s="39">
        <v>79161236.810816005</v>
      </c>
      <c r="C59" s="65">
        <v>55.20</v>
      </c>
      <c r="D59" s="65">
        <v>37.200000000000003</v>
      </c>
      <c r="E59" s="68">
        <v>139.68752064139528</v>
      </c>
      <c r="F59" s="67">
        <v>30</v>
      </c>
      <c r="G59" s="67">
        <v>1</v>
      </c>
      <c r="H59" s="47">
        <v>997</v>
      </c>
      <c r="I59" s="67">
        <v>303.83999999999997</v>
      </c>
      <c r="J59" s="10">
        <f t="shared" si="0"/>
        <v>76326924.219193101</v>
      </c>
      <c r="K59" s="10"/>
      <c r="L59" s="14"/>
    </row>
    <row r="60" spans="1:12" ht="12.75">
      <c r="A60" s="3">
        <v>39356</v>
      </c>
      <c r="B60" s="39">
        <v>79313297.535717711</v>
      </c>
      <c r="C60" s="65">
        <v>157.80000000000001</v>
      </c>
      <c r="D60" s="65">
        <v>13</v>
      </c>
      <c r="E60" s="68">
        <v>139.95247347887977</v>
      </c>
      <c r="F60" s="67">
        <v>31</v>
      </c>
      <c r="G60" s="67">
        <v>1</v>
      </c>
      <c r="H60" s="47">
        <v>996</v>
      </c>
      <c r="I60" s="67">
        <v>351.91199999999998</v>
      </c>
      <c r="J60" s="10">
        <f t="shared" si="0"/>
        <v>76601366.07008405</v>
      </c>
      <c r="K60" s="10"/>
      <c r="L60" s="14"/>
    </row>
    <row r="61" spans="1:12" ht="12.75">
      <c r="A61" s="3">
        <v>39387</v>
      </c>
      <c r="B61" s="39">
        <v>71740385.943043441</v>
      </c>
      <c r="C61" s="65">
        <v>467.50</v>
      </c>
      <c r="D61" s="65">
        <v>0</v>
      </c>
      <c r="E61" s="68">
        <v>140.21792886666916</v>
      </c>
      <c r="F61" s="67">
        <v>30</v>
      </c>
      <c r="G61" s="67">
        <v>1</v>
      </c>
      <c r="H61" s="47">
        <v>1006</v>
      </c>
      <c r="I61" s="67">
        <v>352.08</v>
      </c>
      <c r="J61" s="10">
        <f t="shared" si="0"/>
        <v>76512041.819896489</v>
      </c>
      <c r="K61" s="10"/>
      <c r="L61" s="14"/>
    </row>
    <row r="62" spans="1:12" ht="12.75">
      <c r="A62" s="3">
        <v>39417</v>
      </c>
      <c r="B62" s="39">
        <v>77329975.280467927</v>
      </c>
      <c r="C62" s="65">
        <v>641</v>
      </c>
      <c r="D62" s="65">
        <v>0</v>
      </c>
      <c r="E62" s="68">
        <v>140.48388775797773</v>
      </c>
      <c r="F62" s="67">
        <v>31</v>
      </c>
      <c r="G62" s="67">
        <v>0</v>
      </c>
      <c r="H62" s="47">
        <v>1007</v>
      </c>
      <c r="I62" s="67">
        <v>304.29599999999999</v>
      </c>
      <c r="J62" s="10">
        <f t="shared" si="0"/>
        <v>77431736.177400857</v>
      </c>
      <c r="K62" s="10"/>
      <c r="L62" s="14"/>
    </row>
    <row r="63" spans="1:10" ht="12.75">
      <c r="A63" s="3">
        <v>39448</v>
      </c>
      <c r="B63" s="47">
        <v>81241462.028957725</v>
      </c>
      <c r="C63" s="65">
        <v>632.70000000000005</v>
      </c>
      <c r="D63" s="65">
        <v>0</v>
      </c>
      <c r="E63" s="68">
        <v>140.42521823206457</v>
      </c>
      <c r="F63" s="67">
        <v>31</v>
      </c>
      <c r="G63" s="67">
        <v>0</v>
      </c>
      <c r="H63" s="47">
        <v>1012</v>
      </c>
      <c r="I63" s="67">
        <v>352</v>
      </c>
      <c r="J63" s="10">
        <f t="shared" si="0"/>
        <v>78665660.640452504</v>
      </c>
    </row>
    <row r="64" spans="1:10" ht="12.75">
      <c r="A64" s="3">
        <v>39479</v>
      </c>
      <c r="B64" s="47">
        <v>77799441.336657405</v>
      </c>
      <c r="C64" s="65">
        <v>678.80</v>
      </c>
      <c r="D64" s="65">
        <v>0</v>
      </c>
      <c r="E64" s="68">
        <v>140.36657320798807</v>
      </c>
      <c r="F64" s="67">
        <v>29</v>
      </c>
      <c r="G64" s="67">
        <v>0</v>
      </c>
      <c r="H64" s="47">
        <v>1011</v>
      </c>
      <c r="I64" s="67">
        <v>320</v>
      </c>
      <c r="J64" s="10">
        <f t="shared" si="0"/>
        <v>76814420.406970829</v>
      </c>
    </row>
    <row r="65" spans="1:10" ht="12.75">
      <c r="A65" s="3">
        <v>39508</v>
      </c>
      <c r="B65" s="47">
        <v>78670887.32380861</v>
      </c>
      <c r="C65" s="65">
        <v>621.79999999999995</v>
      </c>
      <c r="D65" s="65">
        <v>0</v>
      </c>
      <c r="E65" s="68">
        <v>140.30795267551565</v>
      </c>
      <c r="F65" s="67">
        <v>31</v>
      </c>
      <c r="G65" s="67">
        <v>1</v>
      </c>
      <c r="H65" s="47">
        <v>1012</v>
      </c>
      <c r="I65" s="67">
        <v>304</v>
      </c>
      <c r="J65" s="10">
        <f t="shared" si="0"/>
        <v>76794532.75798355</v>
      </c>
    </row>
    <row r="66" spans="1:10" ht="12.75">
      <c r="A66" s="3">
        <v>39539</v>
      </c>
      <c r="B66" s="47">
        <v>74410559.631795958</v>
      </c>
      <c r="C66" s="65">
        <v>290.60000000000002</v>
      </c>
      <c r="D66" s="65">
        <v>0</v>
      </c>
      <c r="E66" s="68">
        <v>140.24935662441902</v>
      </c>
      <c r="F66" s="67">
        <v>30</v>
      </c>
      <c r="G66" s="67">
        <v>1</v>
      </c>
      <c r="H66" s="47">
        <v>1013</v>
      </c>
      <c r="I66" s="67">
        <v>352</v>
      </c>
      <c r="J66" s="10">
        <f t="shared" si="0"/>
        <v>75862392.939134687</v>
      </c>
    </row>
    <row r="67" spans="1:10" ht="12.75">
      <c r="A67" s="3">
        <v>39569</v>
      </c>
      <c r="B67" s="47">
        <v>74549248.1445968</v>
      </c>
      <c r="C67" s="65">
        <v>214.10</v>
      </c>
      <c r="D67" s="65">
        <v>0.30</v>
      </c>
      <c r="E67" s="68">
        <v>140.19078504447415</v>
      </c>
      <c r="F67" s="67">
        <v>31</v>
      </c>
      <c r="G67" s="67">
        <v>1</v>
      </c>
      <c r="H67" s="47">
        <v>1013</v>
      </c>
      <c r="I67" s="67">
        <v>336</v>
      </c>
      <c r="J67" s="10">
        <f t="shared" si="1" ref="J67:J122">$N$18+C67*$N$19+D67*$N$20+E67*$N$21+F67*$N$22+G67*$N$23+H67*$N$24+I67*$N$25</f>
        <v>75794983.087207347</v>
      </c>
    </row>
    <row r="68" spans="1:10" ht="12.75">
      <c r="A68" s="3">
        <v>39600</v>
      </c>
      <c r="B68" s="47">
        <v>79221333.579441935</v>
      </c>
      <c r="C68" s="65">
        <v>34.200000000000003</v>
      </c>
      <c r="D68" s="65">
        <v>55</v>
      </c>
      <c r="E68" s="68">
        <v>140.13223792546131</v>
      </c>
      <c r="F68" s="67">
        <v>30</v>
      </c>
      <c r="G68" s="67">
        <v>0</v>
      </c>
      <c r="H68" s="47">
        <v>1012</v>
      </c>
      <c r="I68" s="67">
        <v>336</v>
      </c>
      <c r="J68" s="10">
        <f t="shared" si="1"/>
        <v>79381623.907703757</v>
      </c>
    </row>
    <row r="69" spans="1:10" ht="12.75">
      <c r="A69" s="3">
        <v>39630</v>
      </c>
      <c r="B69" s="47">
        <v>84482828.238565534</v>
      </c>
      <c r="C69" s="65">
        <v>3.70</v>
      </c>
      <c r="D69" s="65">
        <v>87.70</v>
      </c>
      <c r="E69" s="68">
        <v>140.07371525716499</v>
      </c>
      <c r="F69" s="67">
        <v>31</v>
      </c>
      <c r="G69" s="67">
        <v>0</v>
      </c>
      <c r="H69" s="47">
        <v>1017</v>
      </c>
      <c r="I69" s="67">
        <v>352</v>
      </c>
      <c r="J69" s="10">
        <f t="shared" si="1"/>
        <v>82995413.597756356</v>
      </c>
    </row>
    <row r="70" spans="1:10" ht="12.75">
      <c r="A70" s="3">
        <v>39661</v>
      </c>
      <c r="B70" s="47">
        <v>80071649.563716561</v>
      </c>
      <c r="C70" s="65">
        <v>20.20</v>
      </c>
      <c r="D70" s="65">
        <v>45.20</v>
      </c>
      <c r="E70" s="68">
        <v>140.01521702937399</v>
      </c>
      <c r="F70" s="67">
        <v>31</v>
      </c>
      <c r="G70" s="67">
        <v>0</v>
      </c>
      <c r="H70" s="47">
        <v>1018</v>
      </c>
      <c r="I70" s="67">
        <v>320</v>
      </c>
      <c r="J70" s="10">
        <f t="shared" si="1"/>
        <v>78924500.908295646</v>
      </c>
    </row>
    <row r="71" spans="1:10" ht="12.75">
      <c r="A71" s="3">
        <v>39692</v>
      </c>
      <c r="B71" s="47">
        <v>76620766.602742374</v>
      </c>
      <c r="C71" s="65">
        <v>70.400000000000006</v>
      </c>
      <c r="D71" s="65">
        <v>20.30</v>
      </c>
      <c r="E71" s="68">
        <v>139.95674323188132</v>
      </c>
      <c r="F71" s="67">
        <v>30</v>
      </c>
      <c r="G71" s="67">
        <v>1</v>
      </c>
      <c r="H71" s="47">
        <v>1020</v>
      </c>
      <c r="I71" s="67">
        <v>336</v>
      </c>
      <c r="J71" s="10">
        <f t="shared" si="1"/>
        <v>76291596.741927117</v>
      </c>
    </row>
    <row r="72" spans="1:10" ht="12.75">
      <c r="A72" s="3">
        <v>39722</v>
      </c>
      <c r="B72" s="47">
        <v>74151729.427557781</v>
      </c>
      <c r="C72" s="65">
        <v>297.50</v>
      </c>
      <c r="D72" s="65">
        <v>0</v>
      </c>
      <c r="E72" s="68">
        <v>139.89829385448431</v>
      </c>
      <c r="F72" s="67">
        <v>31</v>
      </c>
      <c r="G72" s="67">
        <v>1</v>
      </c>
      <c r="H72" s="47">
        <v>1027</v>
      </c>
      <c r="I72" s="67">
        <v>352</v>
      </c>
      <c r="J72" s="10">
        <f t="shared" si="1"/>
        <v>76870356.583536386</v>
      </c>
    </row>
    <row r="73" spans="1:10" ht="12.75">
      <c r="A73" s="3">
        <v>39753</v>
      </c>
      <c r="B73" s="47">
        <v>71216502.291686654</v>
      </c>
      <c r="C73" s="65">
        <v>460.60</v>
      </c>
      <c r="D73" s="65">
        <v>0</v>
      </c>
      <c r="E73" s="68">
        <v>139.83986888698453</v>
      </c>
      <c r="F73" s="67">
        <v>30</v>
      </c>
      <c r="G73" s="67">
        <v>1</v>
      </c>
      <c r="H73" s="47">
        <v>1030</v>
      </c>
      <c r="I73" s="67">
        <v>304</v>
      </c>
      <c r="J73" s="10">
        <f t="shared" si="1"/>
        <v>75878223.482632309</v>
      </c>
    </row>
    <row r="74" spans="1:10" ht="12.75">
      <c r="A74" s="3">
        <v>39783</v>
      </c>
      <c r="B74" s="47">
        <v>75091590.008629784</v>
      </c>
      <c r="C74" s="65">
        <v>655.29999999999995</v>
      </c>
      <c r="D74" s="65">
        <v>0</v>
      </c>
      <c r="E74" s="68">
        <v>139.78146831918784</v>
      </c>
      <c r="F74" s="67">
        <v>31</v>
      </c>
      <c r="G74" s="67">
        <v>0</v>
      </c>
      <c r="H74" s="47">
        <v>1035</v>
      </c>
      <c r="I74" s="67">
        <v>336</v>
      </c>
      <c r="J74" s="10">
        <f t="shared" si="1"/>
        <v>78950501.562941089</v>
      </c>
    </row>
    <row r="75" spans="1:33" s="15" customFormat="1" ht="12.75">
      <c r="A75" s="3">
        <v>39814</v>
      </c>
      <c r="B75" s="47">
        <v>81241462.028957725</v>
      </c>
      <c r="C75" s="65">
        <v>712.8153846153848</v>
      </c>
      <c r="D75" s="65">
        <v>0</v>
      </c>
      <c r="E75" s="68">
        <v>139.37911160687111</v>
      </c>
      <c r="F75" s="67">
        <v>31</v>
      </c>
      <c r="G75" s="67">
        <v>0</v>
      </c>
      <c r="H75" s="47">
        <f t="shared" si="2" ref="H75:H80">H74+($H$81-$H$74)/7</f>
        <v>910.07142857142856</v>
      </c>
      <c r="I75" s="67">
        <v>336</v>
      </c>
      <c r="J75" s="10">
        <f t="shared" si="1"/>
        <v>76548219.474847421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11" ht="12.75">
      <c r="A76" s="3">
        <v>39845</v>
      </c>
      <c r="B76" s="47">
        <v>77799441.336657405</v>
      </c>
      <c r="C76" s="65">
        <v>627.40</v>
      </c>
      <c r="D76" s="65">
        <v>0</v>
      </c>
      <c r="E76" s="68">
        <v>138.97791306613385</v>
      </c>
      <c r="F76" s="67">
        <v>28</v>
      </c>
      <c r="G76" s="67">
        <v>0</v>
      </c>
      <c r="H76" s="47">
        <f t="shared" si="2"/>
        <v>785.14285714285711</v>
      </c>
      <c r="I76" s="67">
        <v>304</v>
      </c>
      <c r="J76" s="10">
        <f t="shared" si="1"/>
        <v>70825260.247490257</v>
      </c>
      <c r="K76" s="48"/>
    </row>
    <row r="77" spans="1:11" ht="12.75">
      <c r="A77" s="3">
        <v>39873</v>
      </c>
      <c r="B77" s="47">
        <v>78670887.32380861</v>
      </c>
      <c r="C77" s="65">
        <v>566.50769230769231</v>
      </c>
      <c r="D77" s="65">
        <v>0</v>
      </c>
      <c r="E77" s="68">
        <v>138.57786936321438</v>
      </c>
      <c r="F77" s="67">
        <v>31</v>
      </c>
      <c r="G77" s="67">
        <v>1</v>
      </c>
      <c r="H77" s="47">
        <f t="shared" si="2"/>
        <v>660.21428571428567</v>
      </c>
      <c r="I77" s="67">
        <v>352</v>
      </c>
      <c r="J77" s="10">
        <f t="shared" si="1"/>
        <v>70283574.975877166</v>
      </c>
      <c r="K77" s="48"/>
    </row>
    <row r="78" spans="1:11" ht="12.75">
      <c r="A78" s="3">
        <v>39904</v>
      </c>
      <c r="B78" s="47">
        <v>74410559.631795958</v>
      </c>
      <c r="C78" s="65">
        <v>341.76153846153852</v>
      </c>
      <c r="D78" s="65">
        <v>0.61538461538461542</v>
      </c>
      <c r="E78" s="68">
        <v>138.17897717394706</v>
      </c>
      <c r="F78" s="67">
        <v>30</v>
      </c>
      <c r="G78" s="67">
        <v>1</v>
      </c>
      <c r="H78" s="47">
        <f t="shared" si="2"/>
        <v>535.28571428571422</v>
      </c>
      <c r="I78" s="67">
        <v>320</v>
      </c>
      <c r="J78" s="10">
        <f t="shared" si="1"/>
        <v>65250683.975468233</v>
      </c>
      <c r="K78" s="48"/>
    </row>
    <row r="79" spans="1:11" ht="12.75">
      <c r="A79" s="3">
        <v>39934</v>
      </c>
      <c r="B79" s="47">
        <v>74549248.1445968</v>
      </c>
      <c r="C79" s="65">
        <v>178.33076923076925</v>
      </c>
      <c r="D79" s="65">
        <v>11.461538461538464</v>
      </c>
      <c r="E79" s="68">
        <v>137.78123318373483</v>
      </c>
      <c r="F79" s="67">
        <v>31</v>
      </c>
      <c r="G79" s="67">
        <v>1</v>
      </c>
      <c r="H79" s="47">
        <f t="shared" si="2"/>
        <v>410.35714285714278</v>
      </c>
      <c r="I79" s="67">
        <v>320</v>
      </c>
      <c r="J79" s="10">
        <f t="shared" si="1"/>
        <v>63355007.95536723</v>
      </c>
      <c r="K79" s="48"/>
    </row>
    <row r="80" spans="1:11" ht="12.75">
      <c r="A80" s="3">
        <v>39965</v>
      </c>
      <c r="B80" s="47">
        <v>79221333.579441935</v>
      </c>
      <c r="C80" s="65">
        <v>38</v>
      </c>
      <c r="D80" s="65">
        <v>61.20</v>
      </c>
      <c r="E80" s="68">
        <v>137.38463408752156</v>
      </c>
      <c r="F80" s="67">
        <v>30</v>
      </c>
      <c r="G80" s="67">
        <v>0</v>
      </c>
      <c r="H80" s="47">
        <f t="shared" si="2"/>
        <v>285.42857142857133</v>
      </c>
      <c r="I80" s="67">
        <v>352</v>
      </c>
      <c r="J80" s="10">
        <f t="shared" si="1"/>
        <v>64852031.670473643</v>
      </c>
      <c r="K80" s="48"/>
    </row>
    <row r="81" spans="1:11" ht="12.75">
      <c r="A81" s="3">
        <v>39995</v>
      </c>
      <c r="B81" s="47">
        <v>84482828.238565534</v>
      </c>
      <c r="C81" s="65">
        <v>6.9153846153846157</v>
      </c>
      <c r="D81" s="65">
        <v>96.953846153846143</v>
      </c>
      <c r="E81" s="68">
        <v>136.98917658976464</v>
      </c>
      <c r="F81" s="67">
        <v>31</v>
      </c>
      <c r="G81" s="67">
        <v>0</v>
      </c>
      <c r="H81" s="47">
        <f>'Rate Class Customer Model'!D9</f>
        <v>160.50000000000006</v>
      </c>
      <c r="I81" s="67">
        <v>352</v>
      </c>
      <c r="J81" s="10">
        <f t="shared" si="1"/>
        <v>65542773.362440877</v>
      </c>
      <c r="K81" s="48"/>
    </row>
    <row r="82" spans="1:11" ht="12.75">
      <c r="A82" s="3">
        <v>40026</v>
      </c>
      <c r="B82" s="47">
        <v>80071649.563716561</v>
      </c>
      <c r="C82" s="65">
        <v>10.86923076923077</v>
      </c>
      <c r="D82" s="65">
        <v>76.623076923076937</v>
      </c>
      <c r="E82" s="68">
        <v>136.59485740440758</v>
      </c>
      <c r="F82" s="67">
        <v>31</v>
      </c>
      <c r="G82" s="67">
        <v>0</v>
      </c>
      <c r="H82" s="47">
        <f t="shared" si="3" ref="H82:H91">H81+($H$92-$H$81)/11</f>
        <v>161.18181818181822</v>
      </c>
      <c r="I82" s="67">
        <v>320</v>
      </c>
      <c r="J82" s="10">
        <f t="shared" si="1"/>
        <v>63218831.533564821</v>
      </c>
      <c r="K82" s="48"/>
    </row>
    <row r="83" spans="1:11" ht="12.75">
      <c r="A83" s="3">
        <v>40057</v>
      </c>
      <c r="B83" s="47">
        <v>76620766.602742374</v>
      </c>
      <c r="C83" s="65">
        <v>70.815384615384602</v>
      </c>
      <c r="D83" s="65">
        <v>27.34615384615385</v>
      </c>
      <c r="E83" s="68">
        <v>136.20167325485272</v>
      </c>
      <c r="F83" s="67">
        <v>30</v>
      </c>
      <c r="G83" s="67">
        <v>1</v>
      </c>
      <c r="H83" s="47">
        <f t="shared" si="3"/>
        <v>161.86363636363637</v>
      </c>
      <c r="I83" s="67">
        <v>336</v>
      </c>
      <c r="J83" s="10">
        <f t="shared" si="1"/>
        <v>58690161.507060945</v>
      </c>
      <c r="K83" s="48"/>
    </row>
    <row r="84" spans="1:11" ht="12.75">
      <c r="A84" s="3">
        <v>40087</v>
      </c>
      <c r="B84" s="47">
        <v>74151729.427557781</v>
      </c>
      <c r="C84" s="65">
        <v>259.90769230769229</v>
      </c>
      <c r="D84" s="65">
        <v>2.5846153846153848</v>
      </c>
      <c r="E84" s="68">
        <v>135.80962087393394</v>
      </c>
      <c r="F84" s="67">
        <v>31</v>
      </c>
      <c r="G84" s="67">
        <v>1</v>
      </c>
      <c r="H84" s="47">
        <f t="shared" si="3"/>
        <v>162.54545454545453</v>
      </c>
      <c r="I84" s="67">
        <v>336</v>
      </c>
      <c r="J84" s="10">
        <f t="shared" si="1"/>
        <v>58254230.648140863</v>
      </c>
      <c r="K84" s="48"/>
    </row>
    <row r="85" spans="1:11" ht="12.75">
      <c r="A85" s="3">
        <v>40118</v>
      </c>
      <c r="B85" s="47">
        <v>71216502.291686654</v>
      </c>
      <c r="C85" s="65">
        <v>424.6153846153847</v>
      </c>
      <c r="D85" s="65">
        <v>0</v>
      </c>
      <c r="E85" s="68">
        <v>135.41869700388958</v>
      </c>
      <c r="F85" s="67">
        <v>30</v>
      </c>
      <c r="G85" s="67">
        <v>1</v>
      </c>
      <c r="H85" s="47">
        <f t="shared" si="3"/>
        <v>163.22727272727269</v>
      </c>
      <c r="I85" s="67">
        <v>320</v>
      </c>
      <c r="J85" s="10">
        <f t="shared" si="1"/>
        <v>57825697.804934502</v>
      </c>
      <c r="K85" s="48"/>
    </row>
    <row r="86" spans="1:33" s="32" customFormat="1" ht="12.75">
      <c r="A86" s="3">
        <v>40148</v>
      </c>
      <c r="B86" s="47">
        <v>75091590.008629784</v>
      </c>
      <c r="C86" s="65">
        <v>614.35384615384623</v>
      </c>
      <c r="D86" s="65">
        <v>0</v>
      </c>
      <c r="E86" s="68">
        <v>135.02889839633545</v>
      </c>
      <c r="F86" s="67">
        <v>31</v>
      </c>
      <c r="G86" s="67">
        <v>0</v>
      </c>
      <c r="H86" s="47">
        <f t="shared" si="3"/>
        <v>163.90909090909085</v>
      </c>
      <c r="I86" s="67">
        <v>352</v>
      </c>
      <c r="J86" s="10">
        <f t="shared" si="1"/>
        <v>60819544.044870086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27" ht="12.75">
      <c r="A87" s="3">
        <v>40179</v>
      </c>
      <c r="B87" s="46">
        <v>77932126.179520398</v>
      </c>
      <c r="C87" s="65">
        <v>719.94353846153865</v>
      </c>
      <c r="D87" s="65">
        <v>0</v>
      </c>
      <c r="E87" s="68">
        <v>135.32901731143812</v>
      </c>
      <c r="F87" s="67">
        <v>31</v>
      </c>
      <c r="G87" s="67">
        <v>0</v>
      </c>
      <c r="H87" s="47">
        <f t="shared" si="3"/>
        <v>164.59090909090901</v>
      </c>
      <c r="I87" s="67">
        <v>320</v>
      </c>
      <c r="J87" s="10">
        <f t="shared" si="1"/>
        <v>60499760.665856242</v>
      </c>
      <c r="K87" s="48"/>
      <c r="Y87" s="11"/>
      <c r="Z87" s="11"/>
      <c r="AA87" s="11"/>
    </row>
    <row r="88" spans="1:11" ht="12.75">
      <c r="A88" s="3">
        <v>40210</v>
      </c>
      <c r="B88" s="46">
        <v>77905016.959558696</v>
      </c>
      <c r="C88" s="65">
        <v>633.67399999999998</v>
      </c>
      <c r="D88" s="65">
        <v>0</v>
      </c>
      <c r="E88" s="68">
        <v>135.62980327903304</v>
      </c>
      <c r="F88" s="67">
        <v>28</v>
      </c>
      <c r="G88" s="67">
        <v>0</v>
      </c>
      <c r="H88" s="47">
        <f t="shared" si="3"/>
        <v>165.27272727272717</v>
      </c>
      <c r="I88" s="67">
        <v>304</v>
      </c>
      <c r="J88" s="10">
        <f t="shared" si="1"/>
        <v>57802733.353012308</v>
      </c>
      <c r="K88" s="48"/>
    </row>
    <row r="89" spans="1:11" ht="12.75">
      <c r="A89" s="3">
        <v>40238</v>
      </c>
      <c r="B89" s="46">
        <v>77877907.739596903</v>
      </c>
      <c r="C89" s="65">
        <v>572.17276923076929</v>
      </c>
      <c r="D89" s="65">
        <v>0</v>
      </c>
      <c r="E89" s="68">
        <v>135.9312577817293</v>
      </c>
      <c r="F89" s="67">
        <v>31</v>
      </c>
      <c r="G89" s="67">
        <v>1</v>
      </c>
      <c r="H89" s="47">
        <f t="shared" si="3"/>
        <v>165.95454545454533</v>
      </c>
      <c r="I89" s="67">
        <v>368</v>
      </c>
      <c r="J89" s="10">
        <f t="shared" si="1"/>
        <v>60288138.137828469</v>
      </c>
      <c r="K89" s="48"/>
    </row>
    <row r="90" spans="1:11" ht="12.75">
      <c r="A90" s="3">
        <v>40269</v>
      </c>
      <c r="B90" s="46">
        <v>77850798.519635096</v>
      </c>
      <c r="C90" s="65">
        <v>345.17915384615389</v>
      </c>
      <c r="D90" s="65">
        <v>0.6215384615384616</v>
      </c>
      <c r="E90" s="68">
        <v>136.23338230543126</v>
      </c>
      <c r="F90" s="67">
        <v>30</v>
      </c>
      <c r="G90" s="67">
        <v>1</v>
      </c>
      <c r="H90" s="47">
        <f t="shared" si="3"/>
        <v>166.63636363636348</v>
      </c>
      <c r="I90" s="67">
        <v>320</v>
      </c>
      <c r="J90" s="10">
        <f t="shared" si="1"/>
        <v>57499853.008376092</v>
      </c>
      <c r="K90" s="48"/>
    </row>
    <row r="91" spans="1:11" ht="12.75">
      <c r="A91" s="3">
        <v>40299</v>
      </c>
      <c r="B91" s="46">
        <v>77823689.299673393</v>
      </c>
      <c r="C91" s="65">
        <v>180.11407692307694</v>
      </c>
      <c r="D91" s="65">
        <v>11.576153846153849</v>
      </c>
      <c r="E91" s="68">
        <v>136.5361783393459</v>
      </c>
      <c r="F91" s="67">
        <v>31</v>
      </c>
      <c r="G91" s="67">
        <v>1</v>
      </c>
      <c r="H91" s="47">
        <f t="shared" si="3"/>
        <v>167.31818181818164</v>
      </c>
      <c r="I91" s="67">
        <v>320</v>
      </c>
      <c r="J91" s="10">
        <f t="shared" si="1"/>
        <v>58247603.961975455</v>
      </c>
      <c r="K91" s="48"/>
    </row>
    <row r="92" spans="1:11" ht="12.75">
      <c r="A92" s="3">
        <v>40330</v>
      </c>
      <c r="B92" s="46">
        <v>77796580.079711601</v>
      </c>
      <c r="C92" s="65">
        <v>38.380000000000003</v>
      </c>
      <c r="D92" s="65">
        <v>61.812000000000005</v>
      </c>
      <c r="E92" s="68">
        <v>136.83964737599013</v>
      </c>
      <c r="F92" s="67">
        <v>30</v>
      </c>
      <c r="G92" s="67">
        <v>0</v>
      </c>
      <c r="H92" s="47">
        <f>'Rate Class Customer Model'!D10</f>
        <v>167.99999999999994</v>
      </c>
      <c r="I92" s="67">
        <v>352</v>
      </c>
      <c r="J92" s="10">
        <f t="shared" si="1"/>
        <v>62420240.434560172</v>
      </c>
      <c r="K92" s="48"/>
    </row>
    <row r="93" spans="1:11" ht="12.75">
      <c r="A93" s="3">
        <v>40360</v>
      </c>
      <c r="B93" s="46">
        <v>77769470.859749794</v>
      </c>
      <c r="C93" s="65">
        <v>6.9845384615384623</v>
      </c>
      <c r="D93" s="65">
        <v>97.923384615384606</v>
      </c>
      <c r="E93" s="68">
        <v>137.14379091119821</v>
      </c>
      <c r="F93" s="67">
        <v>31</v>
      </c>
      <c r="G93" s="67">
        <v>0</v>
      </c>
      <c r="H93" s="47">
        <f t="shared" si="4" ref="H93:H109">H92+($H$92-$H$81)/11</f>
        <v>168.6818181818181</v>
      </c>
      <c r="I93" s="67">
        <v>336</v>
      </c>
      <c r="J93" s="10">
        <f t="shared" si="1"/>
        <v>65392552.251715094</v>
      </c>
      <c r="K93" s="48"/>
    </row>
    <row r="94" spans="1:11" ht="12.75">
      <c r="A94" s="3">
        <v>40391</v>
      </c>
      <c r="B94" s="46">
        <v>77742361.639788106</v>
      </c>
      <c r="C94" s="65">
        <v>10.977923076923078</v>
      </c>
      <c r="D94" s="65">
        <v>77.38930769230771</v>
      </c>
      <c r="E94" s="68">
        <v>137.44861044412903</v>
      </c>
      <c r="F94" s="67">
        <v>31</v>
      </c>
      <c r="G94" s="67">
        <v>0</v>
      </c>
      <c r="H94" s="47">
        <f t="shared" si="4"/>
        <v>169.36363636363626</v>
      </c>
      <c r="I94" s="67">
        <v>336</v>
      </c>
      <c r="J94" s="10">
        <f t="shared" si="1"/>
        <v>63749211.61714682</v>
      </c>
      <c r="K94" s="48"/>
    </row>
    <row r="95" spans="1:11" ht="12.75">
      <c r="A95" s="3">
        <v>40422</v>
      </c>
      <c r="B95" s="46">
        <v>77715252.419826299</v>
      </c>
      <c r="C95" s="65">
        <v>71.52353846153845</v>
      </c>
      <c r="D95" s="65">
        <v>27.61961538461539</v>
      </c>
      <c r="E95" s="68">
        <v>137.75410747727361</v>
      </c>
      <c r="F95" s="67">
        <v>30</v>
      </c>
      <c r="G95" s="67">
        <v>1</v>
      </c>
      <c r="H95" s="47">
        <f t="shared" si="4"/>
        <v>170.04545454545442</v>
      </c>
      <c r="I95" s="67">
        <v>336</v>
      </c>
      <c r="J95" s="10">
        <f t="shared" si="1"/>
        <v>58717082.678533241</v>
      </c>
      <c r="K95" s="48"/>
    </row>
    <row r="96" spans="1:11" ht="12.75">
      <c r="A96" s="3">
        <v>40452</v>
      </c>
      <c r="B96" s="46">
        <v>77688143.199864596</v>
      </c>
      <c r="C96" s="65">
        <v>262.50676923076924</v>
      </c>
      <c r="D96" s="65">
        <v>2.6104615384615388</v>
      </c>
      <c r="E96" s="68">
        <v>138.06028351646239</v>
      </c>
      <c r="F96" s="67">
        <v>31</v>
      </c>
      <c r="G96" s="67">
        <v>1</v>
      </c>
      <c r="H96" s="47">
        <f t="shared" si="4"/>
        <v>170.72727272727258</v>
      </c>
      <c r="I96" s="67">
        <v>320</v>
      </c>
      <c r="J96" s="10">
        <f t="shared" si="1"/>
        <v>57803153.221445605</v>
      </c>
      <c r="K96" s="48"/>
    </row>
    <row r="97" spans="1:11" ht="12.75">
      <c r="A97" s="3">
        <v>40483</v>
      </c>
      <c r="B97" s="46">
        <v>77661033.979902804</v>
      </c>
      <c r="C97" s="65">
        <v>428.86153846153854</v>
      </c>
      <c r="D97" s="65">
        <v>0</v>
      </c>
      <c r="E97" s="68">
        <v>138.36714007087275</v>
      </c>
      <c r="F97" s="67">
        <v>30</v>
      </c>
      <c r="G97" s="67">
        <v>1</v>
      </c>
      <c r="H97" s="47">
        <f t="shared" si="4"/>
        <v>171.40909090909074</v>
      </c>
      <c r="I97" s="67">
        <v>336</v>
      </c>
      <c r="J97" s="10">
        <f t="shared" si="1"/>
        <v>58076794.293369576</v>
      </c>
      <c r="K97" s="48"/>
    </row>
    <row r="98" spans="1:11" ht="12.75">
      <c r="A98" s="3">
        <v>40513</v>
      </c>
      <c r="B98" s="46">
        <v>77633924.759940997</v>
      </c>
      <c r="C98" s="65">
        <v>620.4973846153847</v>
      </c>
      <c r="D98" s="65">
        <v>0</v>
      </c>
      <c r="E98" s="68">
        <v>138.67467865303649</v>
      </c>
      <c r="F98" s="67">
        <v>31</v>
      </c>
      <c r="G98" s="67">
        <v>0</v>
      </c>
      <c r="H98" s="47">
        <f t="shared" si="4"/>
        <v>172.0909090909089</v>
      </c>
      <c r="I98" s="67">
        <v>368</v>
      </c>
      <c r="J98" s="10">
        <f t="shared" si="1"/>
        <v>61000397.515979119</v>
      </c>
      <c r="K98" s="48"/>
    </row>
    <row r="99" spans="1:11" ht="12.75">
      <c r="A99" s="3">
        <v>40544</v>
      </c>
      <c r="C99" s="19">
        <f t="shared" si="5" ref="C99:D110">(C3+C15+C27+C39+C51+C63+C75+C87)/8</f>
        <v>717.5198653846154</v>
      </c>
      <c r="D99" s="19">
        <f t="shared" si="5"/>
        <v>0</v>
      </c>
      <c r="E99" s="68">
        <v>139.03916243618784</v>
      </c>
      <c r="F99" s="67">
        <v>31</v>
      </c>
      <c r="G99" s="67">
        <v>0</v>
      </c>
      <c r="H99" s="47">
        <f t="shared" si="4"/>
        <v>172.77272727272705</v>
      </c>
      <c r="I99" s="67">
        <v>336</v>
      </c>
      <c r="J99" s="10">
        <f t="shared" si="1"/>
        <v>60634802.027542293</v>
      </c>
      <c r="K99" s="48"/>
    </row>
    <row r="100" spans="1:11" ht="12.75">
      <c r="A100" s="3">
        <v>40575</v>
      </c>
      <c r="C100" s="19">
        <f t="shared" si="5"/>
        <v>661.63424999999995</v>
      </c>
      <c r="D100" s="19">
        <f t="shared" si="5"/>
        <v>0</v>
      </c>
      <c r="E100" s="68">
        <v>139.40460420553731</v>
      </c>
      <c r="F100" s="67">
        <v>28</v>
      </c>
      <c r="G100" s="67">
        <v>0</v>
      </c>
      <c r="H100" s="47">
        <f t="shared" si="4"/>
        <v>173.45454545454521</v>
      </c>
      <c r="I100" s="67">
        <v>304</v>
      </c>
      <c r="J100" s="10">
        <f t="shared" si="1"/>
        <v>57679327.027262338</v>
      </c>
      <c r="K100" s="48"/>
    </row>
    <row r="101" spans="1:11" ht="12.75">
      <c r="A101" s="3">
        <v>40603</v>
      </c>
      <c r="C101" s="19">
        <f t="shared" si="5"/>
        <v>576.21005769230771</v>
      </c>
      <c r="D101" s="19">
        <f t="shared" si="5"/>
        <v>0</v>
      </c>
      <c r="E101" s="68">
        <v>139.77100647899545</v>
      </c>
      <c r="F101" s="67">
        <v>31</v>
      </c>
      <c r="G101" s="67">
        <v>1</v>
      </c>
      <c r="H101" s="47">
        <f t="shared" si="4"/>
        <v>174.13636363636337</v>
      </c>
      <c r="I101" s="67">
        <v>368</v>
      </c>
      <c r="J101" s="10">
        <f t="shared" si="1"/>
        <v>60049773.922090165</v>
      </c>
      <c r="K101" s="48"/>
    </row>
    <row r="102" spans="1:11" ht="12.7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8">
        <v>140.13837178109071</v>
      </c>
      <c r="F102" s="67">
        <v>30</v>
      </c>
      <c r="G102" s="67">
        <v>1</v>
      </c>
      <c r="H102" s="47">
        <f t="shared" si="4"/>
        <v>174.81818181818153</v>
      </c>
      <c r="I102" s="67">
        <v>320</v>
      </c>
      <c r="J102" s="10">
        <f t="shared" si="1"/>
        <v>57176306.754585467</v>
      </c>
      <c r="K102" s="48"/>
    </row>
    <row r="103" spans="1:11" ht="12.75">
      <c r="A103" s="3">
        <v>40664</v>
      </c>
      <c r="C103" s="19">
        <f t="shared" si="5"/>
        <v>182.38060576923076</v>
      </c>
      <c r="D103" s="19">
        <f t="shared" si="5"/>
        <v>10.404711538461537</v>
      </c>
      <c r="E103" s="68">
        <v>140.50670264298682</v>
      </c>
      <c r="F103" s="67">
        <v>31</v>
      </c>
      <c r="G103" s="67">
        <v>1</v>
      </c>
      <c r="H103" s="47">
        <f t="shared" si="4"/>
        <v>175.49999999999969</v>
      </c>
      <c r="I103" s="67">
        <v>336</v>
      </c>
      <c r="J103" s="10">
        <f t="shared" si="1"/>
        <v>58280676.154526785</v>
      </c>
      <c r="K103" s="48"/>
    </row>
    <row r="104" spans="1:11" ht="12.7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8">
        <v>140.87600160250034</v>
      </c>
      <c r="F104" s="67">
        <v>30</v>
      </c>
      <c r="G104" s="67">
        <v>0</v>
      </c>
      <c r="H104" s="47">
        <f t="shared" si="4"/>
        <v>176.18181818181785</v>
      </c>
      <c r="I104" s="67">
        <v>352</v>
      </c>
      <c r="J104" s="10">
        <f t="shared" si="1"/>
        <v>62039867.111266077</v>
      </c>
      <c r="K104" s="48"/>
    </row>
    <row r="105" spans="1:11" ht="12.7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8">
        <v>141.24627120411799</v>
      </c>
      <c r="F105" s="67">
        <v>31</v>
      </c>
      <c r="G105" s="67">
        <v>0</v>
      </c>
      <c r="H105" s="47">
        <f t="shared" si="4"/>
        <v>176.863636363636</v>
      </c>
      <c r="I105" s="67">
        <v>320</v>
      </c>
      <c r="J105" s="10">
        <f t="shared" si="1"/>
        <v>64886622.627450831</v>
      </c>
      <c r="K105" s="48"/>
    </row>
    <row r="106" spans="1:11" ht="12.7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8">
        <v>141.61751399901428</v>
      </c>
      <c r="F106" s="67">
        <v>31</v>
      </c>
      <c r="G106" s="67">
        <v>0</v>
      </c>
      <c r="H106" s="47">
        <f t="shared" si="4"/>
        <v>177.54545454545416</v>
      </c>
      <c r="I106" s="67">
        <v>352</v>
      </c>
      <c r="J106" s="10">
        <f t="shared" si="1"/>
        <v>63861431.167504027</v>
      </c>
      <c r="K106" s="48"/>
    </row>
    <row r="107" spans="1:11" ht="12.7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8">
        <v>141.98973254506907</v>
      </c>
      <c r="F107" s="67">
        <v>30</v>
      </c>
      <c r="G107" s="67">
        <v>1</v>
      </c>
      <c r="H107" s="47">
        <f t="shared" si="4"/>
        <v>178.22727272727232</v>
      </c>
      <c r="I107" s="67">
        <v>336</v>
      </c>
      <c r="J107" s="10">
        <f t="shared" si="1"/>
        <v>58060950.576941997</v>
      </c>
      <c r="K107" s="48"/>
    </row>
    <row r="108" spans="1:11" ht="12.7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8">
        <v>142.3629294068852</v>
      </c>
      <c r="F108" s="67">
        <v>31</v>
      </c>
      <c r="G108" s="67">
        <v>1</v>
      </c>
      <c r="H108" s="47">
        <f t="shared" si="4"/>
        <v>178.90909090909048</v>
      </c>
      <c r="I108" s="67">
        <v>320</v>
      </c>
      <c r="J108" s="10">
        <f t="shared" si="1"/>
        <v>57522585.786107317</v>
      </c>
      <c r="K108" s="48"/>
    </row>
    <row r="109" spans="1:11" ht="12.75">
      <c r="A109" s="3">
        <v>40848</v>
      </c>
      <c r="C109" s="19">
        <f t="shared" si="5"/>
        <v>419.80961538461543</v>
      </c>
      <c r="D109" s="19">
        <f t="shared" si="5"/>
        <v>0</v>
      </c>
      <c r="E109" s="68">
        <v>142.73710715580614</v>
      </c>
      <c r="F109" s="67">
        <v>30</v>
      </c>
      <c r="G109" s="67">
        <v>1</v>
      </c>
      <c r="H109" s="47">
        <f t="shared" si="4"/>
        <v>179.59090909090864</v>
      </c>
      <c r="I109" s="67">
        <v>352</v>
      </c>
      <c r="J109" s="10">
        <f t="shared" si="1"/>
        <v>58107477.032168448</v>
      </c>
      <c r="K109" s="48"/>
    </row>
    <row r="110" spans="1:11" ht="12.75">
      <c r="A110" s="3">
        <v>40878</v>
      </c>
      <c r="C110" s="19">
        <f t="shared" si="5"/>
        <v>616.96890384615381</v>
      </c>
      <c r="D110" s="19">
        <f t="shared" si="5"/>
        <v>0</v>
      </c>
      <c r="E110" s="68">
        <v>143.11226836993367</v>
      </c>
      <c r="F110" s="67">
        <v>31</v>
      </c>
      <c r="G110" s="67">
        <v>0</v>
      </c>
      <c r="H110" s="47">
        <v>1040.5273865414699</v>
      </c>
      <c r="I110" s="67">
        <v>336</v>
      </c>
      <c r="J110" s="10">
        <f t="shared" si="1"/>
        <v>78521527.550281093</v>
      </c>
      <c r="K110" s="48"/>
    </row>
    <row r="111" spans="1:11" ht="12.75">
      <c r="A111" s="3">
        <v>40909</v>
      </c>
      <c r="C111" s="19">
        <f>C99</f>
        <v>717.5198653846154</v>
      </c>
      <c r="D111" s="19">
        <f>D99</f>
        <v>0</v>
      </c>
      <c r="E111" s="68">
        <v>143.48841563414587</v>
      </c>
      <c r="F111" s="67">
        <v>31</v>
      </c>
      <c r="G111" s="67">
        <v>0</v>
      </c>
      <c r="H111" s="47">
        <v>1041.02433168264</v>
      </c>
      <c r="I111" s="67">
        <v>336</v>
      </c>
      <c r="J111" s="10">
        <f t="shared" si="1"/>
        <v>78942142.02906926</v>
      </c>
      <c r="K111" s="48"/>
    </row>
    <row r="112" spans="1:11" ht="12.75">
      <c r="A112" s="3">
        <v>40940</v>
      </c>
      <c r="C112" s="19">
        <f t="shared" si="6" ref="C112:D122">C100</f>
        <v>661.63424999999995</v>
      </c>
      <c r="D112" s="19">
        <f t="shared" si="6"/>
        <v>0</v>
      </c>
      <c r="E112" s="68">
        <v>143.86555154011452</v>
      </c>
      <c r="F112" s="67">
        <v>29</v>
      </c>
      <c r="G112" s="67">
        <v>0</v>
      </c>
      <c r="H112" s="47">
        <v>1041.5212768238</v>
      </c>
      <c r="I112" s="67">
        <v>320</v>
      </c>
      <c r="J112" s="10">
        <f t="shared" si="1"/>
        <v>77003134.969250858</v>
      </c>
      <c r="K112" s="48"/>
    </row>
    <row r="113" spans="1:11" ht="12.75">
      <c r="A113" s="3">
        <v>40969</v>
      </c>
      <c r="C113" s="19">
        <f t="shared" si="6"/>
        <v>576.21005769230771</v>
      </c>
      <c r="D113" s="19">
        <f t="shared" si="6"/>
        <v>0</v>
      </c>
      <c r="E113" s="68">
        <v>144.24367868632334</v>
      </c>
      <c r="F113" s="67">
        <v>31</v>
      </c>
      <c r="G113" s="67">
        <v>1</v>
      </c>
      <c r="H113" s="47">
        <v>1042.0182219649701</v>
      </c>
      <c r="I113" s="67">
        <v>352</v>
      </c>
      <c r="J113" s="10">
        <f t="shared" si="1"/>
        <v>77958628.322377473</v>
      </c>
      <c r="K113" s="48"/>
    </row>
    <row r="114" spans="1:11" ht="12.7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8">
        <v>144.62279967808564</v>
      </c>
      <c r="F114" s="67">
        <v>30</v>
      </c>
      <c r="G114" s="67">
        <v>1</v>
      </c>
      <c r="H114" s="47">
        <v>1042.5151671061401</v>
      </c>
      <c r="I114" s="67">
        <v>320</v>
      </c>
      <c r="J114" s="10">
        <f t="shared" si="1"/>
        <v>75467657.667465597</v>
      </c>
      <c r="K114" s="48"/>
    </row>
    <row r="115" spans="1:11" ht="12.75">
      <c r="A115" s="3">
        <v>41030</v>
      </c>
      <c r="C115" s="19">
        <f t="shared" si="6"/>
        <v>182.38060576923076</v>
      </c>
      <c r="D115" s="19">
        <f t="shared" si="6"/>
        <v>10.404711538461537</v>
      </c>
      <c r="E115" s="68">
        <v>145.00291712756246</v>
      </c>
      <c r="F115" s="67">
        <v>31</v>
      </c>
      <c r="G115" s="67">
        <v>1</v>
      </c>
      <c r="H115" s="47">
        <v>1043.0121122472999</v>
      </c>
      <c r="I115" s="67">
        <v>352</v>
      </c>
      <c r="J115" s="10">
        <f t="shared" si="1"/>
        <v>76954520.089441061</v>
      </c>
      <c r="K115" s="48"/>
    </row>
    <row r="116" spans="1:11" ht="12.7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8">
        <v>145.38403365378039</v>
      </c>
      <c r="F116" s="67">
        <v>30</v>
      </c>
      <c r="G116" s="67">
        <v>0</v>
      </c>
      <c r="H116" s="47">
        <v>1043.50905738847</v>
      </c>
      <c r="I116" s="67">
        <v>336</v>
      </c>
      <c r="J116" s="10">
        <f t="shared" si="1"/>
        <v>79932711.506958649</v>
      </c>
      <c r="K116" s="48"/>
    </row>
    <row r="117" spans="1:11" ht="12.7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8">
        <v>145.76615188264978</v>
      </c>
      <c r="F117" s="67">
        <v>31</v>
      </c>
      <c r="G117" s="67">
        <v>0</v>
      </c>
      <c r="H117" s="47">
        <v>1044.00600252964</v>
      </c>
      <c r="I117" s="67">
        <v>336</v>
      </c>
      <c r="J117" s="10">
        <f t="shared" si="1"/>
        <v>83549782.723687992</v>
      </c>
      <c r="K117" s="48"/>
    </row>
    <row r="118" spans="1:11" ht="12.7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8">
        <v>146.14927444698273</v>
      </c>
      <c r="F118" s="67">
        <v>31</v>
      </c>
      <c r="G118" s="67">
        <v>0</v>
      </c>
      <c r="H118" s="47">
        <v>1044.5029476708</v>
      </c>
      <c r="I118" s="67">
        <v>352</v>
      </c>
      <c r="J118" s="10">
        <f t="shared" si="1"/>
        <v>82131414.384608418</v>
      </c>
      <c r="K118" s="48"/>
    </row>
    <row r="119" spans="1:11" ht="12.7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8">
        <v>146.53340398651127</v>
      </c>
      <c r="F119" s="67">
        <v>30</v>
      </c>
      <c r="G119" s="67">
        <v>1</v>
      </c>
      <c r="H119" s="47">
        <v>1044.9998928119701</v>
      </c>
      <c r="I119" s="67">
        <v>304</v>
      </c>
      <c r="J119" s="10">
        <f t="shared" si="1"/>
        <v>75549923.700338587</v>
      </c>
      <c r="K119" s="48"/>
    </row>
    <row r="120" spans="1:11" ht="12.7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8">
        <v>146.91854314790552</v>
      </c>
      <c r="F120" s="67">
        <v>31</v>
      </c>
      <c r="G120" s="67">
        <v>1</v>
      </c>
      <c r="H120" s="47">
        <v>1045.4968379531399</v>
      </c>
      <c r="I120" s="67">
        <v>352</v>
      </c>
      <c r="J120" s="10">
        <f t="shared" si="1"/>
        <v>76557523.40217039</v>
      </c>
      <c r="K120" s="48"/>
    </row>
    <row r="121" spans="1:11" ht="12.75">
      <c r="A121" s="3">
        <v>41214</v>
      </c>
      <c r="C121" s="19">
        <f t="shared" si="6"/>
        <v>419.80961538461543</v>
      </c>
      <c r="D121" s="19">
        <f t="shared" si="6"/>
        <v>0</v>
      </c>
      <c r="E121" s="68">
        <v>147.30469458479195</v>
      </c>
      <c r="F121" s="67">
        <v>30</v>
      </c>
      <c r="G121" s="67">
        <v>1</v>
      </c>
      <c r="H121" s="47">
        <v>1045.9937830942999</v>
      </c>
      <c r="I121" s="67">
        <v>352</v>
      </c>
      <c r="J121" s="10">
        <f t="shared" si="1"/>
        <v>76361397.471883804</v>
      </c>
      <c r="K121" s="48"/>
    </row>
    <row r="122" spans="1:11" ht="12.75">
      <c r="A122" s="3">
        <v>41244</v>
      </c>
      <c r="C122" s="19">
        <f t="shared" si="6"/>
        <v>616.96890384615381</v>
      </c>
      <c r="D122" s="19">
        <f t="shared" si="6"/>
        <v>0</v>
      </c>
      <c r="E122" s="68">
        <v>147.69186095777155</v>
      </c>
      <c r="F122" s="67">
        <v>31</v>
      </c>
      <c r="G122" s="67">
        <v>0</v>
      </c>
      <c r="H122" s="47">
        <v>1046.49072823547</v>
      </c>
      <c r="I122" s="67">
        <v>304</v>
      </c>
      <c r="J122" s="10">
        <f t="shared" si="1"/>
        <v>77357699.482645288</v>
      </c>
      <c r="K122" s="48"/>
    </row>
    <row r="123" spans="1:27" ht="12.75">
      <c r="A123" s="3"/>
      <c r="Y123" s="11"/>
      <c r="Z123" s="11"/>
      <c r="AA123" s="11"/>
    </row>
    <row r="124" spans="1:10" ht="12.75">
      <c r="A124" s="3"/>
      <c r="C124" s="20"/>
      <c r="D124" s="1" t="s">
        <v>15</v>
      </c>
      <c r="J124" s="48">
        <f>SUM(J3:J110)</f>
        <v>7921469425.8908682</v>
      </c>
    </row>
    <row r="125" ht="12.75">
      <c r="A125" s="3"/>
    </row>
    <row r="126" spans="1:12" ht="12.75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si="7" ref="K126:K133">J126-B126</f>
        <v>11562170.327828169</v>
      </c>
      <c r="L126" s="5">
        <f t="shared" si="8" ref="L126:L133">K126/B126</f>
        <v>0.012421860745562187</v>
      </c>
    </row>
    <row r="127" spans="1:12" ht="12.75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-0.015530830157684524</v>
      </c>
    </row>
    <row r="128" spans="1:27" ht="12.75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-0.0097416188546308822</v>
      </c>
      <c r="Y128" s="11"/>
      <c r="Z128" s="11"/>
      <c r="AA128" s="11"/>
    </row>
    <row r="129" spans="1:12" ht="12.75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0.0035649657827091247</v>
      </c>
    </row>
    <row r="130" spans="1:12" ht="12.75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-0.025009249324057983</v>
      </c>
    </row>
    <row r="131" spans="1:12" ht="12.75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0.0061412792385489813</v>
      </c>
    </row>
    <row r="132" spans="1:12" ht="12.75">
      <c r="A132" s="17">
        <v>2009</v>
      </c>
      <c r="B132" s="6">
        <f>SUM(B75:B86)</f>
        <v>927527998.17815709</v>
      </c>
      <c r="J132" s="6">
        <f>SUM(J75:J86)</f>
        <v>775466017.20053601</v>
      </c>
      <c r="K132" s="37">
        <f>J132-B132</f>
        <v>-152061980.97762108</v>
      </c>
      <c r="L132" s="5">
        <f>K132/B132</f>
        <v>-0.16394327856010812</v>
      </c>
    </row>
    <row r="133" spans="1:12" ht="12.75">
      <c r="A133">
        <v>2010</v>
      </c>
      <c r="B133" s="6">
        <f>SUM(B87:B98)</f>
        <v>933396305.6367687</v>
      </c>
      <c r="J133" s="6">
        <f>SUM(J87:J98)</f>
        <v>721497521.13979816</v>
      </c>
      <c r="K133" s="37">
        <f t="shared" si="7"/>
        <v>-211898784.49697053</v>
      </c>
      <c r="L133" s="5">
        <f t="shared" si="8"/>
        <v>-0.22701909490890032</v>
      </c>
    </row>
    <row r="134" spans="1:12" ht="12.75">
      <c r="A134" s="17">
        <v>2011</v>
      </c>
      <c r="J134" s="6">
        <f>SUM(J99:J110)</f>
        <v>736821347.73772669</v>
      </c>
      <c r="K134" s="37"/>
      <c r="L134" s="5"/>
    </row>
    <row r="135" spans="1:10" ht="12.75">
      <c r="A135" s="17">
        <v>2012</v>
      </c>
      <c r="J135" s="6">
        <f>SUM(J111:J122)</f>
        <v>937766535.74989736</v>
      </c>
    </row>
    <row r="136" ht="12.75">
      <c r="J136" s="6"/>
    </row>
    <row r="137" spans="1:11" ht="12.75">
      <c r="A137" t="s">
        <v>91</v>
      </c>
      <c r="B137" s="6">
        <f>SUM(B126:B133)</f>
        <v>7576474819.9799757</v>
      </c>
      <c r="J137" s="6">
        <f>SUM(J126:J133)</f>
        <v>7184648078.1531401</v>
      </c>
      <c r="K137" s="6">
        <f>J137-B137</f>
        <v>-391826741.82683563</v>
      </c>
    </row>
    <row r="138" spans="10:11" ht="12.75">
      <c r="J138" s="6"/>
      <c r="K138" s="6"/>
    </row>
    <row r="139" spans="10:11" ht="12.75">
      <c r="J139" s="6">
        <f>SUM(J126:J134)</f>
        <v>7921469425.8908672</v>
      </c>
      <c r="K139" s="48">
        <f>J124-J139</f>
        <v>0</v>
      </c>
    </row>
    <row r="140" spans="10:12" ht="12.75">
      <c r="J140" s="20"/>
      <c r="K140" s="20" t="s">
        <v>75</v>
      </c>
      <c r="L140" s="20"/>
    </row>
    <row r="152" spans="25:27" ht="12.75">
      <c r="Y152" s="11"/>
      <c r="Z152" s="11"/>
      <c r="AA152" s="11"/>
    </row>
  </sheetData>
  <pageMargins left="0.38" right="0.75" top="0.73" bottom="0.74" header="0.5" footer="0.5"/>
  <pageSetup horizontalDpi="300" verticalDpi="3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N57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18.5714285714286" customWidth="1"/>
    <col min="2" max="2" width="15" bestFit="1" customWidth="1"/>
    <col min="3" max="3" width="14" bestFit="1" customWidth="1"/>
    <col min="4" max="6" width="15" bestFit="1" customWidth="1"/>
    <col min="7" max="7" width="12.8571428571429" bestFit="1" customWidth="1"/>
    <col min="8" max="8" width="12.2857142857143" bestFit="1" customWidth="1"/>
    <col min="9" max="9" width="12.8571428571429" bestFit="1" customWidth="1"/>
    <col min="10" max="12" width="11.2857142857143" bestFit="1" customWidth="1"/>
    <col min="13" max="13" width="12.8571428571429" bestFit="1" customWidth="1"/>
    <col min="14" max="14" width="11.2857142857143" bestFit="1" customWidth="1"/>
  </cols>
  <sheetData>
    <row r="2" spans="1:12" ht="34.5" customHeight="1">
      <c r="A2" s="172" t="s">
        <v>150</v>
      </c>
      <c r="B2" s="169">
        <v>2006</v>
      </c>
      <c r="C2" s="169">
        <v>2007</v>
      </c>
      <c r="D2" s="169">
        <v>2008</v>
      </c>
      <c r="E2" s="169">
        <v>2009</v>
      </c>
      <c r="F2" s="169">
        <v>2010</v>
      </c>
      <c r="G2" s="169">
        <v>2011</v>
      </c>
      <c r="H2" s="169">
        <v>2012</v>
      </c>
      <c r="I2" s="169">
        <v>2013</v>
      </c>
      <c r="J2" s="169">
        <v>2014</v>
      </c>
      <c r="K2" s="169">
        <v>2015</v>
      </c>
      <c r="L2" s="169">
        <v>2016</v>
      </c>
    </row>
    <row r="3" spans="1:12" ht="12.75">
      <c r="A3" t="s">
        <v>151</v>
      </c>
      <c r="B3" s="154">
        <v>1882903.748515662</v>
      </c>
      <c r="C3" s="154">
        <v>3504524.1550284787</v>
      </c>
      <c r="D3" s="154">
        <v>3998509.4117795741</v>
      </c>
      <c r="E3" s="154">
        <v>4348926.4454439813</v>
      </c>
      <c r="F3" s="154">
        <v>3459760.6952588828</v>
      </c>
      <c r="G3" s="154">
        <v>4069568.4890389536</v>
      </c>
      <c r="H3" s="154">
        <v>4345127.707850432</v>
      </c>
      <c r="I3" s="154">
        <v>4770763.4516346306</v>
      </c>
      <c r="J3" s="154">
        <v>5208465.480636891</v>
      </c>
      <c r="K3" s="154">
        <v>4475060.5738422414</v>
      </c>
      <c r="L3" s="154">
        <v>4378669.8353800317</v>
      </c>
    </row>
    <row r="4" spans="1:12" ht="12.75">
      <c r="A4" t="s">
        <v>152</v>
      </c>
      <c r="B4" s="154">
        <v>0</v>
      </c>
      <c r="C4" s="154">
        <v>4259.1120000000001</v>
      </c>
      <c r="D4" s="154">
        <v>259182.65062774136</v>
      </c>
      <c r="E4" s="154">
        <v>2066194.713235867</v>
      </c>
      <c r="F4" s="154">
        <v>3171801.907326228</v>
      </c>
      <c r="G4" s="154">
        <v>2291172.907326228</v>
      </c>
      <c r="H4" s="154">
        <v>2326929.907326228</v>
      </c>
      <c r="I4" s="154">
        <v>2358284.907326228</v>
      </c>
      <c r="J4" s="154">
        <v>2435315.6229558848</v>
      </c>
      <c r="K4" s="154">
        <v>2454842.0970324147</v>
      </c>
      <c r="L4" s="154">
        <v>2474209.7728045406</v>
      </c>
    </row>
    <row r="5" spans="1:12" ht="12.75">
      <c r="A5" t="s">
        <v>153</v>
      </c>
      <c r="B5" s="154">
        <v>0</v>
      </c>
      <c r="C5" s="154">
        <v>0</v>
      </c>
      <c r="D5" s="154">
        <v>0</v>
      </c>
      <c r="E5" s="154">
        <v>253772.05643012593</v>
      </c>
      <c r="F5" s="154">
        <v>307368.74013056466</v>
      </c>
      <c r="G5" s="154">
        <v>981510.76625139778</v>
      </c>
      <c r="H5" s="154">
        <v>2438454.6019064272</v>
      </c>
      <c r="I5" s="154">
        <v>3363041.741031108</v>
      </c>
      <c r="J5" s="154">
        <v>4687914.403381112</v>
      </c>
      <c r="K5" s="154">
        <v>5009749.0041980352</v>
      </c>
      <c r="L5" s="154">
        <v>5316905.8859328944</v>
      </c>
    </row>
    <row r="6" spans="1:12" ht="12.75">
      <c r="A6" t="s">
        <v>154</v>
      </c>
      <c r="B6" s="147">
        <v>0</v>
      </c>
      <c r="C6" s="147">
        <v>0</v>
      </c>
      <c r="D6" s="147">
        <v>0</v>
      </c>
      <c r="E6" s="147">
        <v>383174.23817919864</v>
      </c>
      <c r="F6" s="147">
        <v>464077.31068013702</v>
      </c>
      <c r="G6" s="147">
        <v>1798751.948192938</v>
      </c>
      <c r="H6" s="147">
        <v>1985108.1125379086</v>
      </c>
      <c r="I6" s="147">
        <v>2901723.9734132281</v>
      </c>
      <c r="J6" s="147">
        <v>3941929.0135044139</v>
      </c>
      <c r="K6" s="147">
        <v>4219616.6690783873</v>
      </c>
      <c r="L6" s="147">
        <v>4486392.1360119609</v>
      </c>
    </row>
    <row r="7" spans="1:12" ht="12.75">
      <c r="A7" t="s">
        <v>231</v>
      </c>
      <c r="B7" s="97">
        <v>0</v>
      </c>
      <c r="C7" s="97">
        <v>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674071.19754077774</v>
      </c>
      <c r="L7" s="97">
        <v>1354642.3638644912</v>
      </c>
    </row>
    <row r="8" spans="1:12" ht="12.75">
      <c r="A8" t="s">
        <v>155</v>
      </c>
      <c r="B8" s="154">
        <f t="shared" si="0" ref="B8:K8">SUM(B3:B7)</f>
        <v>1882903.748515662</v>
      </c>
      <c r="C8" s="154">
        <f t="shared" si="0"/>
        <v>3508783.2670284789</v>
      </c>
      <c r="D8" s="154">
        <f t="shared" si="0"/>
        <v>4257692.0624073157</v>
      </c>
      <c r="E8" s="154">
        <f t="shared" si="0"/>
        <v>7052067.4532891726</v>
      </c>
      <c r="F8" s="154">
        <f t="shared" si="0"/>
        <v>7403008.653395812</v>
      </c>
      <c r="G8" s="154">
        <f t="shared" si="0"/>
        <v>9141004.1108095162</v>
      </c>
      <c r="H8" s="154">
        <f t="shared" si="0"/>
        <v>11095620.329620997</v>
      </c>
      <c r="I8" s="154">
        <f t="shared" si="0"/>
        <v>13393814.073405195</v>
      </c>
      <c r="J8" s="154">
        <f t="shared" si="0"/>
        <v>16273624.520478303</v>
      </c>
      <c r="K8" s="154">
        <f t="shared" si="0"/>
        <v>16833339.541691858</v>
      </c>
      <c r="L8" s="154">
        <f>SUM(L3:L7)</f>
        <v>18010819.993993919</v>
      </c>
    </row>
    <row r="9" spans="2:12" ht="12.75">
      <c r="B9" s="97"/>
      <c r="C9" s="97"/>
      <c r="D9" s="97"/>
      <c r="E9" s="97"/>
      <c r="F9" s="97"/>
      <c r="G9" s="97"/>
      <c r="H9" s="97"/>
      <c r="I9" s="97"/>
      <c r="J9" s="97"/>
      <c r="K9" s="154"/>
      <c r="L9" s="154"/>
    </row>
    <row r="10" spans="2:12" ht="12.75">
      <c r="B10" s="97"/>
      <c r="C10" s="97"/>
      <c r="D10" s="97"/>
      <c r="E10" s="97"/>
      <c r="F10" s="97"/>
      <c r="G10" s="97"/>
      <c r="H10" s="97"/>
      <c r="I10" s="97"/>
      <c r="J10" s="97"/>
      <c r="K10" s="154"/>
      <c r="L10" s="154"/>
    </row>
    <row r="11" spans="2:12" ht="12.75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12" ht="12.75">
      <c r="A12" s="333" t="s">
        <v>74</v>
      </c>
      <c r="B12" s="333"/>
      <c r="C12" s="333"/>
      <c r="D12" s="333"/>
      <c r="E12" s="333"/>
      <c r="F12" s="333"/>
      <c r="G12" s="333"/>
      <c r="H12" s="333"/>
      <c r="I12" s="97"/>
      <c r="J12" s="97"/>
      <c r="K12" s="97"/>
      <c r="L12" s="97"/>
    </row>
    <row r="13" spans="1:12" ht="12.75">
      <c r="A13" s="89" t="s">
        <v>115</v>
      </c>
      <c r="B13" s="158" t="s">
        <v>151</v>
      </c>
      <c r="C13" s="158" t="s">
        <v>152</v>
      </c>
      <c r="D13" s="158" t="s">
        <v>153</v>
      </c>
      <c r="E13" s="158" t="s">
        <v>154</v>
      </c>
      <c r="F13" s="158" t="s">
        <v>170</v>
      </c>
      <c r="G13" s="200" t="s">
        <v>82</v>
      </c>
      <c r="H13" s="200" t="s">
        <v>171</v>
      </c>
      <c r="I13" s="201" t="s">
        <v>11</v>
      </c>
      <c r="J13" s="97"/>
      <c r="K13" s="97"/>
      <c r="L13" s="97"/>
    </row>
    <row r="14" spans="1:14" ht="12.75">
      <c r="A14" s="1">
        <v>2006</v>
      </c>
      <c r="B14" s="162">
        <v>206369210.68000183</v>
      </c>
      <c r="C14" s="97">
        <v>51568132.580000013</v>
      </c>
      <c r="D14" s="97">
        <v>111434995.56</v>
      </c>
      <c r="E14" s="97">
        <v>89631034.289999977</v>
      </c>
      <c r="F14" s="154">
        <f>+'Rate Class Energy Model'!L8</f>
        <v>367014.05</v>
      </c>
      <c r="G14" s="154">
        <f>+'Rate Class Energy Model'!M8</f>
        <v>2629569.87</v>
      </c>
      <c r="H14" s="154">
        <f>+'Rate Class Energy Model'!N8</f>
        <v>856968.85999999987</v>
      </c>
      <c r="I14" s="154">
        <f>SUM(B14:H14)</f>
        <v>462856925.89000183</v>
      </c>
      <c r="L14" s="170"/>
      <c r="M14" s="170"/>
      <c r="N14" s="170"/>
    </row>
    <row r="15" spans="1:14" ht="12.75">
      <c r="A15" s="1">
        <v>2007</v>
      </c>
      <c r="B15" s="162">
        <v>212135360.2700026</v>
      </c>
      <c r="C15" s="97">
        <v>53690492.650000028</v>
      </c>
      <c r="D15" s="97">
        <v>114821444.94</v>
      </c>
      <c r="E15" s="97">
        <v>98222154.929999992</v>
      </c>
      <c r="F15" s="154">
        <f>+'Rate Class Energy Model'!L9</f>
        <v>473516.96999999991</v>
      </c>
      <c r="G15" s="154">
        <f>+'Rate Class Energy Model'!M9</f>
        <v>2649774.84</v>
      </c>
      <c r="H15" s="154">
        <f>+'Rate Class Energy Model'!N9</f>
        <v>853331.06999999937</v>
      </c>
      <c r="I15" s="154">
        <f t="shared" si="1" ref="I15:I22">SUM(B15:H15)</f>
        <v>482846075.67000264</v>
      </c>
      <c r="L15" s="170"/>
      <c r="M15" s="170"/>
      <c r="N15" s="170"/>
    </row>
    <row r="16" spans="1:14" ht="12.75">
      <c r="A16" s="1">
        <v>2008</v>
      </c>
      <c r="B16" s="162">
        <v>211957790.24000198</v>
      </c>
      <c r="C16" s="97">
        <v>54708674.750000045</v>
      </c>
      <c r="D16" s="97">
        <v>115962505.42</v>
      </c>
      <c r="E16" s="97">
        <v>93577346.780000001</v>
      </c>
      <c r="F16" s="154">
        <f>+'Rate Class Energy Model'!L10</f>
        <v>458396.86999999988</v>
      </c>
      <c r="G16" s="154">
        <f>+'Rate Class Energy Model'!M10</f>
        <v>2670158.7100000004</v>
      </c>
      <c r="H16" s="154">
        <f>+'Rate Class Energy Model'!N10</f>
        <v>857917.32999999938</v>
      </c>
      <c r="I16" s="154">
        <f t="shared" si="1"/>
        <v>480192790.10000205</v>
      </c>
      <c r="L16" s="170"/>
      <c r="M16" s="170"/>
      <c r="N16" s="170"/>
    </row>
    <row r="17" spans="1:14" ht="12.75">
      <c r="A17" s="1">
        <v>2009</v>
      </c>
      <c r="B17" s="162">
        <v>208364709.05000329</v>
      </c>
      <c r="C17" s="97">
        <v>52384258.120000035</v>
      </c>
      <c r="D17" s="97">
        <v>119779491.44000003</v>
      </c>
      <c r="E17" s="97">
        <v>87639309.699999988</v>
      </c>
      <c r="F17" s="154">
        <f>+'Rate Class Energy Model'!L11</f>
        <v>530578</v>
      </c>
      <c r="G17" s="154">
        <f>+'Rate Class Energy Model'!M11</f>
        <v>2664323.25</v>
      </c>
      <c r="H17" s="154">
        <f>+'Rate Class Energy Model'!N11</f>
        <v>909340.61999999941</v>
      </c>
      <c r="I17" s="154">
        <f t="shared" si="1"/>
        <v>472272010.18000334</v>
      </c>
      <c r="L17" s="170"/>
      <c r="M17" s="170"/>
      <c r="N17" s="170"/>
    </row>
    <row r="18" spans="1:14" ht="12.75">
      <c r="A18" s="1">
        <v>2010</v>
      </c>
      <c r="B18" s="162">
        <v>215023348.72000325</v>
      </c>
      <c r="C18" s="97">
        <v>54778252.31000001</v>
      </c>
      <c r="D18" s="97">
        <v>115517109.04079999</v>
      </c>
      <c r="E18" s="97">
        <v>102247109.22999999</v>
      </c>
      <c r="F18" s="154">
        <f>+'Rate Class Energy Model'!L12</f>
        <v>571306.28</v>
      </c>
      <c r="G18" s="154">
        <f>+'Rate Class Energy Model'!M12</f>
        <v>2708302.56</v>
      </c>
      <c r="H18" s="154">
        <f>+'Rate Class Energy Model'!N12</f>
        <v>915976.48999999941</v>
      </c>
      <c r="I18" s="154">
        <f t="shared" si="1"/>
        <v>491761404.63080317</v>
      </c>
      <c r="L18" s="170"/>
      <c r="M18" s="170"/>
      <c r="N18" s="170"/>
    </row>
    <row r="19" spans="1:14" ht="12.75">
      <c r="A19" s="1">
        <v>2011</v>
      </c>
      <c r="B19" s="162">
        <v>208222717</v>
      </c>
      <c r="C19" s="212">
        <v>56992328</v>
      </c>
      <c r="D19" s="212">
        <v>114834153</v>
      </c>
      <c r="E19" s="100">
        <v>105252631</v>
      </c>
      <c r="F19" s="176">
        <v>435096</v>
      </c>
      <c r="G19" s="154">
        <v>2743202</v>
      </c>
      <c r="H19" s="154">
        <v>891705</v>
      </c>
      <c r="I19" s="154">
        <f t="shared" si="1"/>
        <v>489371832</v>
      </c>
      <c r="J19" s="154"/>
      <c r="K19" s="170"/>
      <c r="L19" s="170"/>
      <c r="M19" s="170"/>
      <c r="N19" s="170"/>
    </row>
    <row r="20" spans="1:14" ht="12.75">
      <c r="A20" s="1">
        <v>2012</v>
      </c>
      <c r="B20" s="97">
        <v>213770411.52000195</v>
      </c>
      <c r="C20" s="97">
        <v>56941927.850000031</v>
      </c>
      <c r="D20" s="97">
        <v>112013765.17000002</v>
      </c>
      <c r="E20" s="97">
        <v>101713649.52</v>
      </c>
      <c r="F20" s="154">
        <f>+'Rate Class Energy Model'!L14</f>
        <v>439445.95</v>
      </c>
      <c r="G20" s="154">
        <f>+'Rate Class Energy Model'!M14</f>
        <v>2762363.48</v>
      </c>
      <c r="H20" s="154">
        <f>+'Rate Class Energy Model'!N14</f>
        <v>892749.83999999973</v>
      </c>
      <c r="I20" s="154">
        <f t="shared" si="1"/>
        <v>488534313.33000195</v>
      </c>
      <c r="J20" s="154"/>
      <c r="K20" s="170"/>
      <c r="L20" s="170"/>
      <c r="M20" s="170"/>
      <c r="N20" s="170"/>
    </row>
    <row r="21" spans="1:14" ht="12.75">
      <c r="A21" s="1">
        <v>2013</v>
      </c>
      <c r="B21" s="97">
        <v>207797230.02000487</v>
      </c>
      <c r="C21" s="97">
        <v>56899094.840000011</v>
      </c>
      <c r="D21" s="97">
        <v>115098501.22</v>
      </c>
      <c r="E21" s="97">
        <v>111612294.22000001</v>
      </c>
      <c r="F21" s="154">
        <f>+'Rate Class Energy Model'!L15</f>
        <v>443840.40950000001</v>
      </c>
      <c r="G21" s="154">
        <f>+'Rate Class Energy Model'!M15</f>
        <v>2769251.2600000002</v>
      </c>
      <c r="H21" s="154">
        <v>900265</v>
      </c>
      <c r="I21" s="154">
        <f t="shared" si="1"/>
        <v>495520476.96950489</v>
      </c>
      <c r="J21" s="154"/>
      <c r="K21" s="170"/>
      <c r="L21" s="170"/>
      <c r="M21" s="170"/>
      <c r="N21" s="170"/>
    </row>
    <row r="22" spans="1:14" ht="12.75">
      <c r="A22" s="1">
        <v>2014</v>
      </c>
      <c r="B22" s="176">
        <v>203392794</v>
      </c>
      <c r="C22" s="176">
        <v>51541092</v>
      </c>
      <c r="D22" s="176">
        <v>126051551</v>
      </c>
      <c r="E22" s="176">
        <v>116678000</v>
      </c>
      <c r="F22" s="176">
        <f>+'Rate Class Energy Model'!L16</f>
        <v>448278.81359500001</v>
      </c>
      <c r="G22" s="176">
        <v>2782603</v>
      </c>
      <c r="H22" s="176">
        <v>923011</v>
      </c>
      <c r="I22" s="154">
        <f t="shared" si="1"/>
        <v>501817329.813595</v>
      </c>
      <c r="J22" s="154"/>
      <c r="K22" s="170"/>
      <c r="L22" s="170"/>
      <c r="M22" s="170"/>
      <c r="N22" s="170"/>
    </row>
    <row r="23" spans="1:14" s="32" customFormat="1" ht="12.75">
      <c r="A23" s="24"/>
      <c r="B23" s="176"/>
      <c r="C23" s="176"/>
      <c r="D23" s="176"/>
      <c r="E23" s="176"/>
      <c r="F23" s="154"/>
      <c r="G23" s="177"/>
      <c r="H23" s="177"/>
      <c r="I23" s="177"/>
      <c r="J23" s="177"/>
      <c r="K23" s="177"/>
      <c r="L23" s="177"/>
      <c r="M23" s="177"/>
      <c r="N23" s="177"/>
    </row>
    <row r="24" spans="1:14" ht="12.75">
      <c r="A24" s="333" t="s">
        <v>156</v>
      </c>
      <c r="B24" s="333"/>
      <c r="C24" s="333"/>
      <c r="D24" s="333"/>
      <c r="E24" s="333"/>
      <c r="F24" s="333"/>
      <c r="G24" s="170"/>
      <c r="H24" s="170"/>
      <c r="I24" s="170"/>
      <c r="J24" s="170"/>
      <c r="K24" s="170"/>
      <c r="L24" s="170"/>
      <c r="M24" s="170"/>
      <c r="N24" s="170"/>
    </row>
    <row r="25" spans="1:14" ht="12.75">
      <c r="A25" s="1"/>
      <c r="B25" s="158" t="s">
        <v>151</v>
      </c>
      <c r="C25" s="158" t="s">
        <v>152</v>
      </c>
      <c r="D25" s="158" t="s">
        <v>153</v>
      </c>
      <c r="E25" s="158" t="s">
        <v>154</v>
      </c>
      <c r="F25" s="158" t="s">
        <v>231</v>
      </c>
      <c r="G25" s="158" t="s">
        <v>172</v>
      </c>
      <c r="H25" s="170"/>
      <c r="I25" s="170"/>
      <c r="J25" s="170"/>
      <c r="K25" s="170"/>
      <c r="L25" s="170"/>
      <c r="M25" s="170"/>
      <c r="N25" s="170"/>
    </row>
    <row r="26" spans="1:11" ht="12.75">
      <c r="A26" s="1">
        <v>2006</v>
      </c>
      <c r="B26" s="97">
        <v>1882903.748515662</v>
      </c>
      <c r="C26" s="97">
        <v>0</v>
      </c>
      <c r="D26" s="97">
        <v>0</v>
      </c>
      <c r="E26" s="97">
        <v>0</v>
      </c>
      <c r="F26" s="97">
        <v>0</v>
      </c>
      <c r="G26" s="154">
        <f>SUM(B26:F26)</f>
        <v>1882903.748515662</v>
      </c>
      <c r="H26" s="170"/>
      <c r="I26" s="170"/>
      <c r="J26" s="170"/>
      <c r="K26" s="170"/>
    </row>
    <row r="27" spans="1:11" ht="12.75">
      <c r="A27" s="1">
        <v>2007</v>
      </c>
      <c r="B27" s="97">
        <v>3504524.1550284787</v>
      </c>
      <c r="C27" s="97">
        <v>4259.1120000000001</v>
      </c>
      <c r="D27" s="97">
        <v>0</v>
      </c>
      <c r="E27" s="97">
        <v>0</v>
      </c>
      <c r="F27" s="97">
        <v>0</v>
      </c>
      <c r="G27" s="154">
        <f t="shared" si="2" ref="G27:G34">SUM(B27:F27)</f>
        <v>3508783.2670284789</v>
      </c>
      <c r="H27" s="170"/>
      <c r="I27" s="170"/>
      <c r="J27" s="170"/>
      <c r="K27" s="170"/>
    </row>
    <row r="28" spans="1:11" ht="12.75">
      <c r="A28" s="1">
        <v>2008</v>
      </c>
      <c r="B28" s="97">
        <v>3998509.4117795741</v>
      </c>
      <c r="C28" s="97">
        <v>259182.65062774136</v>
      </c>
      <c r="D28" s="97">
        <v>0</v>
      </c>
      <c r="E28" s="97">
        <v>0</v>
      </c>
      <c r="F28" s="97">
        <v>0</v>
      </c>
      <c r="G28" s="154">
        <f t="shared" si="2"/>
        <v>4257692.0624073157</v>
      </c>
      <c r="H28" s="170"/>
      <c r="I28" s="170"/>
      <c r="J28" s="170"/>
      <c r="K28" s="170"/>
    </row>
    <row r="29" spans="1:11" ht="12.75">
      <c r="A29" s="1">
        <v>2009</v>
      </c>
      <c r="B29" s="97">
        <v>4348926.4454439813</v>
      </c>
      <c r="C29" s="97">
        <v>2066194.713235867</v>
      </c>
      <c r="D29" s="97">
        <v>253772.05643012593</v>
      </c>
      <c r="E29" s="97">
        <v>383174.23817919864</v>
      </c>
      <c r="F29" s="97">
        <v>0</v>
      </c>
      <c r="G29" s="154">
        <f t="shared" si="2"/>
        <v>7052067.4532891726</v>
      </c>
      <c r="H29" s="170"/>
      <c r="I29" s="170"/>
      <c r="J29" s="170"/>
      <c r="K29" s="170"/>
    </row>
    <row r="30" spans="1:11" ht="12.75">
      <c r="A30" s="1">
        <v>2010</v>
      </c>
      <c r="B30" s="97">
        <v>3459760.6952588828</v>
      </c>
      <c r="C30" s="97">
        <v>3171801.907326228</v>
      </c>
      <c r="D30" s="97">
        <v>307368.74013056466</v>
      </c>
      <c r="E30" s="97">
        <v>464077.31068013702</v>
      </c>
      <c r="F30" s="97">
        <v>0</v>
      </c>
      <c r="G30" s="154">
        <f t="shared" si="2"/>
        <v>7403008.653395812</v>
      </c>
      <c r="H30" s="170"/>
      <c r="I30" s="170"/>
      <c r="J30" s="170"/>
      <c r="K30" s="170"/>
    </row>
    <row r="31" spans="1:11" ht="12.75">
      <c r="A31" s="1">
        <v>2011</v>
      </c>
      <c r="B31" s="97">
        <v>4069568.4890389536</v>
      </c>
      <c r="C31" s="97">
        <v>2291172.907326228</v>
      </c>
      <c r="D31" s="97">
        <v>843829.46787621314</v>
      </c>
      <c r="E31" s="97">
        <v>1546432.2465681227</v>
      </c>
      <c r="F31" s="97">
        <v>0</v>
      </c>
      <c r="G31" s="154">
        <f t="shared" si="2"/>
        <v>8751003.110809518</v>
      </c>
      <c r="H31" s="170"/>
      <c r="I31" s="170"/>
      <c r="J31" s="170"/>
      <c r="K31" s="170"/>
    </row>
    <row r="32" spans="1:11" ht="12.75">
      <c r="A32" s="1">
        <v>2012</v>
      </c>
      <c r="B32" s="97">
        <v>4345127.707850432</v>
      </c>
      <c r="C32" s="97">
        <v>2326929.907326228</v>
      </c>
      <c r="D32" s="97">
        <v>2223468.4761300301</v>
      </c>
      <c r="E32" s="97">
        <v>1810091.2383143061</v>
      </c>
      <c r="F32" s="97">
        <v>0</v>
      </c>
      <c r="G32" s="154">
        <f t="shared" si="2"/>
        <v>10705617.329620997</v>
      </c>
      <c r="H32" s="170"/>
      <c r="I32" s="170"/>
      <c r="J32" s="170"/>
      <c r="K32" s="170"/>
    </row>
    <row r="33" spans="1:11" ht="12.75">
      <c r="A33" s="1">
        <v>2013</v>
      </c>
      <c r="B33" s="97">
        <v>4770763.4516346306</v>
      </c>
      <c r="C33" s="97">
        <v>2358284.907326228</v>
      </c>
      <c r="D33" s="97">
        <v>2563485.5718349302</v>
      </c>
      <c r="E33" s="97">
        <v>2211845.1426094058</v>
      </c>
      <c r="F33" s="97">
        <v>0</v>
      </c>
      <c r="G33" s="154">
        <f t="shared" si="2"/>
        <v>11904379.073405195</v>
      </c>
      <c r="H33" s="170"/>
      <c r="I33" s="170"/>
      <c r="J33" s="170"/>
      <c r="K33" s="170"/>
    </row>
    <row r="34" spans="1:7" ht="12.75">
      <c r="A34" s="1">
        <v>2014</v>
      </c>
      <c r="B34" s="97">
        <f>+J3</f>
        <v>5208465.480636891</v>
      </c>
      <c r="C34" s="97">
        <f>+J4</f>
        <v>2435315.6229558848</v>
      </c>
      <c r="D34" s="97">
        <f>+J5</f>
        <v>4687914.403381112</v>
      </c>
      <c r="E34" s="97">
        <f>+J6</f>
        <v>3941929.0135044139</v>
      </c>
      <c r="F34" s="97">
        <v>0</v>
      </c>
      <c r="G34" s="154">
        <f t="shared" si="2"/>
        <v>16273624.520478303</v>
      </c>
    </row>
    <row r="35" ht="12.75">
      <c r="A35" s="1"/>
    </row>
    <row r="36" spans="1:6" ht="12.75">
      <c r="A36" s="333" t="s">
        <v>157</v>
      </c>
      <c r="B36" s="333"/>
      <c r="C36" s="333"/>
      <c r="D36" s="333"/>
      <c r="E36" s="333"/>
      <c r="F36" s="333"/>
    </row>
    <row r="37" spans="1:6" ht="12.75">
      <c r="A37" s="1"/>
      <c r="B37" s="158" t="s">
        <v>151</v>
      </c>
      <c r="C37" s="158" t="s">
        <v>152</v>
      </c>
      <c r="D37" s="158" t="s">
        <v>153</v>
      </c>
      <c r="E37" s="158" t="s">
        <v>154</v>
      </c>
      <c r="F37" s="158"/>
    </row>
    <row r="38" spans="1:6" ht="12.75">
      <c r="A38" s="1">
        <v>2006</v>
      </c>
      <c r="B38" s="97">
        <f t="shared" si="3" ref="B38:B46">+B14+B26</f>
        <v>208252114.42851749</v>
      </c>
      <c r="C38" s="97">
        <f t="shared" si="4" ref="C38:E38">+C14+C26</f>
        <v>51568132.580000013</v>
      </c>
      <c r="D38" s="97">
        <f t="shared" si="4"/>
        <v>111434995.56</v>
      </c>
      <c r="E38" s="97">
        <f t="shared" si="4"/>
        <v>89631034.289999977</v>
      </c>
      <c r="F38" s="171"/>
    </row>
    <row r="39" spans="1:6" ht="12.75">
      <c r="A39" s="1">
        <v>2007</v>
      </c>
      <c r="B39" s="97">
        <f t="shared" si="3"/>
        <v>215639884.4250311</v>
      </c>
      <c r="C39" s="97">
        <f t="shared" si="5" ref="C39:E46">+C15+C27</f>
        <v>53694751.762000032</v>
      </c>
      <c r="D39" s="97">
        <f t="shared" si="5"/>
        <v>114821444.94</v>
      </c>
      <c r="E39" s="97">
        <f t="shared" si="5"/>
        <v>98222154.929999992</v>
      </c>
      <c r="F39" s="171"/>
    </row>
    <row r="40" spans="1:6" ht="12.75">
      <c r="A40" s="1">
        <v>2008</v>
      </c>
      <c r="B40" s="97">
        <f t="shared" si="3"/>
        <v>215956299.65178156</v>
      </c>
      <c r="C40" s="97">
        <f t="shared" si="5"/>
        <v>54967857.400627784</v>
      </c>
      <c r="D40" s="97">
        <f t="shared" si="5"/>
        <v>115962505.42</v>
      </c>
      <c r="E40" s="97">
        <f t="shared" si="5"/>
        <v>93577346.780000001</v>
      </c>
      <c r="F40" s="171"/>
    </row>
    <row r="41" spans="1:6" ht="12.75">
      <c r="A41" s="1">
        <v>2009</v>
      </c>
      <c r="B41" s="97">
        <f t="shared" si="3"/>
        <v>212713635.49544728</v>
      </c>
      <c r="C41" s="97">
        <f t="shared" si="5"/>
        <v>54450452.833235905</v>
      </c>
      <c r="D41" s="97">
        <f t="shared" si="5"/>
        <v>120033263.49643016</v>
      </c>
      <c r="E41" s="97">
        <f t="shared" si="5"/>
        <v>88022483.93817918</v>
      </c>
      <c r="F41" s="171"/>
    </row>
    <row r="42" spans="1:6" ht="12.75">
      <c r="A42" s="1">
        <v>2010</v>
      </c>
      <c r="B42" s="97">
        <f t="shared" si="3"/>
        <v>218483109.41526213</v>
      </c>
      <c r="C42" s="97">
        <f t="shared" si="5"/>
        <v>57950054.217326239</v>
      </c>
      <c r="D42" s="97">
        <f t="shared" si="5"/>
        <v>115824477.78093055</v>
      </c>
      <c r="E42" s="97">
        <f t="shared" si="5"/>
        <v>102711186.54068013</v>
      </c>
      <c r="F42" s="171"/>
    </row>
    <row r="43" spans="1:6" ht="12.75">
      <c r="A43" s="1">
        <v>2011</v>
      </c>
      <c r="B43" s="97">
        <f t="shared" si="3"/>
        <v>212292285.48903894</v>
      </c>
      <c r="C43" s="97">
        <f t="shared" si="5"/>
        <v>59283500.907326229</v>
      </c>
      <c r="D43" s="97">
        <f t="shared" si="5"/>
        <v>115677982.46787621</v>
      </c>
      <c r="E43" s="97">
        <f t="shared" si="5"/>
        <v>106799063.24656813</v>
      </c>
      <c r="F43" s="171"/>
    </row>
    <row r="44" spans="1:6" ht="12.75">
      <c r="A44" s="1">
        <v>2012</v>
      </c>
      <c r="B44" s="97">
        <f t="shared" si="3"/>
        <v>218115539.22785237</v>
      </c>
      <c r="C44" s="97">
        <f t="shared" si="5"/>
        <v>59268857.75732626</v>
      </c>
      <c r="D44" s="97">
        <f t="shared" si="5"/>
        <v>114237233.64613004</v>
      </c>
      <c r="E44" s="97">
        <f t="shared" si="5"/>
        <v>103523740.7583143</v>
      </c>
      <c r="F44" s="171"/>
    </row>
    <row r="45" spans="1:6" ht="12.75">
      <c r="A45" s="1">
        <v>2013</v>
      </c>
      <c r="B45" s="97">
        <f t="shared" si="3"/>
        <v>212567993.47163951</v>
      </c>
      <c r="C45" s="97">
        <f t="shared" si="5"/>
        <v>59257379.74732624</v>
      </c>
      <c r="D45" s="97">
        <f t="shared" si="5"/>
        <v>117661986.79183494</v>
      </c>
      <c r="E45" s="97">
        <f t="shared" si="5"/>
        <v>113824139.36260942</v>
      </c>
      <c r="F45" s="171"/>
    </row>
    <row r="46" spans="1:6" ht="12.75">
      <c r="A46" s="1">
        <v>2014</v>
      </c>
      <c r="B46" s="97">
        <f t="shared" si="3"/>
        <v>208601259.4806369</v>
      </c>
      <c r="C46" s="97">
        <f t="shared" si="5"/>
        <v>53976407.622955889</v>
      </c>
      <c r="D46" s="97">
        <f t="shared" si="5"/>
        <v>130739465.40338111</v>
      </c>
      <c r="E46" s="97">
        <f t="shared" si="5"/>
        <v>120619929.01350442</v>
      </c>
      <c r="F46" s="171"/>
    </row>
    <row r="49" ht="12.75">
      <c r="A49" s="1"/>
    </row>
    <row r="50" spans="2:8" ht="12.75">
      <c r="B50" s="154"/>
      <c r="C50" s="154"/>
      <c r="D50" s="154"/>
      <c r="E50" s="154"/>
      <c r="F50" s="154"/>
      <c r="G50" s="154"/>
      <c r="H50" s="154"/>
    </row>
    <row r="51" spans="2:8" ht="12.75">
      <c r="B51" s="154"/>
      <c r="C51" s="154"/>
      <c r="D51" s="154"/>
      <c r="E51" s="154"/>
      <c r="F51" s="154"/>
      <c r="G51" s="154"/>
      <c r="H51" s="154"/>
    </row>
    <row r="52" spans="2:8" ht="12.75">
      <c r="B52" s="154"/>
      <c r="C52" s="154"/>
      <c r="D52" s="154"/>
      <c r="E52" s="154"/>
      <c r="F52" s="154"/>
      <c r="G52" s="154"/>
      <c r="H52" s="154"/>
    </row>
    <row r="57" spans="2:6" ht="12.75">
      <c r="B57" s="170"/>
      <c r="C57" s="170"/>
      <c r="D57" s="170"/>
      <c r="E57" s="170"/>
      <c r="F57" s="171"/>
    </row>
  </sheetData>
  <mergeCells count="3">
    <mergeCell ref="A24:F24"/>
    <mergeCell ref="A36:F36"/>
    <mergeCell ref="A12:H12"/>
  </mergeCells>
  <pageMargins left="0.7" right="0.7" top="0.75" bottom="0.75" header="0.3" footer="0.3"/>
  <pageSetup orientation="landscape" scale="76" r:id="rId1"/>
  <ignoredErrors>
    <ignoredError sqref="I1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2"/>
  <sheetViews>
    <sheetView workbookViewId="0" topLeftCell="A1">
      <selection pane="topLeft" activeCell="A1" sqref="A1"/>
    </sheetView>
  </sheetViews>
  <sheetFormatPr defaultColWidth="9.14285714285714" defaultRowHeight="12.75"/>
  <cols>
    <col min="2" max="2" width="15.4285714285714" customWidth="1"/>
    <col min="3" max="3" width="16" customWidth="1"/>
    <col min="4" max="4" width="14.8571428571429" customWidth="1"/>
    <col min="5" max="5" width="14.4285714285714" bestFit="1" customWidth="1"/>
    <col min="6" max="6" width="12.7142857142857" customWidth="1"/>
    <col min="7" max="7" width="14" bestFit="1" customWidth="1"/>
    <col min="8" max="8" width="11.2857142857143" bestFit="1" customWidth="1"/>
    <col min="9" max="9" width="12.4285714285714" bestFit="1" customWidth="1"/>
    <col min="10" max="10" width="11.2857142857143" bestFit="1" customWidth="1"/>
    <col min="11" max="11" width="14" bestFit="1" customWidth="1"/>
    <col min="12" max="12" width="4.71428571428571" bestFit="1" customWidth="1"/>
    <col min="13" max="13" width="18.5714285714286" bestFit="1" customWidth="1"/>
    <col min="14" max="18" width="12.7142857142857" customWidth="1"/>
    <col min="19" max="19" width="12.8571428571429" bestFit="1" customWidth="1"/>
    <col min="20" max="20" width="10.1428571428571" bestFit="1" customWidth="1"/>
    <col min="21" max="21" width="13.8571428571429" bestFit="1" customWidth="1"/>
    <col min="22" max="22" width="10.1428571428571" bestFit="1" customWidth="1"/>
    <col min="23" max="23" width="11" customWidth="1"/>
    <col min="25" max="25" width="20.4285714285714" bestFit="1" customWidth="1"/>
    <col min="250" max="250" width="14.4285714285714" customWidth="1"/>
    <col min="251" max="251" width="12.8571428571429" customWidth="1"/>
    <col min="252" max="252" width="11.7142857142857" customWidth="1"/>
    <col min="253" max="253" width="10.2857142857143" customWidth="1"/>
    <col min="254" max="254" width="12.7142857142857" customWidth="1"/>
    <col min="255" max="265" width="17.7142857142857" customWidth="1"/>
    <col min="266" max="266" width="13" bestFit="1" customWidth="1"/>
    <col min="267" max="267" width="12.8571428571429" bestFit="1" customWidth="1"/>
    <col min="269" max="269" width="14.1428571428571" bestFit="1" customWidth="1"/>
    <col min="275" max="275" width="12.8571428571429" bestFit="1" customWidth="1"/>
    <col min="276" max="276" width="10.1428571428571" bestFit="1" customWidth="1"/>
    <col min="277" max="277" width="13.8571428571429" bestFit="1" customWidth="1"/>
    <col min="278" max="278" width="10.1428571428571" bestFit="1" customWidth="1"/>
    <col min="279" max="279" width="11" customWidth="1"/>
    <col min="281" max="281" width="20.4285714285714" bestFit="1" customWidth="1"/>
    <col min="506" max="506" width="14.4285714285714" customWidth="1"/>
    <col min="507" max="507" width="12.8571428571429" customWidth="1"/>
    <col min="508" max="508" width="11.7142857142857" customWidth="1"/>
    <col min="509" max="509" width="10.2857142857143" customWidth="1"/>
    <col min="510" max="510" width="12.7142857142857" customWidth="1"/>
    <col min="511" max="521" width="17.7142857142857" customWidth="1"/>
    <col min="522" max="522" width="13" bestFit="1" customWidth="1"/>
    <col min="523" max="523" width="12.8571428571429" bestFit="1" customWidth="1"/>
    <col min="525" max="525" width="14.1428571428571" bestFit="1" customWidth="1"/>
    <col min="531" max="531" width="12.8571428571429" bestFit="1" customWidth="1"/>
    <col min="532" max="532" width="10.1428571428571" bestFit="1" customWidth="1"/>
    <col min="533" max="533" width="13.8571428571429" bestFit="1" customWidth="1"/>
    <col min="534" max="534" width="10.1428571428571" bestFit="1" customWidth="1"/>
    <col min="535" max="535" width="11" customWidth="1"/>
    <col min="537" max="537" width="20.4285714285714" bestFit="1" customWidth="1"/>
    <col min="762" max="762" width="14.4285714285714" customWidth="1"/>
    <col min="763" max="763" width="12.8571428571429" customWidth="1"/>
    <col min="764" max="764" width="11.7142857142857" customWidth="1"/>
    <col min="765" max="765" width="10.2857142857143" customWidth="1"/>
    <col min="766" max="766" width="12.7142857142857" customWidth="1"/>
    <col min="767" max="777" width="17.7142857142857" customWidth="1"/>
    <col min="778" max="778" width="13" bestFit="1" customWidth="1"/>
    <col min="779" max="779" width="12.8571428571429" bestFit="1" customWidth="1"/>
    <col min="781" max="781" width="14.1428571428571" bestFit="1" customWidth="1"/>
    <col min="787" max="787" width="12.8571428571429" bestFit="1" customWidth="1"/>
    <col min="788" max="788" width="10.1428571428571" bestFit="1" customWidth="1"/>
    <col min="789" max="789" width="13.8571428571429" bestFit="1" customWidth="1"/>
    <col min="790" max="790" width="10.1428571428571" bestFit="1" customWidth="1"/>
    <col min="791" max="791" width="11" customWidth="1"/>
    <col min="793" max="793" width="20.4285714285714" bestFit="1" customWidth="1"/>
    <col min="1018" max="1018" width="14.4285714285714" customWidth="1"/>
    <col min="1019" max="1019" width="12.8571428571429" customWidth="1"/>
    <col min="1020" max="1020" width="11.7142857142857" customWidth="1"/>
    <col min="1021" max="1021" width="10.2857142857143" customWidth="1"/>
    <col min="1022" max="1022" width="12.7142857142857" customWidth="1"/>
    <col min="1023" max="1033" width="17.7142857142857" customWidth="1"/>
    <col min="1034" max="1034" width="13" bestFit="1" customWidth="1"/>
    <col min="1035" max="1035" width="12.8571428571429" bestFit="1" customWidth="1"/>
    <col min="1037" max="1037" width="14.1428571428571" bestFit="1" customWidth="1"/>
    <col min="1043" max="1043" width="12.8571428571429" bestFit="1" customWidth="1"/>
    <col min="1044" max="1044" width="10.1428571428571" bestFit="1" customWidth="1"/>
    <col min="1045" max="1045" width="13.8571428571429" bestFit="1" customWidth="1"/>
    <col min="1046" max="1046" width="10.1428571428571" bestFit="1" customWidth="1"/>
    <col min="1047" max="1047" width="11" customWidth="1"/>
    <col min="1049" max="1049" width="20.4285714285714" bestFit="1" customWidth="1"/>
    <col min="1274" max="1274" width="14.4285714285714" customWidth="1"/>
    <col min="1275" max="1275" width="12.8571428571429" customWidth="1"/>
    <col min="1276" max="1276" width="11.7142857142857" customWidth="1"/>
    <col min="1277" max="1277" width="10.2857142857143" customWidth="1"/>
    <col min="1278" max="1278" width="12.7142857142857" customWidth="1"/>
    <col min="1279" max="1289" width="17.7142857142857" customWidth="1"/>
    <col min="1290" max="1290" width="13" bestFit="1" customWidth="1"/>
    <col min="1291" max="1291" width="12.8571428571429" bestFit="1" customWidth="1"/>
    <col min="1293" max="1293" width="14.1428571428571" bestFit="1" customWidth="1"/>
    <col min="1299" max="1299" width="12.8571428571429" bestFit="1" customWidth="1"/>
    <col min="1300" max="1300" width="10.1428571428571" bestFit="1" customWidth="1"/>
    <col min="1301" max="1301" width="13.8571428571429" bestFit="1" customWidth="1"/>
    <col min="1302" max="1302" width="10.1428571428571" bestFit="1" customWidth="1"/>
    <col min="1303" max="1303" width="11" customWidth="1"/>
    <col min="1305" max="1305" width="20.4285714285714" bestFit="1" customWidth="1"/>
    <col min="1530" max="1530" width="14.4285714285714" customWidth="1"/>
    <col min="1531" max="1531" width="12.8571428571429" customWidth="1"/>
    <col min="1532" max="1532" width="11.7142857142857" customWidth="1"/>
    <col min="1533" max="1533" width="10.2857142857143" customWidth="1"/>
    <col min="1534" max="1534" width="12.7142857142857" customWidth="1"/>
    <col min="1535" max="1545" width="17.7142857142857" customWidth="1"/>
    <col min="1546" max="1546" width="13" bestFit="1" customWidth="1"/>
    <col min="1547" max="1547" width="12.8571428571429" bestFit="1" customWidth="1"/>
    <col min="1549" max="1549" width="14.1428571428571" bestFit="1" customWidth="1"/>
    <col min="1555" max="1555" width="12.8571428571429" bestFit="1" customWidth="1"/>
    <col min="1556" max="1556" width="10.1428571428571" bestFit="1" customWidth="1"/>
    <col min="1557" max="1557" width="13.8571428571429" bestFit="1" customWidth="1"/>
    <col min="1558" max="1558" width="10.1428571428571" bestFit="1" customWidth="1"/>
    <col min="1559" max="1559" width="11" customWidth="1"/>
    <col min="1561" max="1561" width="20.4285714285714" bestFit="1" customWidth="1"/>
    <col min="1786" max="1786" width="14.4285714285714" customWidth="1"/>
    <col min="1787" max="1787" width="12.8571428571429" customWidth="1"/>
    <col min="1788" max="1788" width="11.7142857142857" customWidth="1"/>
    <col min="1789" max="1789" width="10.2857142857143" customWidth="1"/>
    <col min="1790" max="1790" width="12.7142857142857" customWidth="1"/>
    <col min="1791" max="1801" width="17.7142857142857" customWidth="1"/>
    <col min="1802" max="1802" width="13" bestFit="1" customWidth="1"/>
    <col min="1803" max="1803" width="12.8571428571429" bestFit="1" customWidth="1"/>
    <col min="1805" max="1805" width="14.1428571428571" bestFit="1" customWidth="1"/>
    <col min="1811" max="1811" width="12.8571428571429" bestFit="1" customWidth="1"/>
    <col min="1812" max="1812" width="10.1428571428571" bestFit="1" customWidth="1"/>
    <col min="1813" max="1813" width="13.8571428571429" bestFit="1" customWidth="1"/>
    <col min="1814" max="1814" width="10.1428571428571" bestFit="1" customWidth="1"/>
    <col min="1815" max="1815" width="11" customWidth="1"/>
    <col min="1817" max="1817" width="20.4285714285714" bestFit="1" customWidth="1"/>
    <col min="2042" max="2042" width="14.4285714285714" customWidth="1"/>
    <col min="2043" max="2043" width="12.8571428571429" customWidth="1"/>
    <col min="2044" max="2044" width="11.7142857142857" customWidth="1"/>
    <col min="2045" max="2045" width="10.2857142857143" customWidth="1"/>
    <col min="2046" max="2046" width="12.7142857142857" customWidth="1"/>
    <col min="2047" max="2057" width="17.7142857142857" customWidth="1"/>
    <col min="2058" max="2058" width="13" bestFit="1" customWidth="1"/>
    <col min="2059" max="2059" width="12.8571428571429" bestFit="1" customWidth="1"/>
    <col min="2061" max="2061" width="14.1428571428571" bestFit="1" customWidth="1"/>
    <col min="2067" max="2067" width="12.8571428571429" bestFit="1" customWidth="1"/>
    <col min="2068" max="2068" width="10.1428571428571" bestFit="1" customWidth="1"/>
    <col min="2069" max="2069" width="13.8571428571429" bestFit="1" customWidth="1"/>
    <col min="2070" max="2070" width="10.1428571428571" bestFit="1" customWidth="1"/>
    <col min="2071" max="2071" width="11" customWidth="1"/>
    <col min="2073" max="2073" width="20.4285714285714" bestFit="1" customWidth="1"/>
    <col min="2298" max="2298" width="14.4285714285714" customWidth="1"/>
    <col min="2299" max="2299" width="12.8571428571429" customWidth="1"/>
    <col min="2300" max="2300" width="11.7142857142857" customWidth="1"/>
    <col min="2301" max="2301" width="10.2857142857143" customWidth="1"/>
    <col min="2302" max="2302" width="12.7142857142857" customWidth="1"/>
    <col min="2303" max="2313" width="17.7142857142857" customWidth="1"/>
    <col min="2314" max="2314" width="13" bestFit="1" customWidth="1"/>
    <col min="2315" max="2315" width="12.8571428571429" bestFit="1" customWidth="1"/>
    <col min="2317" max="2317" width="14.1428571428571" bestFit="1" customWidth="1"/>
    <col min="2323" max="2323" width="12.8571428571429" bestFit="1" customWidth="1"/>
    <col min="2324" max="2324" width="10.1428571428571" bestFit="1" customWidth="1"/>
    <col min="2325" max="2325" width="13.8571428571429" bestFit="1" customWidth="1"/>
    <col min="2326" max="2326" width="10.1428571428571" bestFit="1" customWidth="1"/>
    <col min="2327" max="2327" width="11" customWidth="1"/>
    <col min="2329" max="2329" width="20.4285714285714" bestFit="1" customWidth="1"/>
    <col min="2554" max="2554" width="14.4285714285714" customWidth="1"/>
    <col min="2555" max="2555" width="12.8571428571429" customWidth="1"/>
    <col min="2556" max="2556" width="11.7142857142857" customWidth="1"/>
    <col min="2557" max="2557" width="10.2857142857143" customWidth="1"/>
    <col min="2558" max="2558" width="12.7142857142857" customWidth="1"/>
    <col min="2559" max="2569" width="17.7142857142857" customWidth="1"/>
    <col min="2570" max="2570" width="13" bestFit="1" customWidth="1"/>
    <col min="2571" max="2571" width="12.8571428571429" bestFit="1" customWidth="1"/>
    <col min="2573" max="2573" width="14.1428571428571" bestFit="1" customWidth="1"/>
    <col min="2579" max="2579" width="12.8571428571429" bestFit="1" customWidth="1"/>
    <col min="2580" max="2580" width="10.1428571428571" bestFit="1" customWidth="1"/>
    <col min="2581" max="2581" width="13.8571428571429" bestFit="1" customWidth="1"/>
    <col min="2582" max="2582" width="10.1428571428571" bestFit="1" customWidth="1"/>
    <col min="2583" max="2583" width="11" customWidth="1"/>
    <col min="2585" max="2585" width="20.4285714285714" bestFit="1" customWidth="1"/>
    <col min="2810" max="2810" width="14.4285714285714" customWidth="1"/>
    <col min="2811" max="2811" width="12.8571428571429" customWidth="1"/>
    <col min="2812" max="2812" width="11.7142857142857" customWidth="1"/>
    <col min="2813" max="2813" width="10.2857142857143" customWidth="1"/>
    <col min="2814" max="2814" width="12.7142857142857" customWidth="1"/>
    <col min="2815" max="2825" width="17.7142857142857" customWidth="1"/>
    <col min="2826" max="2826" width="13" bestFit="1" customWidth="1"/>
    <col min="2827" max="2827" width="12.8571428571429" bestFit="1" customWidth="1"/>
    <col min="2829" max="2829" width="14.1428571428571" bestFit="1" customWidth="1"/>
    <col min="2835" max="2835" width="12.8571428571429" bestFit="1" customWidth="1"/>
    <col min="2836" max="2836" width="10.1428571428571" bestFit="1" customWidth="1"/>
    <col min="2837" max="2837" width="13.8571428571429" bestFit="1" customWidth="1"/>
    <col min="2838" max="2838" width="10.1428571428571" bestFit="1" customWidth="1"/>
    <col min="2839" max="2839" width="11" customWidth="1"/>
    <col min="2841" max="2841" width="20.4285714285714" bestFit="1" customWidth="1"/>
    <col min="3066" max="3066" width="14.4285714285714" customWidth="1"/>
    <col min="3067" max="3067" width="12.8571428571429" customWidth="1"/>
    <col min="3068" max="3068" width="11.7142857142857" customWidth="1"/>
    <col min="3069" max="3069" width="10.2857142857143" customWidth="1"/>
    <col min="3070" max="3070" width="12.7142857142857" customWidth="1"/>
    <col min="3071" max="3081" width="17.7142857142857" customWidth="1"/>
    <col min="3082" max="3082" width="13" bestFit="1" customWidth="1"/>
    <col min="3083" max="3083" width="12.8571428571429" bestFit="1" customWidth="1"/>
    <col min="3085" max="3085" width="14.1428571428571" bestFit="1" customWidth="1"/>
    <col min="3091" max="3091" width="12.8571428571429" bestFit="1" customWidth="1"/>
    <col min="3092" max="3092" width="10.1428571428571" bestFit="1" customWidth="1"/>
    <col min="3093" max="3093" width="13.8571428571429" bestFit="1" customWidth="1"/>
    <col min="3094" max="3094" width="10.1428571428571" bestFit="1" customWidth="1"/>
    <col min="3095" max="3095" width="11" customWidth="1"/>
    <col min="3097" max="3097" width="20.4285714285714" bestFit="1" customWidth="1"/>
    <col min="3322" max="3322" width="14.4285714285714" customWidth="1"/>
    <col min="3323" max="3323" width="12.8571428571429" customWidth="1"/>
    <col min="3324" max="3324" width="11.7142857142857" customWidth="1"/>
    <col min="3325" max="3325" width="10.2857142857143" customWidth="1"/>
    <col min="3326" max="3326" width="12.7142857142857" customWidth="1"/>
    <col min="3327" max="3337" width="17.7142857142857" customWidth="1"/>
    <col min="3338" max="3338" width="13" bestFit="1" customWidth="1"/>
    <col min="3339" max="3339" width="12.8571428571429" bestFit="1" customWidth="1"/>
    <col min="3341" max="3341" width="14.1428571428571" bestFit="1" customWidth="1"/>
    <col min="3347" max="3347" width="12.8571428571429" bestFit="1" customWidth="1"/>
    <col min="3348" max="3348" width="10.1428571428571" bestFit="1" customWidth="1"/>
    <col min="3349" max="3349" width="13.8571428571429" bestFit="1" customWidth="1"/>
    <col min="3350" max="3350" width="10.1428571428571" bestFit="1" customWidth="1"/>
    <col min="3351" max="3351" width="11" customWidth="1"/>
    <col min="3353" max="3353" width="20.4285714285714" bestFit="1" customWidth="1"/>
    <col min="3578" max="3578" width="14.4285714285714" customWidth="1"/>
    <col min="3579" max="3579" width="12.8571428571429" customWidth="1"/>
    <col min="3580" max="3580" width="11.7142857142857" customWidth="1"/>
    <col min="3581" max="3581" width="10.2857142857143" customWidth="1"/>
    <col min="3582" max="3582" width="12.7142857142857" customWidth="1"/>
    <col min="3583" max="3593" width="17.7142857142857" customWidth="1"/>
    <col min="3594" max="3594" width="13" bestFit="1" customWidth="1"/>
    <col min="3595" max="3595" width="12.8571428571429" bestFit="1" customWidth="1"/>
    <col min="3597" max="3597" width="14.1428571428571" bestFit="1" customWidth="1"/>
    <col min="3603" max="3603" width="12.8571428571429" bestFit="1" customWidth="1"/>
    <col min="3604" max="3604" width="10.1428571428571" bestFit="1" customWidth="1"/>
    <col min="3605" max="3605" width="13.8571428571429" bestFit="1" customWidth="1"/>
    <col min="3606" max="3606" width="10.1428571428571" bestFit="1" customWidth="1"/>
    <col min="3607" max="3607" width="11" customWidth="1"/>
    <col min="3609" max="3609" width="20.4285714285714" bestFit="1" customWidth="1"/>
    <col min="3834" max="3834" width="14.4285714285714" customWidth="1"/>
    <col min="3835" max="3835" width="12.8571428571429" customWidth="1"/>
    <col min="3836" max="3836" width="11.7142857142857" customWidth="1"/>
    <col min="3837" max="3837" width="10.2857142857143" customWidth="1"/>
    <col min="3838" max="3838" width="12.7142857142857" customWidth="1"/>
    <col min="3839" max="3849" width="17.7142857142857" customWidth="1"/>
    <col min="3850" max="3850" width="13" bestFit="1" customWidth="1"/>
    <col min="3851" max="3851" width="12.8571428571429" bestFit="1" customWidth="1"/>
    <col min="3853" max="3853" width="14.1428571428571" bestFit="1" customWidth="1"/>
    <col min="3859" max="3859" width="12.8571428571429" bestFit="1" customWidth="1"/>
    <col min="3860" max="3860" width="10.1428571428571" bestFit="1" customWidth="1"/>
    <col min="3861" max="3861" width="13.8571428571429" bestFit="1" customWidth="1"/>
    <col min="3862" max="3862" width="10.1428571428571" bestFit="1" customWidth="1"/>
    <col min="3863" max="3863" width="11" customWidth="1"/>
    <col min="3865" max="3865" width="20.4285714285714" bestFit="1" customWidth="1"/>
    <col min="4090" max="4090" width="14.4285714285714" customWidth="1"/>
    <col min="4091" max="4091" width="12.8571428571429" customWidth="1"/>
    <col min="4092" max="4092" width="11.7142857142857" customWidth="1"/>
    <col min="4093" max="4093" width="10.2857142857143" customWidth="1"/>
    <col min="4094" max="4094" width="12.7142857142857" customWidth="1"/>
    <col min="4095" max="4105" width="17.7142857142857" customWidth="1"/>
    <col min="4106" max="4106" width="13" bestFit="1" customWidth="1"/>
    <col min="4107" max="4107" width="12.8571428571429" bestFit="1" customWidth="1"/>
    <col min="4109" max="4109" width="14.1428571428571" bestFit="1" customWidth="1"/>
    <col min="4115" max="4115" width="12.8571428571429" bestFit="1" customWidth="1"/>
    <col min="4116" max="4116" width="10.1428571428571" bestFit="1" customWidth="1"/>
    <col min="4117" max="4117" width="13.8571428571429" bestFit="1" customWidth="1"/>
    <col min="4118" max="4118" width="10.1428571428571" bestFit="1" customWidth="1"/>
    <col min="4119" max="4119" width="11" customWidth="1"/>
    <col min="4121" max="4121" width="20.4285714285714" bestFit="1" customWidth="1"/>
    <col min="4346" max="4346" width="14.4285714285714" customWidth="1"/>
    <col min="4347" max="4347" width="12.8571428571429" customWidth="1"/>
    <col min="4348" max="4348" width="11.7142857142857" customWidth="1"/>
    <col min="4349" max="4349" width="10.2857142857143" customWidth="1"/>
    <col min="4350" max="4350" width="12.7142857142857" customWidth="1"/>
    <col min="4351" max="4361" width="17.7142857142857" customWidth="1"/>
    <col min="4362" max="4362" width="13" bestFit="1" customWidth="1"/>
    <col min="4363" max="4363" width="12.8571428571429" bestFit="1" customWidth="1"/>
    <col min="4365" max="4365" width="14.1428571428571" bestFit="1" customWidth="1"/>
    <col min="4371" max="4371" width="12.8571428571429" bestFit="1" customWidth="1"/>
    <col min="4372" max="4372" width="10.1428571428571" bestFit="1" customWidth="1"/>
    <col min="4373" max="4373" width="13.8571428571429" bestFit="1" customWidth="1"/>
    <col min="4374" max="4374" width="10.1428571428571" bestFit="1" customWidth="1"/>
    <col min="4375" max="4375" width="11" customWidth="1"/>
    <col min="4377" max="4377" width="20.4285714285714" bestFit="1" customWidth="1"/>
    <col min="4602" max="4602" width="14.4285714285714" customWidth="1"/>
    <col min="4603" max="4603" width="12.8571428571429" customWidth="1"/>
    <col min="4604" max="4604" width="11.7142857142857" customWidth="1"/>
    <col min="4605" max="4605" width="10.2857142857143" customWidth="1"/>
    <col min="4606" max="4606" width="12.7142857142857" customWidth="1"/>
    <col min="4607" max="4617" width="17.7142857142857" customWidth="1"/>
    <col min="4618" max="4618" width="13" bestFit="1" customWidth="1"/>
    <col min="4619" max="4619" width="12.8571428571429" bestFit="1" customWidth="1"/>
    <col min="4621" max="4621" width="14.1428571428571" bestFit="1" customWidth="1"/>
    <col min="4627" max="4627" width="12.8571428571429" bestFit="1" customWidth="1"/>
    <col min="4628" max="4628" width="10.1428571428571" bestFit="1" customWidth="1"/>
    <col min="4629" max="4629" width="13.8571428571429" bestFit="1" customWidth="1"/>
    <col min="4630" max="4630" width="10.1428571428571" bestFit="1" customWidth="1"/>
    <col min="4631" max="4631" width="11" customWidth="1"/>
    <col min="4633" max="4633" width="20.4285714285714" bestFit="1" customWidth="1"/>
    <col min="4858" max="4858" width="14.4285714285714" customWidth="1"/>
    <col min="4859" max="4859" width="12.8571428571429" customWidth="1"/>
    <col min="4860" max="4860" width="11.7142857142857" customWidth="1"/>
    <col min="4861" max="4861" width="10.2857142857143" customWidth="1"/>
    <col min="4862" max="4862" width="12.7142857142857" customWidth="1"/>
    <col min="4863" max="4873" width="17.7142857142857" customWidth="1"/>
    <col min="4874" max="4874" width="13" bestFit="1" customWidth="1"/>
    <col min="4875" max="4875" width="12.8571428571429" bestFit="1" customWidth="1"/>
    <col min="4877" max="4877" width="14.1428571428571" bestFit="1" customWidth="1"/>
    <col min="4883" max="4883" width="12.8571428571429" bestFit="1" customWidth="1"/>
    <col min="4884" max="4884" width="10.1428571428571" bestFit="1" customWidth="1"/>
    <col min="4885" max="4885" width="13.8571428571429" bestFit="1" customWidth="1"/>
    <col min="4886" max="4886" width="10.1428571428571" bestFit="1" customWidth="1"/>
    <col min="4887" max="4887" width="11" customWidth="1"/>
    <col min="4889" max="4889" width="20.4285714285714" bestFit="1" customWidth="1"/>
    <col min="5114" max="5114" width="14.4285714285714" customWidth="1"/>
    <col min="5115" max="5115" width="12.8571428571429" customWidth="1"/>
    <col min="5116" max="5116" width="11.7142857142857" customWidth="1"/>
    <col min="5117" max="5117" width="10.2857142857143" customWidth="1"/>
    <col min="5118" max="5118" width="12.7142857142857" customWidth="1"/>
    <col min="5119" max="5129" width="17.7142857142857" customWidth="1"/>
    <col min="5130" max="5130" width="13" bestFit="1" customWidth="1"/>
    <col min="5131" max="5131" width="12.8571428571429" bestFit="1" customWidth="1"/>
    <col min="5133" max="5133" width="14.1428571428571" bestFit="1" customWidth="1"/>
    <col min="5139" max="5139" width="12.8571428571429" bestFit="1" customWidth="1"/>
    <col min="5140" max="5140" width="10.1428571428571" bestFit="1" customWidth="1"/>
    <col min="5141" max="5141" width="13.8571428571429" bestFit="1" customWidth="1"/>
    <col min="5142" max="5142" width="10.1428571428571" bestFit="1" customWidth="1"/>
    <col min="5143" max="5143" width="11" customWidth="1"/>
    <col min="5145" max="5145" width="20.4285714285714" bestFit="1" customWidth="1"/>
    <col min="5370" max="5370" width="14.4285714285714" customWidth="1"/>
    <col min="5371" max="5371" width="12.8571428571429" customWidth="1"/>
    <col min="5372" max="5372" width="11.7142857142857" customWidth="1"/>
    <col min="5373" max="5373" width="10.2857142857143" customWidth="1"/>
    <col min="5374" max="5374" width="12.7142857142857" customWidth="1"/>
    <col min="5375" max="5385" width="17.7142857142857" customWidth="1"/>
    <col min="5386" max="5386" width="13" bestFit="1" customWidth="1"/>
    <col min="5387" max="5387" width="12.8571428571429" bestFit="1" customWidth="1"/>
    <col min="5389" max="5389" width="14.1428571428571" bestFit="1" customWidth="1"/>
    <col min="5395" max="5395" width="12.8571428571429" bestFit="1" customWidth="1"/>
    <col min="5396" max="5396" width="10.1428571428571" bestFit="1" customWidth="1"/>
    <col min="5397" max="5397" width="13.8571428571429" bestFit="1" customWidth="1"/>
    <col min="5398" max="5398" width="10.1428571428571" bestFit="1" customWidth="1"/>
    <col min="5399" max="5399" width="11" customWidth="1"/>
    <col min="5401" max="5401" width="20.4285714285714" bestFit="1" customWidth="1"/>
    <col min="5626" max="5626" width="14.4285714285714" customWidth="1"/>
    <col min="5627" max="5627" width="12.8571428571429" customWidth="1"/>
    <col min="5628" max="5628" width="11.7142857142857" customWidth="1"/>
    <col min="5629" max="5629" width="10.2857142857143" customWidth="1"/>
    <col min="5630" max="5630" width="12.7142857142857" customWidth="1"/>
    <col min="5631" max="5641" width="17.7142857142857" customWidth="1"/>
    <col min="5642" max="5642" width="13" bestFit="1" customWidth="1"/>
    <col min="5643" max="5643" width="12.8571428571429" bestFit="1" customWidth="1"/>
    <col min="5645" max="5645" width="14.1428571428571" bestFit="1" customWidth="1"/>
    <col min="5651" max="5651" width="12.8571428571429" bestFit="1" customWidth="1"/>
    <col min="5652" max="5652" width="10.1428571428571" bestFit="1" customWidth="1"/>
    <col min="5653" max="5653" width="13.8571428571429" bestFit="1" customWidth="1"/>
    <col min="5654" max="5654" width="10.1428571428571" bestFit="1" customWidth="1"/>
    <col min="5655" max="5655" width="11" customWidth="1"/>
    <col min="5657" max="5657" width="20.4285714285714" bestFit="1" customWidth="1"/>
    <col min="5882" max="5882" width="14.4285714285714" customWidth="1"/>
    <col min="5883" max="5883" width="12.8571428571429" customWidth="1"/>
    <col min="5884" max="5884" width="11.7142857142857" customWidth="1"/>
    <col min="5885" max="5885" width="10.2857142857143" customWidth="1"/>
    <col min="5886" max="5886" width="12.7142857142857" customWidth="1"/>
    <col min="5887" max="5897" width="17.7142857142857" customWidth="1"/>
    <col min="5898" max="5898" width="13" bestFit="1" customWidth="1"/>
    <col min="5899" max="5899" width="12.8571428571429" bestFit="1" customWidth="1"/>
    <col min="5901" max="5901" width="14.1428571428571" bestFit="1" customWidth="1"/>
    <col min="5907" max="5907" width="12.8571428571429" bestFit="1" customWidth="1"/>
    <col min="5908" max="5908" width="10.1428571428571" bestFit="1" customWidth="1"/>
    <col min="5909" max="5909" width="13.8571428571429" bestFit="1" customWidth="1"/>
    <col min="5910" max="5910" width="10.1428571428571" bestFit="1" customWidth="1"/>
    <col min="5911" max="5911" width="11" customWidth="1"/>
    <col min="5913" max="5913" width="20.4285714285714" bestFit="1" customWidth="1"/>
    <col min="6138" max="6138" width="14.4285714285714" customWidth="1"/>
    <col min="6139" max="6139" width="12.8571428571429" customWidth="1"/>
    <col min="6140" max="6140" width="11.7142857142857" customWidth="1"/>
    <col min="6141" max="6141" width="10.2857142857143" customWidth="1"/>
    <col min="6142" max="6142" width="12.7142857142857" customWidth="1"/>
    <col min="6143" max="6153" width="17.7142857142857" customWidth="1"/>
    <col min="6154" max="6154" width="13" bestFit="1" customWidth="1"/>
    <col min="6155" max="6155" width="12.8571428571429" bestFit="1" customWidth="1"/>
    <col min="6157" max="6157" width="14.1428571428571" bestFit="1" customWidth="1"/>
    <col min="6163" max="6163" width="12.8571428571429" bestFit="1" customWidth="1"/>
    <col min="6164" max="6164" width="10.1428571428571" bestFit="1" customWidth="1"/>
    <col min="6165" max="6165" width="13.8571428571429" bestFit="1" customWidth="1"/>
    <col min="6166" max="6166" width="10.1428571428571" bestFit="1" customWidth="1"/>
    <col min="6167" max="6167" width="11" customWidth="1"/>
    <col min="6169" max="6169" width="20.4285714285714" bestFit="1" customWidth="1"/>
    <col min="6394" max="6394" width="14.4285714285714" customWidth="1"/>
    <col min="6395" max="6395" width="12.8571428571429" customWidth="1"/>
    <col min="6396" max="6396" width="11.7142857142857" customWidth="1"/>
    <col min="6397" max="6397" width="10.2857142857143" customWidth="1"/>
    <col min="6398" max="6398" width="12.7142857142857" customWidth="1"/>
    <col min="6399" max="6409" width="17.7142857142857" customWidth="1"/>
    <col min="6410" max="6410" width="13" bestFit="1" customWidth="1"/>
    <col min="6411" max="6411" width="12.8571428571429" bestFit="1" customWidth="1"/>
    <col min="6413" max="6413" width="14.1428571428571" bestFit="1" customWidth="1"/>
    <col min="6419" max="6419" width="12.8571428571429" bestFit="1" customWidth="1"/>
    <col min="6420" max="6420" width="10.1428571428571" bestFit="1" customWidth="1"/>
    <col min="6421" max="6421" width="13.8571428571429" bestFit="1" customWidth="1"/>
    <col min="6422" max="6422" width="10.1428571428571" bestFit="1" customWidth="1"/>
    <col min="6423" max="6423" width="11" customWidth="1"/>
    <col min="6425" max="6425" width="20.4285714285714" bestFit="1" customWidth="1"/>
    <col min="6650" max="6650" width="14.4285714285714" customWidth="1"/>
    <col min="6651" max="6651" width="12.8571428571429" customWidth="1"/>
    <col min="6652" max="6652" width="11.7142857142857" customWidth="1"/>
    <col min="6653" max="6653" width="10.2857142857143" customWidth="1"/>
    <col min="6654" max="6654" width="12.7142857142857" customWidth="1"/>
    <col min="6655" max="6665" width="17.7142857142857" customWidth="1"/>
    <col min="6666" max="6666" width="13" bestFit="1" customWidth="1"/>
    <col min="6667" max="6667" width="12.8571428571429" bestFit="1" customWidth="1"/>
    <col min="6669" max="6669" width="14.1428571428571" bestFit="1" customWidth="1"/>
    <col min="6675" max="6675" width="12.8571428571429" bestFit="1" customWidth="1"/>
    <col min="6676" max="6676" width="10.1428571428571" bestFit="1" customWidth="1"/>
    <col min="6677" max="6677" width="13.8571428571429" bestFit="1" customWidth="1"/>
    <col min="6678" max="6678" width="10.1428571428571" bestFit="1" customWidth="1"/>
    <col min="6679" max="6679" width="11" customWidth="1"/>
    <col min="6681" max="6681" width="20.4285714285714" bestFit="1" customWidth="1"/>
    <col min="6906" max="6906" width="14.4285714285714" customWidth="1"/>
    <col min="6907" max="6907" width="12.8571428571429" customWidth="1"/>
    <col min="6908" max="6908" width="11.7142857142857" customWidth="1"/>
    <col min="6909" max="6909" width="10.2857142857143" customWidth="1"/>
    <col min="6910" max="6910" width="12.7142857142857" customWidth="1"/>
    <col min="6911" max="6921" width="17.7142857142857" customWidth="1"/>
    <col min="6922" max="6922" width="13" bestFit="1" customWidth="1"/>
    <col min="6923" max="6923" width="12.8571428571429" bestFit="1" customWidth="1"/>
    <col min="6925" max="6925" width="14.1428571428571" bestFit="1" customWidth="1"/>
    <col min="6931" max="6931" width="12.8571428571429" bestFit="1" customWidth="1"/>
    <col min="6932" max="6932" width="10.1428571428571" bestFit="1" customWidth="1"/>
    <col min="6933" max="6933" width="13.8571428571429" bestFit="1" customWidth="1"/>
    <col min="6934" max="6934" width="10.1428571428571" bestFit="1" customWidth="1"/>
    <col min="6935" max="6935" width="11" customWidth="1"/>
    <col min="6937" max="6937" width="20.4285714285714" bestFit="1" customWidth="1"/>
    <col min="7162" max="7162" width="14.4285714285714" customWidth="1"/>
    <col min="7163" max="7163" width="12.8571428571429" customWidth="1"/>
    <col min="7164" max="7164" width="11.7142857142857" customWidth="1"/>
    <col min="7165" max="7165" width="10.2857142857143" customWidth="1"/>
    <col min="7166" max="7166" width="12.7142857142857" customWidth="1"/>
    <col min="7167" max="7177" width="17.7142857142857" customWidth="1"/>
    <col min="7178" max="7178" width="13" bestFit="1" customWidth="1"/>
    <col min="7179" max="7179" width="12.8571428571429" bestFit="1" customWidth="1"/>
    <col min="7181" max="7181" width="14.1428571428571" bestFit="1" customWidth="1"/>
    <col min="7187" max="7187" width="12.8571428571429" bestFit="1" customWidth="1"/>
    <col min="7188" max="7188" width="10.1428571428571" bestFit="1" customWidth="1"/>
    <col min="7189" max="7189" width="13.8571428571429" bestFit="1" customWidth="1"/>
    <col min="7190" max="7190" width="10.1428571428571" bestFit="1" customWidth="1"/>
    <col min="7191" max="7191" width="11" customWidth="1"/>
    <col min="7193" max="7193" width="20.4285714285714" bestFit="1" customWidth="1"/>
    <col min="7418" max="7418" width="14.4285714285714" customWidth="1"/>
    <col min="7419" max="7419" width="12.8571428571429" customWidth="1"/>
    <col min="7420" max="7420" width="11.7142857142857" customWidth="1"/>
    <col min="7421" max="7421" width="10.2857142857143" customWidth="1"/>
    <col min="7422" max="7422" width="12.7142857142857" customWidth="1"/>
    <col min="7423" max="7433" width="17.7142857142857" customWidth="1"/>
    <col min="7434" max="7434" width="13" bestFit="1" customWidth="1"/>
    <col min="7435" max="7435" width="12.8571428571429" bestFit="1" customWidth="1"/>
    <col min="7437" max="7437" width="14.1428571428571" bestFit="1" customWidth="1"/>
    <col min="7443" max="7443" width="12.8571428571429" bestFit="1" customWidth="1"/>
    <col min="7444" max="7444" width="10.1428571428571" bestFit="1" customWidth="1"/>
    <col min="7445" max="7445" width="13.8571428571429" bestFit="1" customWidth="1"/>
    <col min="7446" max="7446" width="10.1428571428571" bestFit="1" customWidth="1"/>
    <col min="7447" max="7447" width="11" customWidth="1"/>
    <col min="7449" max="7449" width="20.4285714285714" bestFit="1" customWidth="1"/>
    <col min="7674" max="7674" width="14.4285714285714" customWidth="1"/>
    <col min="7675" max="7675" width="12.8571428571429" customWidth="1"/>
    <col min="7676" max="7676" width="11.7142857142857" customWidth="1"/>
    <col min="7677" max="7677" width="10.2857142857143" customWidth="1"/>
    <col min="7678" max="7678" width="12.7142857142857" customWidth="1"/>
    <col min="7679" max="7689" width="17.7142857142857" customWidth="1"/>
    <col min="7690" max="7690" width="13" bestFit="1" customWidth="1"/>
    <col min="7691" max="7691" width="12.8571428571429" bestFit="1" customWidth="1"/>
    <col min="7693" max="7693" width="14.1428571428571" bestFit="1" customWidth="1"/>
    <col min="7699" max="7699" width="12.8571428571429" bestFit="1" customWidth="1"/>
    <col min="7700" max="7700" width="10.1428571428571" bestFit="1" customWidth="1"/>
    <col min="7701" max="7701" width="13.8571428571429" bestFit="1" customWidth="1"/>
    <col min="7702" max="7702" width="10.1428571428571" bestFit="1" customWidth="1"/>
    <col min="7703" max="7703" width="11" customWidth="1"/>
    <col min="7705" max="7705" width="20.4285714285714" bestFit="1" customWidth="1"/>
    <col min="7930" max="7930" width="14.4285714285714" customWidth="1"/>
    <col min="7931" max="7931" width="12.8571428571429" customWidth="1"/>
    <col min="7932" max="7932" width="11.7142857142857" customWidth="1"/>
    <col min="7933" max="7933" width="10.2857142857143" customWidth="1"/>
    <col min="7934" max="7934" width="12.7142857142857" customWidth="1"/>
    <col min="7935" max="7945" width="17.7142857142857" customWidth="1"/>
    <col min="7946" max="7946" width="13" bestFit="1" customWidth="1"/>
    <col min="7947" max="7947" width="12.8571428571429" bestFit="1" customWidth="1"/>
    <col min="7949" max="7949" width="14.1428571428571" bestFit="1" customWidth="1"/>
    <col min="7955" max="7955" width="12.8571428571429" bestFit="1" customWidth="1"/>
    <col min="7956" max="7956" width="10.1428571428571" bestFit="1" customWidth="1"/>
    <col min="7957" max="7957" width="13.8571428571429" bestFit="1" customWidth="1"/>
    <col min="7958" max="7958" width="10.1428571428571" bestFit="1" customWidth="1"/>
    <col min="7959" max="7959" width="11" customWidth="1"/>
    <col min="7961" max="7961" width="20.4285714285714" bestFit="1" customWidth="1"/>
    <col min="8186" max="8186" width="14.4285714285714" customWidth="1"/>
    <col min="8187" max="8187" width="12.8571428571429" customWidth="1"/>
    <col min="8188" max="8188" width="11.7142857142857" customWidth="1"/>
    <col min="8189" max="8189" width="10.2857142857143" customWidth="1"/>
    <col min="8190" max="8190" width="12.7142857142857" customWidth="1"/>
    <col min="8191" max="8201" width="17.7142857142857" customWidth="1"/>
    <col min="8202" max="8202" width="13" bestFit="1" customWidth="1"/>
    <col min="8203" max="8203" width="12.8571428571429" bestFit="1" customWidth="1"/>
    <col min="8205" max="8205" width="14.1428571428571" bestFit="1" customWidth="1"/>
    <col min="8211" max="8211" width="12.8571428571429" bestFit="1" customWidth="1"/>
    <col min="8212" max="8212" width="10.1428571428571" bestFit="1" customWidth="1"/>
    <col min="8213" max="8213" width="13.8571428571429" bestFit="1" customWidth="1"/>
    <col min="8214" max="8214" width="10.1428571428571" bestFit="1" customWidth="1"/>
    <col min="8215" max="8215" width="11" customWidth="1"/>
    <col min="8217" max="8217" width="20.4285714285714" bestFit="1" customWidth="1"/>
    <col min="8442" max="8442" width="14.4285714285714" customWidth="1"/>
    <col min="8443" max="8443" width="12.8571428571429" customWidth="1"/>
    <col min="8444" max="8444" width="11.7142857142857" customWidth="1"/>
    <col min="8445" max="8445" width="10.2857142857143" customWidth="1"/>
    <col min="8446" max="8446" width="12.7142857142857" customWidth="1"/>
    <col min="8447" max="8457" width="17.7142857142857" customWidth="1"/>
    <col min="8458" max="8458" width="13" bestFit="1" customWidth="1"/>
    <col min="8459" max="8459" width="12.8571428571429" bestFit="1" customWidth="1"/>
    <col min="8461" max="8461" width="14.1428571428571" bestFit="1" customWidth="1"/>
    <col min="8467" max="8467" width="12.8571428571429" bestFit="1" customWidth="1"/>
    <col min="8468" max="8468" width="10.1428571428571" bestFit="1" customWidth="1"/>
    <col min="8469" max="8469" width="13.8571428571429" bestFit="1" customWidth="1"/>
    <col min="8470" max="8470" width="10.1428571428571" bestFit="1" customWidth="1"/>
    <col min="8471" max="8471" width="11" customWidth="1"/>
    <col min="8473" max="8473" width="20.4285714285714" bestFit="1" customWidth="1"/>
    <col min="8698" max="8698" width="14.4285714285714" customWidth="1"/>
    <col min="8699" max="8699" width="12.8571428571429" customWidth="1"/>
    <col min="8700" max="8700" width="11.7142857142857" customWidth="1"/>
    <col min="8701" max="8701" width="10.2857142857143" customWidth="1"/>
    <col min="8702" max="8702" width="12.7142857142857" customWidth="1"/>
    <col min="8703" max="8713" width="17.7142857142857" customWidth="1"/>
    <col min="8714" max="8714" width="13" bestFit="1" customWidth="1"/>
    <col min="8715" max="8715" width="12.8571428571429" bestFit="1" customWidth="1"/>
    <col min="8717" max="8717" width="14.1428571428571" bestFit="1" customWidth="1"/>
    <col min="8723" max="8723" width="12.8571428571429" bestFit="1" customWidth="1"/>
    <col min="8724" max="8724" width="10.1428571428571" bestFit="1" customWidth="1"/>
    <col min="8725" max="8725" width="13.8571428571429" bestFit="1" customWidth="1"/>
    <col min="8726" max="8726" width="10.1428571428571" bestFit="1" customWidth="1"/>
    <col min="8727" max="8727" width="11" customWidth="1"/>
    <col min="8729" max="8729" width="20.4285714285714" bestFit="1" customWidth="1"/>
    <col min="8954" max="8954" width="14.4285714285714" customWidth="1"/>
    <col min="8955" max="8955" width="12.8571428571429" customWidth="1"/>
    <col min="8956" max="8956" width="11.7142857142857" customWidth="1"/>
    <col min="8957" max="8957" width="10.2857142857143" customWidth="1"/>
    <col min="8958" max="8958" width="12.7142857142857" customWidth="1"/>
    <col min="8959" max="8969" width="17.7142857142857" customWidth="1"/>
    <col min="8970" max="8970" width="13" bestFit="1" customWidth="1"/>
    <col min="8971" max="8971" width="12.8571428571429" bestFit="1" customWidth="1"/>
    <col min="8973" max="8973" width="14.1428571428571" bestFit="1" customWidth="1"/>
    <col min="8979" max="8979" width="12.8571428571429" bestFit="1" customWidth="1"/>
    <col min="8980" max="8980" width="10.1428571428571" bestFit="1" customWidth="1"/>
    <col min="8981" max="8981" width="13.8571428571429" bestFit="1" customWidth="1"/>
    <col min="8982" max="8982" width="10.1428571428571" bestFit="1" customWidth="1"/>
    <col min="8983" max="8983" width="11" customWidth="1"/>
    <col min="8985" max="8985" width="20.4285714285714" bestFit="1" customWidth="1"/>
    <col min="9210" max="9210" width="14.4285714285714" customWidth="1"/>
    <col min="9211" max="9211" width="12.8571428571429" customWidth="1"/>
    <col min="9212" max="9212" width="11.7142857142857" customWidth="1"/>
    <col min="9213" max="9213" width="10.2857142857143" customWidth="1"/>
    <col min="9214" max="9214" width="12.7142857142857" customWidth="1"/>
    <col min="9215" max="9225" width="17.7142857142857" customWidth="1"/>
    <col min="9226" max="9226" width="13" bestFit="1" customWidth="1"/>
    <col min="9227" max="9227" width="12.8571428571429" bestFit="1" customWidth="1"/>
    <col min="9229" max="9229" width="14.1428571428571" bestFit="1" customWidth="1"/>
    <col min="9235" max="9235" width="12.8571428571429" bestFit="1" customWidth="1"/>
    <col min="9236" max="9236" width="10.1428571428571" bestFit="1" customWidth="1"/>
    <col min="9237" max="9237" width="13.8571428571429" bestFit="1" customWidth="1"/>
    <col min="9238" max="9238" width="10.1428571428571" bestFit="1" customWidth="1"/>
    <col min="9239" max="9239" width="11" customWidth="1"/>
    <col min="9241" max="9241" width="20.4285714285714" bestFit="1" customWidth="1"/>
    <col min="9466" max="9466" width="14.4285714285714" customWidth="1"/>
    <col min="9467" max="9467" width="12.8571428571429" customWidth="1"/>
    <col min="9468" max="9468" width="11.7142857142857" customWidth="1"/>
    <col min="9469" max="9469" width="10.2857142857143" customWidth="1"/>
    <col min="9470" max="9470" width="12.7142857142857" customWidth="1"/>
    <col min="9471" max="9481" width="17.7142857142857" customWidth="1"/>
    <col min="9482" max="9482" width="13" bestFit="1" customWidth="1"/>
    <col min="9483" max="9483" width="12.8571428571429" bestFit="1" customWidth="1"/>
    <col min="9485" max="9485" width="14.1428571428571" bestFit="1" customWidth="1"/>
    <col min="9491" max="9491" width="12.8571428571429" bestFit="1" customWidth="1"/>
    <col min="9492" max="9492" width="10.1428571428571" bestFit="1" customWidth="1"/>
    <col min="9493" max="9493" width="13.8571428571429" bestFit="1" customWidth="1"/>
    <col min="9494" max="9494" width="10.1428571428571" bestFit="1" customWidth="1"/>
    <col min="9495" max="9495" width="11" customWidth="1"/>
    <col min="9497" max="9497" width="20.4285714285714" bestFit="1" customWidth="1"/>
    <col min="9722" max="9722" width="14.4285714285714" customWidth="1"/>
    <col min="9723" max="9723" width="12.8571428571429" customWidth="1"/>
    <col min="9724" max="9724" width="11.7142857142857" customWidth="1"/>
    <col min="9725" max="9725" width="10.2857142857143" customWidth="1"/>
    <col min="9726" max="9726" width="12.7142857142857" customWidth="1"/>
    <col min="9727" max="9737" width="17.7142857142857" customWidth="1"/>
    <col min="9738" max="9738" width="13" bestFit="1" customWidth="1"/>
    <col min="9739" max="9739" width="12.8571428571429" bestFit="1" customWidth="1"/>
    <col min="9741" max="9741" width="14.1428571428571" bestFit="1" customWidth="1"/>
    <col min="9747" max="9747" width="12.8571428571429" bestFit="1" customWidth="1"/>
    <col min="9748" max="9748" width="10.1428571428571" bestFit="1" customWidth="1"/>
    <col min="9749" max="9749" width="13.8571428571429" bestFit="1" customWidth="1"/>
    <col min="9750" max="9750" width="10.1428571428571" bestFit="1" customWidth="1"/>
    <col min="9751" max="9751" width="11" customWidth="1"/>
    <col min="9753" max="9753" width="20.4285714285714" bestFit="1" customWidth="1"/>
    <col min="9978" max="9978" width="14.4285714285714" customWidth="1"/>
    <col min="9979" max="9979" width="12.8571428571429" customWidth="1"/>
    <col min="9980" max="9980" width="11.7142857142857" customWidth="1"/>
    <col min="9981" max="9981" width="10.2857142857143" customWidth="1"/>
    <col min="9982" max="9982" width="12.7142857142857" customWidth="1"/>
    <col min="9983" max="9993" width="17.7142857142857" customWidth="1"/>
    <col min="9994" max="9994" width="13" bestFit="1" customWidth="1"/>
    <col min="9995" max="9995" width="12.8571428571429" bestFit="1" customWidth="1"/>
    <col min="9997" max="9997" width="14.1428571428571" bestFit="1" customWidth="1"/>
    <col min="10003" max="10003" width="12.8571428571429" bestFit="1" customWidth="1"/>
    <col min="10004" max="10004" width="10.1428571428571" bestFit="1" customWidth="1"/>
    <col min="10005" max="10005" width="13.8571428571429" bestFit="1" customWidth="1"/>
    <col min="10006" max="10006" width="10.1428571428571" bestFit="1" customWidth="1"/>
    <col min="10007" max="10007" width="11" customWidth="1"/>
    <col min="10009" max="10009" width="20.4285714285714" bestFit="1" customWidth="1"/>
    <col min="10234" max="10234" width="14.4285714285714" customWidth="1"/>
    <col min="10235" max="10235" width="12.8571428571429" customWidth="1"/>
    <col min="10236" max="10236" width="11.7142857142857" customWidth="1"/>
    <col min="10237" max="10237" width="10.2857142857143" customWidth="1"/>
    <col min="10238" max="10238" width="12.7142857142857" customWidth="1"/>
    <col min="10239" max="10249" width="17.7142857142857" customWidth="1"/>
    <col min="10250" max="10250" width="13" bestFit="1" customWidth="1"/>
    <col min="10251" max="10251" width="12.8571428571429" bestFit="1" customWidth="1"/>
    <col min="10253" max="10253" width="14.1428571428571" bestFit="1" customWidth="1"/>
    <col min="10259" max="10259" width="12.8571428571429" bestFit="1" customWidth="1"/>
    <col min="10260" max="10260" width="10.1428571428571" bestFit="1" customWidth="1"/>
    <col min="10261" max="10261" width="13.8571428571429" bestFit="1" customWidth="1"/>
    <col min="10262" max="10262" width="10.1428571428571" bestFit="1" customWidth="1"/>
    <col min="10263" max="10263" width="11" customWidth="1"/>
    <col min="10265" max="10265" width="20.4285714285714" bestFit="1" customWidth="1"/>
    <col min="10490" max="10490" width="14.4285714285714" customWidth="1"/>
    <col min="10491" max="10491" width="12.8571428571429" customWidth="1"/>
    <col min="10492" max="10492" width="11.7142857142857" customWidth="1"/>
    <col min="10493" max="10493" width="10.2857142857143" customWidth="1"/>
    <col min="10494" max="10494" width="12.7142857142857" customWidth="1"/>
    <col min="10495" max="10505" width="17.7142857142857" customWidth="1"/>
    <col min="10506" max="10506" width="13" bestFit="1" customWidth="1"/>
    <col min="10507" max="10507" width="12.8571428571429" bestFit="1" customWidth="1"/>
    <col min="10509" max="10509" width="14.1428571428571" bestFit="1" customWidth="1"/>
    <col min="10515" max="10515" width="12.8571428571429" bestFit="1" customWidth="1"/>
    <col min="10516" max="10516" width="10.1428571428571" bestFit="1" customWidth="1"/>
    <col min="10517" max="10517" width="13.8571428571429" bestFit="1" customWidth="1"/>
    <col min="10518" max="10518" width="10.1428571428571" bestFit="1" customWidth="1"/>
    <col min="10519" max="10519" width="11" customWidth="1"/>
    <col min="10521" max="10521" width="20.4285714285714" bestFit="1" customWidth="1"/>
    <col min="10746" max="10746" width="14.4285714285714" customWidth="1"/>
    <col min="10747" max="10747" width="12.8571428571429" customWidth="1"/>
    <col min="10748" max="10748" width="11.7142857142857" customWidth="1"/>
    <col min="10749" max="10749" width="10.2857142857143" customWidth="1"/>
    <col min="10750" max="10750" width="12.7142857142857" customWidth="1"/>
    <col min="10751" max="10761" width="17.7142857142857" customWidth="1"/>
    <col min="10762" max="10762" width="13" bestFit="1" customWidth="1"/>
    <col min="10763" max="10763" width="12.8571428571429" bestFit="1" customWidth="1"/>
    <col min="10765" max="10765" width="14.1428571428571" bestFit="1" customWidth="1"/>
    <col min="10771" max="10771" width="12.8571428571429" bestFit="1" customWidth="1"/>
    <col min="10772" max="10772" width="10.1428571428571" bestFit="1" customWidth="1"/>
    <col min="10773" max="10773" width="13.8571428571429" bestFit="1" customWidth="1"/>
    <col min="10774" max="10774" width="10.1428571428571" bestFit="1" customWidth="1"/>
    <col min="10775" max="10775" width="11" customWidth="1"/>
    <col min="10777" max="10777" width="20.4285714285714" bestFit="1" customWidth="1"/>
    <col min="11002" max="11002" width="14.4285714285714" customWidth="1"/>
    <col min="11003" max="11003" width="12.8571428571429" customWidth="1"/>
    <col min="11004" max="11004" width="11.7142857142857" customWidth="1"/>
    <col min="11005" max="11005" width="10.2857142857143" customWidth="1"/>
    <col min="11006" max="11006" width="12.7142857142857" customWidth="1"/>
    <col min="11007" max="11017" width="17.7142857142857" customWidth="1"/>
    <col min="11018" max="11018" width="13" bestFit="1" customWidth="1"/>
    <col min="11019" max="11019" width="12.8571428571429" bestFit="1" customWidth="1"/>
    <col min="11021" max="11021" width="14.1428571428571" bestFit="1" customWidth="1"/>
    <col min="11027" max="11027" width="12.8571428571429" bestFit="1" customWidth="1"/>
    <col min="11028" max="11028" width="10.1428571428571" bestFit="1" customWidth="1"/>
    <col min="11029" max="11029" width="13.8571428571429" bestFit="1" customWidth="1"/>
    <col min="11030" max="11030" width="10.1428571428571" bestFit="1" customWidth="1"/>
    <col min="11031" max="11031" width="11" customWidth="1"/>
    <col min="11033" max="11033" width="20.4285714285714" bestFit="1" customWidth="1"/>
    <col min="11258" max="11258" width="14.4285714285714" customWidth="1"/>
    <col min="11259" max="11259" width="12.8571428571429" customWidth="1"/>
    <col min="11260" max="11260" width="11.7142857142857" customWidth="1"/>
    <col min="11261" max="11261" width="10.2857142857143" customWidth="1"/>
    <col min="11262" max="11262" width="12.7142857142857" customWidth="1"/>
    <col min="11263" max="11273" width="17.7142857142857" customWidth="1"/>
    <col min="11274" max="11274" width="13" bestFit="1" customWidth="1"/>
    <col min="11275" max="11275" width="12.8571428571429" bestFit="1" customWidth="1"/>
    <col min="11277" max="11277" width="14.1428571428571" bestFit="1" customWidth="1"/>
    <col min="11283" max="11283" width="12.8571428571429" bestFit="1" customWidth="1"/>
    <col min="11284" max="11284" width="10.1428571428571" bestFit="1" customWidth="1"/>
    <col min="11285" max="11285" width="13.8571428571429" bestFit="1" customWidth="1"/>
    <col min="11286" max="11286" width="10.1428571428571" bestFit="1" customWidth="1"/>
    <col min="11287" max="11287" width="11" customWidth="1"/>
    <col min="11289" max="11289" width="20.4285714285714" bestFit="1" customWidth="1"/>
    <col min="11514" max="11514" width="14.4285714285714" customWidth="1"/>
    <col min="11515" max="11515" width="12.8571428571429" customWidth="1"/>
    <col min="11516" max="11516" width="11.7142857142857" customWidth="1"/>
    <col min="11517" max="11517" width="10.2857142857143" customWidth="1"/>
    <col min="11518" max="11518" width="12.7142857142857" customWidth="1"/>
    <col min="11519" max="11529" width="17.7142857142857" customWidth="1"/>
    <col min="11530" max="11530" width="13" bestFit="1" customWidth="1"/>
    <col min="11531" max="11531" width="12.8571428571429" bestFit="1" customWidth="1"/>
    <col min="11533" max="11533" width="14.1428571428571" bestFit="1" customWidth="1"/>
    <col min="11539" max="11539" width="12.8571428571429" bestFit="1" customWidth="1"/>
    <col min="11540" max="11540" width="10.1428571428571" bestFit="1" customWidth="1"/>
    <col min="11541" max="11541" width="13.8571428571429" bestFit="1" customWidth="1"/>
    <col min="11542" max="11542" width="10.1428571428571" bestFit="1" customWidth="1"/>
    <col min="11543" max="11543" width="11" customWidth="1"/>
    <col min="11545" max="11545" width="20.4285714285714" bestFit="1" customWidth="1"/>
    <col min="11770" max="11770" width="14.4285714285714" customWidth="1"/>
    <col min="11771" max="11771" width="12.8571428571429" customWidth="1"/>
    <col min="11772" max="11772" width="11.7142857142857" customWidth="1"/>
    <col min="11773" max="11773" width="10.2857142857143" customWidth="1"/>
    <col min="11774" max="11774" width="12.7142857142857" customWidth="1"/>
    <col min="11775" max="11785" width="17.7142857142857" customWidth="1"/>
    <col min="11786" max="11786" width="13" bestFit="1" customWidth="1"/>
    <col min="11787" max="11787" width="12.8571428571429" bestFit="1" customWidth="1"/>
    <col min="11789" max="11789" width="14.1428571428571" bestFit="1" customWidth="1"/>
    <col min="11795" max="11795" width="12.8571428571429" bestFit="1" customWidth="1"/>
    <col min="11796" max="11796" width="10.1428571428571" bestFit="1" customWidth="1"/>
    <col min="11797" max="11797" width="13.8571428571429" bestFit="1" customWidth="1"/>
    <col min="11798" max="11798" width="10.1428571428571" bestFit="1" customWidth="1"/>
    <col min="11799" max="11799" width="11" customWidth="1"/>
    <col min="11801" max="11801" width="20.4285714285714" bestFit="1" customWidth="1"/>
    <col min="12026" max="12026" width="14.4285714285714" customWidth="1"/>
    <col min="12027" max="12027" width="12.8571428571429" customWidth="1"/>
    <col min="12028" max="12028" width="11.7142857142857" customWidth="1"/>
    <col min="12029" max="12029" width="10.2857142857143" customWidth="1"/>
    <col min="12030" max="12030" width="12.7142857142857" customWidth="1"/>
    <col min="12031" max="12041" width="17.7142857142857" customWidth="1"/>
    <col min="12042" max="12042" width="13" bestFit="1" customWidth="1"/>
    <col min="12043" max="12043" width="12.8571428571429" bestFit="1" customWidth="1"/>
    <col min="12045" max="12045" width="14.1428571428571" bestFit="1" customWidth="1"/>
    <col min="12051" max="12051" width="12.8571428571429" bestFit="1" customWidth="1"/>
    <col min="12052" max="12052" width="10.1428571428571" bestFit="1" customWidth="1"/>
    <col min="12053" max="12053" width="13.8571428571429" bestFit="1" customWidth="1"/>
    <col min="12054" max="12054" width="10.1428571428571" bestFit="1" customWidth="1"/>
    <col min="12055" max="12055" width="11" customWidth="1"/>
    <col min="12057" max="12057" width="20.4285714285714" bestFit="1" customWidth="1"/>
    <col min="12282" max="12282" width="14.4285714285714" customWidth="1"/>
    <col min="12283" max="12283" width="12.8571428571429" customWidth="1"/>
    <col min="12284" max="12284" width="11.7142857142857" customWidth="1"/>
    <col min="12285" max="12285" width="10.2857142857143" customWidth="1"/>
    <col min="12286" max="12286" width="12.7142857142857" customWidth="1"/>
    <col min="12287" max="12297" width="17.7142857142857" customWidth="1"/>
    <col min="12298" max="12298" width="13" bestFit="1" customWidth="1"/>
    <col min="12299" max="12299" width="12.8571428571429" bestFit="1" customWidth="1"/>
    <col min="12301" max="12301" width="14.1428571428571" bestFit="1" customWidth="1"/>
    <col min="12307" max="12307" width="12.8571428571429" bestFit="1" customWidth="1"/>
    <col min="12308" max="12308" width="10.1428571428571" bestFit="1" customWidth="1"/>
    <col min="12309" max="12309" width="13.8571428571429" bestFit="1" customWidth="1"/>
    <col min="12310" max="12310" width="10.1428571428571" bestFit="1" customWidth="1"/>
    <col min="12311" max="12311" width="11" customWidth="1"/>
    <col min="12313" max="12313" width="20.4285714285714" bestFit="1" customWidth="1"/>
    <col min="12538" max="12538" width="14.4285714285714" customWidth="1"/>
    <col min="12539" max="12539" width="12.8571428571429" customWidth="1"/>
    <col min="12540" max="12540" width="11.7142857142857" customWidth="1"/>
    <col min="12541" max="12541" width="10.2857142857143" customWidth="1"/>
    <col min="12542" max="12542" width="12.7142857142857" customWidth="1"/>
    <col min="12543" max="12553" width="17.7142857142857" customWidth="1"/>
    <col min="12554" max="12554" width="13" bestFit="1" customWidth="1"/>
    <col min="12555" max="12555" width="12.8571428571429" bestFit="1" customWidth="1"/>
    <col min="12557" max="12557" width="14.1428571428571" bestFit="1" customWidth="1"/>
    <col min="12563" max="12563" width="12.8571428571429" bestFit="1" customWidth="1"/>
    <col min="12564" max="12564" width="10.1428571428571" bestFit="1" customWidth="1"/>
    <col min="12565" max="12565" width="13.8571428571429" bestFit="1" customWidth="1"/>
    <col min="12566" max="12566" width="10.1428571428571" bestFit="1" customWidth="1"/>
    <col min="12567" max="12567" width="11" customWidth="1"/>
    <col min="12569" max="12569" width="20.4285714285714" bestFit="1" customWidth="1"/>
    <col min="12794" max="12794" width="14.4285714285714" customWidth="1"/>
    <col min="12795" max="12795" width="12.8571428571429" customWidth="1"/>
    <col min="12796" max="12796" width="11.7142857142857" customWidth="1"/>
    <col min="12797" max="12797" width="10.2857142857143" customWidth="1"/>
    <col min="12798" max="12798" width="12.7142857142857" customWidth="1"/>
    <col min="12799" max="12809" width="17.7142857142857" customWidth="1"/>
    <col min="12810" max="12810" width="13" bestFit="1" customWidth="1"/>
    <col min="12811" max="12811" width="12.8571428571429" bestFit="1" customWidth="1"/>
    <col min="12813" max="12813" width="14.1428571428571" bestFit="1" customWidth="1"/>
    <col min="12819" max="12819" width="12.8571428571429" bestFit="1" customWidth="1"/>
    <col min="12820" max="12820" width="10.1428571428571" bestFit="1" customWidth="1"/>
    <col min="12821" max="12821" width="13.8571428571429" bestFit="1" customWidth="1"/>
    <col min="12822" max="12822" width="10.1428571428571" bestFit="1" customWidth="1"/>
    <col min="12823" max="12823" width="11" customWidth="1"/>
    <col min="12825" max="12825" width="20.4285714285714" bestFit="1" customWidth="1"/>
    <col min="13050" max="13050" width="14.4285714285714" customWidth="1"/>
    <col min="13051" max="13051" width="12.8571428571429" customWidth="1"/>
    <col min="13052" max="13052" width="11.7142857142857" customWidth="1"/>
    <col min="13053" max="13053" width="10.2857142857143" customWidth="1"/>
    <col min="13054" max="13054" width="12.7142857142857" customWidth="1"/>
    <col min="13055" max="13065" width="17.7142857142857" customWidth="1"/>
    <col min="13066" max="13066" width="13" bestFit="1" customWidth="1"/>
    <col min="13067" max="13067" width="12.8571428571429" bestFit="1" customWidth="1"/>
    <col min="13069" max="13069" width="14.1428571428571" bestFit="1" customWidth="1"/>
    <col min="13075" max="13075" width="12.8571428571429" bestFit="1" customWidth="1"/>
    <col min="13076" max="13076" width="10.1428571428571" bestFit="1" customWidth="1"/>
    <col min="13077" max="13077" width="13.8571428571429" bestFit="1" customWidth="1"/>
    <col min="13078" max="13078" width="10.1428571428571" bestFit="1" customWidth="1"/>
    <col min="13079" max="13079" width="11" customWidth="1"/>
    <col min="13081" max="13081" width="20.4285714285714" bestFit="1" customWidth="1"/>
    <col min="13306" max="13306" width="14.4285714285714" customWidth="1"/>
    <col min="13307" max="13307" width="12.8571428571429" customWidth="1"/>
    <col min="13308" max="13308" width="11.7142857142857" customWidth="1"/>
    <col min="13309" max="13309" width="10.2857142857143" customWidth="1"/>
    <col min="13310" max="13310" width="12.7142857142857" customWidth="1"/>
    <col min="13311" max="13321" width="17.7142857142857" customWidth="1"/>
    <col min="13322" max="13322" width="13" bestFit="1" customWidth="1"/>
    <col min="13323" max="13323" width="12.8571428571429" bestFit="1" customWidth="1"/>
    <col min="13325" max="13325" width="14.1428571428571" bestFit="1" customWidth="1"/>
    <col min="13331" max="13331" width="12.8571428571429" bestFit="1" customWidth="1"/>
    <col min="13332" max="13332" width="10.1428571428571" bestFit="1" customWidth="1"/>
    <col min="13333" max="13333" width="13.8571428571429" bestFit="1" customWidth="1"/>
    <col min="13334" max="13334" width="10.1428571428571" bestFit="1" customWidth="1"/>
    <col min="13335" max="13335" width="11" customWidth="1"/>
    <col min="13337" max="13337" width="20.4285714285714" bestFit="1" customWidth="1"/>
    <col min="13562" max="13562" width="14.4285714285714" customWidth="1"/>
    <col min="13563" max="13563" width="12.8571428571429" customWidth="1"/>
    <col min="13564" max="13564" width="11.7142857142857" customWidth="1"/>
    <col min="13565" max="13565" width="10.2857142857143" customWidth="1"/>
    <col min="13566" max="13566" width="12.7142857142857" customWidth="1"/>
    <col min="13567" max="13577" width="17.7142857142857" customWidth="1"/>
    <col min="13578" max="13578" width="13" bestFit="1" customWidth="1"/>
    <col min="13579" max="13579" width="12.8571428571429" bestFit="1" customWidth="1"/>
    <col min="13581" max="13581" width="14.1428571428571" bestFit="1" customWidth="1"/>
    <col min="13587" max="13587" width="12.8571428571429" bestFit="1" customWidth="1"/>
    <col min="13588" max="13588" width="10.1428571428571" bestFit="1" customWidth="1"/>
    <col min="13589" max="13589" width="13.8571428571429" bestFit="1" customWidth="1"/>
    <col min="13590" max="13590" width="10.1428571428571" bestFit="1" customWidth="1"/>
    <col min="13591" max="13591" width="11" customWidth="1"/>
    <col min="13593" max="13593" width="20.4285714285714" bestFit="1" customWidth="1"/>
    <col min="13818" max="13818" width="14.4285714285714" customWidth="1"/>
    <col min="13819" max="13819" width="12.8571428571429" customWidth="1"/>
    <col min="13820" max="13820" width="11.7142857142857" customWidth="1"/>
    <col min="13821" max="13821" width="10.2857142857143" customWidth="1"/>
    <col min="13822" max="13822" width="12.7142857142857" customWidth="1"/>
    <col min="13823" max="13833" width="17.7142857142857" customWidth="1"/>
    <col min="13834" max="13834" width="13" bestFit="1" customWidth="1"/>
    <col min="13835" max="13835" width="12.8571428571429" bestFit="1" customWidth="1"/>
    <col min="13837" max="13837" width="14.1428571428571" bestFit="1" customWidth="1"/>
    <col min="13843" max="13843" width="12.8571428571429" bestFit="1" customWidth="1"/>
    <col min="13844" max="13844" width="10.1428571428571" bestFit="1" customWidth="1"/>
    <col min="13845" max="13845" width="13.8571428571429" bestFit="1" customWidth="1"/>
    <col min="13846" max="13846" width="10.1428571428571" bestFit="1" customWidth="1"/>
    <col min="13847" max="13847" width="11" customWidth="1"/>
    <col min="13849" max="13849" width="20.4285714285714" bestFit="1" customWidth="1"/>
    <col min="14074" max="14074" width="14.4285714285714" customWidth="1"/>
    <col min="14075" max="14075" width="12.8571428571429" customWidth="1"/>
    <col min="14076" max="14076" width="11.7142857142857" customWidth="1"/>
    <col min="14077" max="14077" width="10.2857142857143" customWidth="1"/>
    <col min="14078" max="14078" width="12.7142857142857" customWidth="1"/>
    <col min="14079" max="14089" width="17.7142857142857" customWidth="1"/>
    <col min="14090" max="14090" width="13" bestFit="1" customWidth="1"/>
    <col min="14091" max="14091" width="12.8571428571429" bestFit="1" customWidth="1"/>
    <col min="14093" max="14093" width="14.1428571428571" bestFit="1" customWidth="1"/>
    <col min="14099" max="14099" width="12.8571428571429" bestFit="1" customWidth="1"/>
    <col min="14100" max="14100" width="10.1428571428571" bestFit="1" customWidth="1"/>
    <col min="14101" max="14101" width="13.8571428571429" bestFit="1" customWidth="1"/>
    <col min="14102" max="14102" width="10.1428571428571" bestFit="1" customWidth="1"/>
    <col min="14103" max="14103" width="11" customWidth="1"/>
    <col min="14105" max="14105" width="20.4285714285714" bestFit="1" customWidth="1"/>
    <col min="14330" max="14330" width="14.4285714285714" customWidth="1"/>
    <col min="14331" max="14331" width="12.8571428571429" customWidth="1"/>
    <col min="14332" max="14332" width="11.7142857142857" customWidth="1"/>
    <col min="14333" max="14333" width="10.2857142857143" customWidth="1"/>
    <col min="14334" max="14334" width="12.7142857142857" customWidth="1"/>
    <col min="14335" max="14345" width="17.7142857142857" customWidth="1"/>
    <col min="14346" max="14346" width="13" bestFit="1" customWidth="1"/>
    <col min="14347" max="14347" width="12.8571428571429" bestFit="1" customWidth="1"/>
    <col min="14349" max="14349" width="14.1428571428571" bestFit="1" customWidth="1"/>
    <col min="14355" max="14355" width="12.8571428571429" bestFit="1" customWidth="1"/>
    <col min="14356" max="14356" width="10.1428571428571" bestFit="1" customWidth="1"/>
    <col min="14357" max="14357" width="13.8571428571429" bestFit="1" customWidth="1"/>
    <col min="14358" max="14358" width="10.1428571428571" bestFit="1" customWidth="1"/>
    <col min="14359" max="14359" width="11" customWidth="1"/>
    <col min="14361" max="14361" width="20.4285714285714" bestFit="1" customWidth="1"/>
    <col min="14586" max="14586" width="14.4285714285714" customWidth="1"/>
    <col min="14587" max="14587" width="12.8571428571429" customWidth="1"/>
    <col min="14588" max="14588" width="11.7142857142857" customWidth="1"/>
    <col min="14589" max="14589" width="10.2857142857143" customWidth="1"/>
    <col min="14590" max="14590" width="12.7142857142857" customWidth="1"/>
    <col min="14591" max="14601" width="17.7142857142857" customWidth="1"/>
    <col min="14602" max="14602" width="13" bestFit="1" customWidth="1"/>
    <col min="14603" max="14603" width="12.8571428571429" bestFit="1" customWidth="1"/>
    <col min="14605" max="14605" width="14.1428571428571" bestFit="1" customWidth="1"/>
    <col min="14611" max="14611" width="12.8571428571429" bestFit="1" customWidth="1"/>
    <col min="14612" max="14612" width="10.1428571428571" bestFit="1" customWidth="1"/>
    <col min="14613" max="14613" width="13.8571428571429" bestFit="1" customWidth="1"/>
    <col min="14614" max="14614" width="10.1428571428571" bestFit="1" customWidth="1"/>
    <col min="14615" max="14615" width="11" customWidth="1"/>
    <col min="14617" max="14617" width="20.4285714285714" bestFit="1" customWidth="1"/>
    <col min="14842" max="14842" width="14.4285714285714" customWidth="1"/>
    <col min="14843" max="14843" width="12.8571428571429" customWidth="1"/>
    <col min="14844" max="14844" width="11.7142857142857" customWidth="1"/>
    <col min="14845" max="14845" width="10.2857142857143" customWidth="1"/>
    <col min="14846" max="14846" width="12.7142857142857" customWidth="1"/>
    <col min="14847" max="14857" width="17.7142857142857" customWidth="1"/>
    <col min="14858" max="14858" width="13" bestFit="1" customWidth="1"/>
    <col min="14859" max="14859" width="12.8571428571429" bestFit="1" customWidth="1"/>
    <col min="14861" max="14861" width="14.1428571428571" bestFit="1" customWidth="1"/>
    <col min="14867" max="14867" width="12.8571428571429" bestFit="1" customWidth="1"/>
    <col min="14868" max="14868" width="10.1428571428571" bestFit="1" customWidth="1"/>
    <col min="14869" max="14869" width="13.8571428571429" bestFit="1" customWidth="1"/>
    <col min="14870" max="14870" width="10.1428571428571" bestFit="1" customWidth="1"/>
    <col min="14871" max="14871" width="11" customWidth="1"/>
    <col min="14873" max="14873" width="20.4285714285714" bestFit="1" customWidth="1"/>
    <col min="15098" max="15098" width="14.4285714285714" customWidth="1"/>
    <col min="15099" max="15099" width="12.8571428571429" customWidth="1"/>
    <col min="15100" max="15100" width="11.7142857142857" customWidth="1"/>
    <col min="15101" max="15101" width="10.2857142857143" customWidth="1"/>
    <col min="15102" max="15102" width="12.7142857142857" customWidth="1"/>
    <col min="15103" max="15113" width="17.7142857142857" customWidth="1"/>
    <col min="15114" max="15114" width="13" bestFit="1" customWidth="1"/>
    <col min="15115" max="15115" width="12.8571428571429" bestFit="1" customWidth="1"/>
    <col min="15117" max="15117" width="14.1428571428571" bestFit="1" customWidth="1"/>
    <col min="15123" max="15123" width="12.8571428571429" bestFit="1" customWidth="1"/>
    <col min="15124" max="15124" width="10.1428571428571" bestFit="1" customWidth="1"/>
    <col min="15125" max="15125" width="13.8571428571429" bestFit="1" customWidth="1"/>
    <col min="15126" max="15126" width="10.1428571428571" bestFit="1" customWidth="1"/>
    <col min="15127" max="15127" width="11" customWidth="1"/>
    <col min="15129" max="15129" width="20.4285714285714" bestFit="1" customWidth="1"/>
    <col min="15354" max="15354" width="14.4285714285714" customWidth="1"/>
    <col min="15355" max="15355" width="12.8571428571429" customWidth="1"/>
    <col min="15356" max="15356" width="11.7142857142857" customWidth="1"/>
    <col min="15357" max="15357" width="10.2857142857143" customWidth="1"/>
    <col min="15358" max="15358" width="12.7142857142857" customWidth="1"/>
    <col min="15359" max="15369" width="17.7142857142857" customWidth="1"/>
    <col min="15370" max="15370" width="13" bestFit="1" customWidth="1"/>
    <col min="15371" max="15371" width="12.8571428571429" bestFit="1" customWidth="1"/>
    <col min="15373" max="15373" width="14.1428571428571" bestFit="1" customWidth="1"/>
    <col min="15379" max="15379" width="12.8571428571429" bestFit="1" customWidth="1"/>
    <col min="15380" max="15380" width="10.1428571428571" bestFit="1" customWidth="1"/>
    <col min="15381" max="15381" width="13.8571428571429" bestFit="1" customWidth="1"/>
    <col min="15382" max="15382" width="10.1428571428571" bestFit="1" customWidth="1"/>
    <col min="15383" max="15383" width="11" customWidth="1"/>
    <col min="15385" max="15385" width="20.4285714285714" bestFit="1" customWidth="1"/>
    <col min="15610" max="15610" width="14.4285714285714" customWidth="1"/>
    <col min="15611" max="15611" width="12.8571428571429" customWidth="1"/>
    <col min="15612" max="15612" width="11.7142857142857" customWidth="1"/>
    <col min="15613" max="15613" width="10.2857142857143" customWidth="1"/>
    <col min="15614" max="15614" width="12.7142857142857" customWidth="1"/>
    <col min="15615" max="15625" width="17.7142857142857" customWidth="1"/>
    <col min="15626" max="15626" width="13" bestFit="1" customWidth="1"/>
    <col min="15627" max="15627" width="12.8571428571429" bestFit="1" customWidth="1"/>
    <col min="15629" max="15629" width="14.1428571428571" bestFit="1" customWidth="1"/>
    <col min="15635" max="15635" width="12.8571428571429" bestFit="1" customWidth="1"/>
    <col min="15636" max="15636" width="10.1428571428571" bestFit="1" customWidth="1"/>
    <col min="15637" max="15637" width="13.8571428571429" bestFit="1" customWidth="1"/>
    <col min="15638" max="15638" width="10.1428571428571" bestFit="1" customWidth="1"/>
    <col min="15639" max="15639" width="11" customWidth="1"/>
    <col min="15641" max="15641" width="20.4285714285714" bestFit="1" customWidth="1"/>
    <col min="15866" max="15866" width="14.4285714285714" customWidth="1"/>
    <col min="15867" max="15867" width="12.8571428571429" customWidth="1"/>
    <col min="15868" max="15868" width="11.7142857142857" customWidth="1"/>
    <col min="15869" max="15869" width="10.2857142857143" customWidth="1"/>
    <col min="15870" max="15870" width="12.7142857142857" customWidth="1"/>
    <col min="15871" max="15881" width="17.7142857142857" customWidth="1"/>
    <col min="15882" max="15882" width="13" bestFit="1" customWidth="1"/>
    <col min="15883" max="15883" width="12.8571428571429" bestFit="1" customWidth="1"/>
    <col min="15885" max="15885" width="14.1428571428571" bestFit="1" customWidth="1"/>
    <col min="15891" max="15891" width="12.8571428571429" bestFit="1" customWidth="1"/>
    <col min="15892" max="15892" width="10.1428571428571" bestFit="1" customWidth="1"/>
    <col min="15893" max="15893" width="13.8571428571429" bestFit="1" customWidth="1"/>
    <col min="15894" max="15894" width="10.1428571428571" bestFit="1" customWidth="1"/>
    <col min="15895" max="15895" width="11" customWidth="1"/>
    <col min="15897" max="15897" width="20.4285714285714" bestFit="1" customWidth="1"/>
    <col min="16122" max="16122" width="14.4285714285714" customWidth="1"/>
    <col min="16123" max="16123" width="12.8571428571429" customWidth="1"/>
    <col min="16124" max="16124" width="11.7142857142857" customWidth="1"/>
    <col min="16125" max="16125" width="10.2857142857143" customWidth="1"/>
    <col min="16126" max="16126" width="12.7142857142857" customWidth="1"/>
    <col min="16127" max="16137" width="17.7142857142857" customWidth="1"/>
    <col min="16138" max="16138" width="13" bestFit="1" customWidth="1"/>
    <col min="16139" max="16139" width="12.8571428571429" bestFit="1" customWidth="1"/>
    <col min="16141" max="16141" width="14.1428571428571" bestFit="1" customWidth="1"/>
    <col min="16147" max="16147" width="12.8571428571429" bestFit="1" customWidth="1"/>
    <col min="16148" max="16148" width="10.1428571428571" bestFit="1" customWidth="1"/>
    <col min="16149" max="16149" width="13.8571428571429" bestFit="1" customWidth="1"/>
    <col min="16150" max="16150" width="10.1428571428571" bestFit="1" customWidth="1"/>
    <col min="16151" max="16151" width="11" customWidth="1"/>
    <col min="16153" max="16153" width="20.4285714285714" bestFit="1" customWidth="1"/>
  </cols>
  <sheetData>
    <row r="1" spans="2:10" ht="12.75">
      <c r="B1" s="114" t="s">
        <v>119</v>
      </c>
      <c r="C1" s="114" t="s">
        <v>120</v>
      </c>
      <c r="D1" s="333" t="s">
        <v>118</v>
      </c>
      <c r="E1" s="333"/>
      <c r="F1" s="333"/>
      <c r="G1" s="333"/>
      <c r="H1" s="333"/>
      <c r="I1" s="333"/>
      <c r="J1" s="98"/>
    </row>
    <row r="2" spans="1:17" ht="28.5" customHeight="1">
      <c r="A2" s="113" t="s">
        <v>115</v>
      </c>
      <c r="B2" s="126" t="s">
        <v>117</v>
      </c>
      <c r="C2" s="126" t="s">
        <v>117</v>
      </c>
      <c r="D2" s="127" t="s">
        <v>116</v>
      </c>
      <c r="E2" s="127" t="s">
        <v>121</v>
      </c>
      <c r="F2" s="127" t="s">
        <v>97</v>
      </c>
      <c r="G2" s="127" t="s">
        <v>122</v>
      </c>
      <c r="H2" s="127" t="s">
        <v>113</v>
      </c>
      <c r="I2" s="127" t="s">
        <v>96</v>
      </c>
      <c r="J2" s="128"/>
      <c r="K2" s="346" t="s">
        <v>23</v>
      </c>
      <c r="L2" s="346"/>
      <c r="O2" s="93" t="s">
        <v>98</v>
      </c>
      <c r="P2" s="93">
        <v>1</v>
      </c>
      <c r="Q2" s="110"/>
    </row>
    <row r="3" spans="1:17" ht="12.75">
      <c r="A3" s="1">
        <v>2006</v>
      </c>
      <c r="B3" s="92">
        <f>1882.9*1000</f>
        <v>1882900</v>
      </c>
      <c r="D3" s="102">
        <f>+B3</f>
        <v>1882900</v>
      </c>
      <c r="E3" s="100">
        <f>+D3</f>
        <v>1882900</v>
      </c>
      <c r="F3" s="100">
        <f>E3/2</f>
        <v>941450</v>
      </c>
      <c r="G3" s="106">
        <f>D3-F3</f>
        <v>941450</v>
      </c>
      <c r="H3" s="100">
        <f t="shared" si="0" ref="H3:H11">F3/72</f>
        <v>13075.694444444445</v>
      </c>
      <c r="I3" s="100">
        <f>D3</f>
        <v>1882900</v>
      </c>
      <c r="J3" s="100">
        <f t="shared" si="1" ref="J3:J11">I3/$P$14</f>
        <v>24139.74358974359</v>
      </c>
      <c r="K3" s="100">
        <f>H26</f>
        <v>1882900</v>
      </c>
      <c r="L3" s="100">
        <f>D3-K3</f>
        <v>0</v>
      </c>
      <c r="O3" s="93" t="s">
        <v>100</v>
      </c>
      <c r="P3" s="93">
        <v>2</v>
      </c>
      <c r="Q3" s="110"/>
    </row>
    <row r="4" spans="1:17" ht="12.75">
      <c r="A4" s="1">
        <v>2007</v>
      </c>
      <c r="B4" s="92">
        <f>3508.78*1000</f>
        <v>3508780</v>
      </c>
      <c r="D4" s="103">
        <f>+B4</f>
        <v>3508780</v>
      </c>
      <c r="E4" s="100">
        <f>D4-D3</f>
        <v>1625880</v>
      </c>
      <c r="F4" s="100">
        <f>E4/2</f>
        <v>812940</v>
      </c>
      <c r="G4" s="104">
        <f>D4-F4</f>
        <v>2695840</v>
      </c>
      <c r="H4" s="100">
        <f t="shared" si="0"/>
        <v>11290.833333333334</v>
      </c>
      <c r="I4" s="100">
        <f>D4-I26</f>
        <v>32656.923076923005</v>
      </c>
      <c r="J4" s="100">
        <f t="shared" si="1"/>
        <v>418.67850098619238</v>
      </c>
      <c r="K4" s="100">
        <f>H38</f>
        <v>3508779.9999999995</v>
      </c>
      <c r="L4" s="100">
        <f t="shared" si="2" ref="L4:L10">D4-K4</f>
        <v>0</v>
      </c>
      <c r="O4" s="93" t="s">
        <v>101</v>
      </c>
      <c r="P4" s="93">
        <v>3</v>
      </c>
      <c r="Q4" s="110"/>
    </row>
    <row r="5" spans="1:17" ht="12.75">
      <c r="A5" s="1">
        <v>2008</v>
      </c>
      <c r="B5" s="92">
        <f>4257.69*1000</f>
        <v>4257690</v>
      </c>
      <c r="D5" s="102">
        <f>+B5</f>
        <v>4257690</v>
      </c>
      <c r="E5" s="100">
        <f t="shared" si="3" ref="E5:E11">D5-D4</f>
        <v>748910</v>
      </c>
      <c r="F5" s="100">
        <f t="shared" si="4" ref="F5:F11">E5/2</f>
        <v>374455</v>
      </c>
      <c r="G5" s="106">
        <f>D5-F5</f>
        <v>3883235</v>
      </c>
      <c r="H5" s="100">
        <f t="shared" si="0"/>
        <v>5200.7638888888887</v>
      </c>
      <c r="I5" s="100">
        <f>D5-I38</f>
        <v>721277.2189349113</v>
      </c>
      <c r="J5" s="100">
        <f t="shared" si="1"/>
        <v>9247.143832498863</v>
      </c>
      <c r="K5" s="100">
        <f>H50</f>
        <v>4257690.0000000009</v>
      </c>
      <c r="L5" s="100">
        <f t="shared" si="2"/>
        <v>0</v>
      </c>
      <c r="O5" s="93" t="s">
        <v>102</v>
      </c>
      <c r="P5" s="93">
        <v>4</v>
      </c>
      <c r="Q5" s="110"/>
    </row>
    <row r="6" spans="1:17" ht="12.75">
      <c r="A6" s="1">
        <v>2009</v>
      </c>
      <c r="B6" s="92">
        <f>7052.07*1000</f>
        <v>7052070</v>
      </c>
      <c r="D6" s="103">
        <f>+B6</f>
        <v>7052070</v>
      </c>
      <c r="E6" s="100">
        <f t="shared" si="3"/>
        <v>2794380</v>
      </c>
      <c r="F6" s="100">
        <f t="shared" si="4"/>
        <v>1397190</v>
      </c>
      <c r="G6" s="104">
        <f t="shared" si="5" ref="G6:G10">D6-F6</f>
        <v>5654880</v>
      </c>
      <c r="H6" s="100">
        <f t="shared" si="0"/>
        <v>19405.416666666668</v>
      </c>
      <c r="I6" s="100">
        <f>D6-I50</f>
        <v>2184068.507055074</v>
      </c>
      <c r="J6" s="100">
        <f t="shared" si="1"/>
        <v>28000.87829557787</v>
      </c>
      <c r="K6" s="100">
        <f>H62</f>
        <v>7052069.9999999991</v>
      </c>
      <c r="L6" s="100">
        <f t="shared" si="2"/>
        <v>0</v>
      </c>
      <c r="O6" s="93" t="s">
        <v>103</v>
      </c>
      <c r="P6" s="93">
        <v>5</v>
      </c>
      <c r="Q6" s="110"/>
    </row>
    <row r="7" spans="1:17" ht="12.75">
      <c r="A7" s="1">
        <v>2010</v>
      </c>
      <c r="B7" s="92">
        <f>7403.01*1000</f>
        <v>7403010</v>
      </c>
      <c r="D7" s="102">
        <f>+B7</f>
        <v>7403010</v>
      </c>
      <c r="E7" s="100">
        <f t="shared" si="3"/>
        <v>350940</v>
      </c>
      <c r="F7" s="100">
        <f t="shared" si="4"/>
        <v>175470</v>
      </c>
      <c r="G7" s="106">
        <f>D7-F7</f>
        <v>7227540</v>
      </c>
      <c r="H7" s="100">
        <f t="shared" si="0"/>
        <v>2437.0833333333335</v>
      </c>
      <c r="I7" s="100">
        <f>D7-I62</f>
        <v>-1497117.9675081372</v>
      </c>
      <c r="J7" s="100">
        <f t="shared" si="1"/>
        <v>-19193.820096258169</v>
      </c>
      <c r="K7" s="100">
        <f>H74</f>
        <v>7403009.9999999972</v>
      </c>
      <c r="L7" s="100">
        <f t="shared" si="2"/>
        <v>0</v>
      </c>
      <c r="O7" s="93" t="s">
        <v>104</v>
      </c>
      <c r="P7" s="93">
        <v>6</v>
      </c>
      <c r="Q7" s="110"/>
    </row>
    <row r="8" spans="1:17" ht="12.75">
      <c r="A8" s="1">
        <v>2011</v>
      </c>
      <c r="B8" s="92">
        <f>6857.63*1000</f>
        <v>6857630</v>
      </c>
      <c r="C8" s="96">
        <f>+N35</f>
        <v>2283375</v>
      </c>
      <c r="D8" s="103">
        <f>+B8+C8</f>
        <v>9141005</v>
      </c>
      <c r="E8" s="100">
        <f t="shared" si="3"/>
        <v>1737995</v>
      </c>
      <c r="F8" s="100">
        <f t="shared" si="4"/>
        <v>868997.50</v>
      </c>
      <c r="G8" s="104">
        <f t="shared" si="5"/>
        <v>8272007.5</v>
      </c>
      <c r="H8" s="100">
        <f t="shared" si="0"/>
        <v>12069.409722222223</v>
      </c>
      <c r="I8" s="100">
        <f>D8-I74</f>
        <v>3004787.1263530422</v>
      </c>
      <c r="J8" s="100">
        <f t="shared" si="1"/>
        <v>38522.911876321057</v>
      </c>
      <c r="K8" s="100">
        <f>H86</f>
        <v>9141005.0000000019</v>
      </c>
      <c r="L8" s="100">
        <f t="shared" si="2"/>
        <v>0</v>
      </c>
      <c r="O8" s="93" t="s">
        <v>105</v>
      </c>
      <c r="P8" s="93">
        <v>7</v>
      </c>
      <c r="Q8" s="110"/>
    </row>
    <row r="9" spans="1:17" ht="12.75">
      <c r="A9" s="1">
        <v>2012</v>
      </c>
      <c r="B9" s="92">
        <f>6700.96*1000</f>
        <v>6700960</v>
      </c>
      <c r="C9" s="96">
        <f>+O35</f>
        <v>4394656</v>
      </c>
      <c r="D9" s="102">
        <f>+B9+C9</f>
        <v>11095616</v>
      </c>
      <c r="E9" s="100">
        <f t="shared" si="3"/>
        <v>1954611</v>
      </c>
      <c r="F9" s="100">
        <f t="shared" si="4"/>
        <v>977305.50</v>
      </c>
      <c r="G9" s="106">
        <f t="shared" si="5"/>
        <v>10118310.5</v>
      </c>
      <c r="H9" s="100">
        <f t="shared" si="0"/>
        <v>13573.6875</v>
      </c>
      <c r="I9" s="100">
        <f>D9-I86</f>
        <v>-587901.18383719213</v>
      </c>
      <c r="J9" s="100">
        <f t="shared" si="1"/>
        <v>-7537.194664579386</v>
      </c>
      <c r="K9" s="100">
        <f>H98</f>
        <v>11095616.000000002</v>
      </c>
      <c r="L9" s="100">
        <f t="shared" si="2"/>
        <v>0</v>
      </c>
      <c r="O9" s="93" t="s">
        <v>106</v>
      </c>
      <c r="P9" s="93">
        <v>8</v>
      </c>
      <c r="Q9" s="110"/>
    </row>
    <row r="10" spans="1:17" ht="12.75">
      <c r="A10" s="1">
        <v>2013</v>
      </c>
      <c r="B10" s="92">
        <f>6664.15*1000</f>
        <v>6664150</v>
      </c>
      <c r="C10" s="96">
        <f>+P35</f>
        <v>6729667</v>
      </c>
      <c r="D10" s="103">
        <f>+B10+C10</f>
        <v>13393817</v>
      </c>
      <c r="E10" s="100">
        <f t="shared" si="3"/>
        <v>2298201</v>
      </c>
      <c r="F10" s="100">
        <f t="shared" si="4"/>
        <v>1149100.50</v>
      </c>
      <c r="G10" s="104">
        <f t="shared" si="5"/>
        <v>12244716.5</v>
      </c>
      <c r="H10" s="100">
        <f t="shared" si="0"/>
        <v>15959.729166666666</v>
      </c>
      <c r="I10" s="100">
        <f>D10-I98</f>
        <v>2795655.8478622343</v>
      </c>
      <c r="J10" s="100">
        <f t="shared" si="1"/>
        <v>35841.741639259417</v>
      </c>
      <c r="K10" s="100">
        <f>H110</f>
        <v>13393817</v>
      </c>
      <c r="L10" s="100">
        <f t="shared" si="2"/>
        <v>0</v>
      </c>
      <c r="O10" s="93" t="s">
        <v>107</v>
      </c>
      <c r="P10" s="93">
        <v>9</v>
      </c>
      <c r="Q10" s="110"/>
    </row>
    <row r="11" spans="1:17" ht="12.75">
      <c r="A11" s="1">
        <v>2014</v>
      </c>
      <c r="B11" s="92">
        <f>6390.92*1000</f>
        <v>6390920</v>
      </c>
      <c r="C11" s="96">
        <f>+Q35</f>
        <v>9882707</v>
      </c>
      <c r="D11" s="102">
        <f>+B11+C11</f>
        <v>16273627</v>
      </c>
      <c r="E11" s="100">
        <f t="shared" si="3"/>
        <v>2879810</v>
      </c>
      <c r="F11" s="100">
        <f t="shared" si="4"/>
        <v>1439905</v>
      </c>
      <c r="G11" s="106">
        <f>D11-F11</f>
        <v>14833722</v>
      </c>
      <c r="H11" s="100">
        <f t="shared" si="0"/>
        <v>19998.680555555555</v>
      </c>
      <c r="I11" s="100">
        <f>D11-I110</f>
        <v>514255.05180887319</v>
      </c>
      <c r="J11" s="100">
        <f t="shared" si="1"/>
        <v>6593.0134847291438</v>
      </c>
      <c r="K11" s="100">
        <f>H122</f>
        <v>16273627.000000006</v>
      </c>
      <c r="L11" s="100"/>
      <c r="O11" s="93" t="s">
        <v>108</v>
      </c>
      <c r="P11" s="93">
        <v>10</v>
      </c>
      <c r="Q11" s="110"/>
    </row>
    <row r="12" spans="1:17" ht="12.75">
      <c r="A12" s="112" t="s">
        <v>11</v>
      </c>
      <c r="B12" s="94">
        <f>SUM(B3:B11)</f>
        <v>50718110</v>
      </c>
      <c r="C12" s="96">
        <f>SUM(C8:C11)</f>
        <v>23290405</v>
      </c>
      <c r="D12" s="94"/>
      <c r="F12" s="92"/>
      <c r="G12" s="99"/>
      <c r="H12" s="100"/>
      <c r="I12" s="100"/>
      <c r="J12" s="100"/>
      <c r="O12" s="93" t="s">
        <v>109</v>
      </c>
      <c r="P12" s="93">
        <v>11</v>
      </c>
      <c r="Q12" s="110"/>
    </row>
    <row r="13" spans="7:17" ht="12.75">
      <c r="G13" s="99"/>
      <c r="H13" s="100"/>
      <c r="I13" s="100"/>
      <c r="J13" s="100"/>
      <c r="O13" s="93" t="s">
        <v>110</v>
      </c>
      <c r="P13" s="93">
        <v>12</v>
      </c>
      <c r="Q13" s="110"/>
    </row>
    <row r="14" spans="1:17" ht="38.25">
      <c r="A14" s="95" t="s">
        <v>115</v>
      </c>
      <c r="B14" s="129" t="s">
        <v>111</v>
      </c>
      <c r="C14" s="347" t="s">
        <v>112</v>
      </c>
      <c r="D14" s="347"/>
      <c r="E14" s="100"/>
      <c r="F14" s="100"/>
      <c r="O14" s="93" t="s">
        <v>11</v>
      </c>
      <c r="P14" s="93">
        <f>SUM(P2:P13)</f>
        <v>78</v>
      </c>
      <c r="Q14" s="110"/>
    </row>
    <row r="15" spans="1:6" ht="12.75">
      <c r="A15" s="3">
        <v>38718</v>
      </c>
      <c r="B15" s="107">
        <f>$J$3</f>
        <v>24139.74358974359</v>
      </c>
      <c r="C15" s="108">
        <f>H3/2</f>
        <v>6537.8472222222226</v>
      </c>
      <c r="D15" s="100"/>
      <c r="E15" s="100"/>
      <c r="F15" s="101"/>
    </row>
    <row r="16" spans="1:6" ht="12.75">
      <c r="A16" s="3">
        <v>38749</v>
      </c>
      <c r="B16" s="107">
        <f t="shared" si="6" ref="B16:B26">B15+$J$3</f>
        <v>48279.48717948718</v>
      </c>
      <c r="C16" s="108">
        <f t="shared" si="7" ref="C16:C26">C15+H$3</f>
        <v>19613.541666666668</v>
      </c>
      <c r="D16" s="100"/>
      <c r="E16" s="100"/>
      <c r="F16" s="100"/>
    </row>
    <row r="17" spans="1:13" ht="12.75">
      <c r="A17" s="3">
        <v>38777</v>
      </c>
      <c r="B17" s="107">
        <f t="shared" si="6"/>
        <v>72419.230769230766</v>
      </c>
      <c r="C17" s="108">
        <f t="shared" si="7"/>
        <v>32689.236111111113</v>
      </c>
      <c r="D17" s="100"/>
      <c r="E17" s="100"/>
      <c r="F17" s="101"/>
      <c r="M17" s="97"/>
    </row>
    <row r="18" spans="1:6" ht="13.5" thickBot="1">
      <c r="A18" s="3">
        <v>38808</v>
      </c>
      <c r="B18" s="107">
        <f t="shared" si="6"/>
        <v>96558.974358974359</v>
      </c>
      <c r="C18" s="108">
        <f t="shared" si="7"/>
        <v>45764.930555555562</v>
      </c>
      <c r="D18" s="100"/>
      <c r="E18" s="100"/>
      <c r="F18" s="100"/>
    </row>
    <row r="19" spans="1:18" ht="12.75">
      <c r="A19" s="3">
        <v>38838</v>
      </c>
      <c r="B19" s="107">
        <f t="shared" si="6"/>
        <v>120698.71794871795</v>
      </c>
      <c r="C19" s="108">
        <f t="shared" si="7"/>
        <v>58840.625000000007</v>
      </c>
      <c r="D19" s="100"/>
      <c r="E19" s="100"/>
      <c r="F19" s="100"/>
      <c r="M19" s="340" t="s">
        <v>99</v>
      </c>
      <c r="N19" s="341"/>
      <c r="O19" s="341"/>
      <c r="P19" s="341"/>
      <c r="Q19" s="341"/>
      <c r="R19" s="342"/>
    </row>
    <row r="20" spans="1:18" ht="13.5" thickBot="1">
      <c r="A20" s="3">
        <v>38869</v>
      </c>
      <c r="B20" s="107">
        <f t="shared" si="6"/>
        <v>144838.46153846153</v>
      </c>
      <c r="C20" s="108">
        <f t="shared" si="7"/>
        <v>71916.319444444453</v>
      </c>
      <c r="D20" s="100"/>
      <c r="E20" s="100"/>
      <c r="F20" s="100"/>
      <c r="J20" s="95"/>
      <c r="M20" s="343">
        <f>22.48*1000000</f>
        <v>22480000</v>
      </c>
      <c r="N20" s="344"/>
      <c r="O20" s="344"/>
      <c r="P20" s="344"/>
      <c r="Q20" s="344"/>
      <c r="R20" s="345"/>
    </row>
    <row r="21" spans="1:6" ht="13.5" thickBot="1">
      <c r="A21" s="3">
        <v>38899</v>
      </c>
      <c r="B21" s="107">
        <f t="shared" si="6"/>
        <v>168978.20512820513</v>
      </c>
      <c r="C21" s="108">
        <f t="shared" si="7"/>
        <v>84992.013888888905</v>
      </c>
      <c r="D21" s="100"/>
      <c r="E21" s="100"/>
      <c r="F21" s="100"/>
    </row>
    <row r="22" spans="1:18" ht="12.75">
      <c r="A22" s="3">
        <v>38930</v>
      </c>
      <c r="B22" s="107">
        <f t="shared" si="6"/>
        <v>193117.94871794872</v>
      </c>
      <c r="C22" s="108">
        <f t="shared" si="7"/>
        <v>98067.708333333343</v>
      </c>
      <c r="D22" s="100"/>
      <c r="E22" s="100"/>
      <c r="F22" s="100"/>
      <c r="M22" s="334" t="s">
        <v>114</v>
      </c>
      <c r="N22" s="335"/>
      <c r="O22" s="335"/>
      <c r="P22" s="335"/>
      <c r="Q22" s="335"/>
      <c r="R22" s="336"/>
    </row>
    <row r="23" spans="1:18" ht="13.5" thickBot="1">
      <c r="A23" s="3">
        <v>38961</v>
      </c>
      <c r="B23" s="107">
        <f t="shared" si="6"/>
        <v>217257.69230769231</v>
      </c>
      <c r="C23" s="108">
        <f t="shared" si="7"/>
        <v>111143.40277777778</v>
      </c>
      <c r="D23" s="100"/>
      <c r="E23" s="100"/>
      <c r="F23" s="100"/>
      <c r="M23" s="337"/>
      <c r="N23" s="338"/>
      <c r="O23" s="338"/>
      <c r="P23" s="338"/>
      <c r="Q23" s="338"/>
      <c r="R23" s="339"/>
    </row>
    <row r="24" spans="1:18" ht="12.75">
      <c r="A24" s="3">
        <v>38991</v>
      </c>
      <c r="B24" s="107">
        <f t="shared" si="6"/>
        <v>241397.43589743591</v>
      </c>
      <c r="C24" s="108">
        <f t="shared" si="7"/>
        <v>124219.09722222222</v>
      </c>
      <c r="D24" s="100"/>
      <c r="E24" s="100"/>
      <c r="F24" s="100"/>
      <c r="G24" s="100"/>
      <c r="M24" s="246" t="s">
        <v>207</v>
      </c>
      <c r="N24" s="117">
        <v>2011</v>
      </c>
      <c r="O24" s="117">
        <v>2012</v>
      </c>
      <c r="P24" s="117">
        <v>2013</v>
      </c>
      <c r="Q24" s="117">
        <v>2014</v>
      </c>
      <c r="R24" s="118" t="s">
        <v>11</v>
      </c>
    </row>
    <row r="25" spans="1:18" ht="12.75">
      <c r="A25" s="3">
        <v>39022</v>
      </c>
      <c r="B25" s="107">
        <f t="shared" si="6"/>
        <v>265537.1794871795</v>
      </c>
      <c r="C25" s="108">
        <f t="shared" si="7"/>
        <v>137294.79166666666</v>
      </c>
      <c r="D25" s="100"/>
      <c r="E25" s="100"/>
      <c r="F25" s="100"/>
      <c r="G25" s="100"/>
      <c r="H25" s="4" t="s">
        <v>23</v>
      </c>
      <c r="I25" s="100"/>
      <c r="M25" s="121" t="s">
        <v>123</v>
      </c>
      <c r="N25" s="240">
        <v>0.091309845076240251</v>
      </c>
      <c r="O25" s="241">
        <v>0.091236335435408489</v>
      </c>
      <c r="P25" s="241">
        <v>0.091191470525673377</v>
      </c>
      <c r="Q25" s="241">
        <v>0.090082926312591086</v>
      </c>
      <c r="R25" s="242">
        <f>SUM(N25:Q25)</f>
        <v>0.36382057734991319</v>
      </c>
    </row>
    <row r="26" spans="1:18" ht="12.75">
      <c r="A26" s="3">
        <v>39052</v>
      </c>
      <c r="B26" s="107">
        <f t="shared" si="6"/>
        <v>289676.92307692306</v>
      </c>
      <c r="C26" s="108">
        <f t="shared" si="7"/>
        <v>150370.4861111111</v>
      </c>
      <c r="D26" s="100">
        <f>C26+H3/2</f>
        <v>156908.33333333331</v>
      </c>
      <c r="E26" s="100"/>
      <c r="F26" s="106">
        <f>SUM(C15:C26)</f>
        <v>941450</v>
      </c>
      <c r="G26" s="102">
        <f>D26*72/12*2</f>
        <v>1882899.9999999998</v>
      </c>
      <c r="H26" s="102">
        <f>SUM(B15:B26)</f>
        <v>1882900</v>
      </c>
      <c r="I26" s="100">
        <f>B26*12</f>
        <v>3476123.076923077</v>
      </c>
      <c r="M26" s="121" t="s">
        <v>124</v>
      </c>
      <c r="N26" s="241"/>
      <c r="O26" s="241">
        <f>(100%-R25)/6</f>
        <v>0.10602990377501446</v>
      </c>
      <c r="P26" s="241">
        <f>O26</f>
        <v>0.10602990377501446</v>
      </c>
      <c r="Q26" s="241">
        <f>P26</f>
        <v>0.10602990377501446</v>
      </c>
      <c r="R26" s="242">
        <f>SUM(N26:Q26)</f>
        <v>0.31808971132504338</v>
      </c>
    </row>
    <row r="27" spans="1:18" ht="12.75">
      <c r="A27" s="3">
        <v>39083</v>
      </c>
      <c r="B27" s="109">
        <f t="shared" si="8" ref="B27:B38">B26+$J$4</f>
        <v>290095.60157790926</v>
      </c>
      <c r="C27" s="125">
        <f>D26+H$4/2</f>
        <v>162553.74999999997</v>
      </c>
      <c r="D27" s="100"/>
      <c r="E27" s="100"/>
      <c r="F27" s="100"/>
      <c r="G27" s="100"/>
      <c r="I27" s="100"/>
      <c r="M27" s="121" t="s">
        <v>125</v>
      </c>
      <c r="N27" s="241"/>
      <c r="O27" s="241"/>
      <c r="P27" s="243">
        <f>(100%-SUM(N25:Q26))/3</f>
        <v>0.10602990377501449</v>
      </c>
      <c r="Q27" s="241">
        <f>+P27</f>
        <v>0.10602990377501449</v>
      </c>
      <c r="R27" s="242">
        <f>SUM(N27:Q27)</f>
        <v>0.21205980755002898</v>
      </c>
    </row>
    <row r="28" spans="1:18" ht="13.5" thickBot="1">
      <c r="A28" s="3">
        <v>39114</v>
      </c>
      <c r="B28" s="109">
        <f t="shared" si="8"/>
        <v>290514.28007889545</v>
      </c>
      <c r="C28" s="125">
        <f t="shared" si="9" ref="C28:C38">C27+H$4</f>
        <v>173844.58333333331</v>
      </c>
      <c r="D28" s="100"/>
      <c r="E28" s="100"/>
      <c r="F28" s="100"/>
      <c r="G28" s="100"/>
      <c r="I28" s="100"/>
      <c r="M28" s="121" t="s">
        <v>126</v>
      </c>
      <c r="N28" s="241"/>
      <c r="O28" s="241"/>
      <c r="P28" s="241"/>
      <c r="Q28" s="241">
        <f>+Q27</f>
        <v>0.10602990377501449</v>
      </c>
      <c r="R28" s="242">
        <f>SUM(N28:Q28)</f>
        <v>0.10602990377501449</v>
      </c>
    </row>
    <row r="29" spans="1:18" ht="13.5" thickBot="1">
      <c r="A29" s="3">
        <v>39142</v>
      </c>
      <c r="B29" s="109">
        <f t="shared" si="8"/>
        <v>290932.95857988164</v>
      </c>
      <c r="C29" s="125">
        <f t="shared" si="9"/>
        <v>185135.41666666666</v>
      </c>
      <c r="D29" s="100"/>
      <c r="E29" s="100"/>
      <c r="F29" s="100"/>
      <c r="G29" s="100"/>
      <c r="I29" s="100"/>
      <c r="M29" s="122" t="s">
        <v>127</v>
      </c>
      <c r="N29" s="244">
        <f>SUM(N25:N28)</f>
        <v>0.091309845076240251</v>
      </c>
      <c r="O29" s="244">
        <f>SUM(O25:O28)</f>
        <v>0.19726623921042297</v>
      </c>
      <c r="P29" s="244">
        <f>SUM(P25:P28)</f>
        <v>0.30325127807570235</v>
      </c>
      <c r="Q29" s="244">
        <f>SUM(Q25:Q28)</f>
        <v>0.40817263763763451</v>
      </c>
      <c r="R29" s="245">
        <f>SUM(R25:R28)</f>
        <v>1</v>
      </c>
    </row>
    <row r="30" spans="1:18" ht="12.75">
      <c r="A30" s="3">
        <v>39173</v>
      </c>
      <c r="B30" s="109">
        <f t="shared" si="8"/>
        <v>291351.63708086783</v>
      </c>
      <c r="C30" s="125">
        <f t="shared" si="9"/>
        <v>196426.25</v>
      </c>
      <c r="D30" s="100"/>
      <c r="E30" s="100"/>
      <c r="F30" s="100"/>
      <c r="G30" s="100"/>
      <c r="I30" s="100"/>
      <c r="M30" s="247" t="s">
        <v>208</v>
      </c>
      <c r="N30" s="115"/>
      <c r="O30" s="115"/>
      <c r="P30" s="115"/>
      <c r="Q30" s="115"/>
      <c r="R30" s="119"/>
    </row>
    <row r="31" spans="1:18" ht="12.75">
      <c r="A31" s="3">
        <v>39203</v>
      </c>
      <c r="B31" s="109">
        <f t="shared" si="8"/>
        <v>291770.31558185403</v>
      </c>
      <c r="C31" s="125">
        <f t="shared" si="9"/>
        <v>207717.08333333334</v>
      </c>
      <c r="D31" s="100"/>
      <c r="E31" s="100"/>
      <c r="F31" s="100"/>
      <c r="G31" s="100"/>
      <c r="I31" s="100"/>
      <c r="M31" s="121" t="s">
        <v>123</v>
      </c>
      <c r="N31" s="116">
        <v>2283375</v>
      </c>
      <c r="O31" s="116">
        <v>1893374</v>
      </c>
      <c r="P31" s="116">
        <v>1893374</v>
      </c>
      <c r="Q31" s="116">
        <v>1883227</v>
      </c>
      <c r="R31" s="120">
        <f>SUM(N31:Q31)</f>
        <v>7953350</v>
      </c>
    </row>
    <row r="32" spans="1:18" ht="12.75">
      <c r="A32" s="3">
        <v>39234</v>
      </c>
      <c r="B32" s="109">
        <f t="shared" si="8"/>
        <v>292188.99408284022</v>
      </c>
      <c r="C32" s="125">
        <f t="shared" si="9"/>
        <v>219007.91666666669</v>
      </c>
      <c r="D32" s="100"/>
      <c r="E32" s="100"/>
      <c r="F32" s="100"/>
      <c r="G32" s="100"/>
      <c r="I32" s="100"/>
      <c r="M32" s="121" t="s">
        <v>124</v>
      </c>
      <c r="N32" s="160"/>
      <c r="O32" s="116">
        <v>2501282</v>
      </c>
      <c r="P32" s="116">
        <v>2111282</v>
      </c>
      <c r="Q32" s="116">
        <f>+P32</f>
        <v>2111282</v>
      </c>
      <c r="R32" s="120">
        <f>SUM(N32:Q32)</f>
        <v>6723846</v>
      </c>
    </row>
    <row r="33" spans="1:18" ht="12.75">
      <c r="A33" s="3">
        <v>39264</v>
      </c>
      <c r="B33" s="109">
        <f t="shared" si="8"/>
        <v>292607.67258382641</v>
      </c>
      <c r="C33" s="125">
        <f t="shared" si="9"/>
        <v>230298.75000000003</v>
      </c>
      <c r="D33" s="100"/>
      <c r="E33" s="100"/>
      <c r="F33" s="100"/>
      <c r="G33" s="100"/>
      <c r="I33" s="100"/>
      <c r="M33" s="121" t="s">
        <v>125</v>
      </c>
      <c r="N33" s="116"/>
      <c r="O33" s="116"/>
      <c r="P33" s="116">
        <v>2725011</v>
      </c>
      <c r="Q33" s="116">
        <v>1299890</v>
      </c>
      <c r="R33" s="120">
        <f>SUM(N33:Q33)</f>
        <v>4024901</v>
      </c>
    </row>
    <row r="34" spans="1:18" ht="13.5" thickBot="1">
      <c r="A34" s="3">
        <v>39295</v>
      </c>
      <c r="B34" s="109">
        <f t="shared" si="8"/>
        <v>293026.3510848126</v>
      </c>
      <c r="C34" s="125">
        <f t="shared" si="9"/>
        <v>241589.58333333337</v>
      </c>
      <c r="D34" s="100"/>
      <c r="E34" s="100"/>
      <c r="F34" s="100"/>
      <c r="G34" s="100"/>
      <c r="I34" s="100"/>
      <c r="M34" s="121" t="s">
        <v>126</v>
      </c>
      <c r="N34" s="116"/>
      <c r="O34" s="116"/>
      <c r="P34" s="116"/>
      <c r="Q34" s="116">
        <v>4588308</v>
      </c>
      <c r="R34" s="120">
        <f>SUM(N34:Q34)</f>
        <v>4588308</v>
      </c>
    </row>
    <row r="35" spans="1:18" ht="13.5" thickBot="1">
      <c r="A35" s="3">
        <v>39326</v>
      </c>
      <c r="B35" s="109">
        <f t="shared" si="8"/>
        <v>293445.02958579879</v>
      </c>
      <c r="C35" s="125">
        <f t="shared" si="9"/>
        <v>252880.41666666672</v>
      </c>
      <c r="D35" s="100"/>
      <c r="E35" s="100"/>
      <c r="F35" s="100"/>
      <c r="G35" s="100"/>
      <c r="I35" s="100"/>
      <c r="M35" s="122" t="s">
        <v>127</v>
      </c>
      <c r="N35" s="123">
        <f>SUM(N31:N34)</f>
        <v>2283375</v>
      </c>
      <c r="O35" s="123">
        <f>SUM(O31:O34)</f>
        <v>4394656</v>
      </c>
      <c r="P35" s="123">
        <f>SUM(P31:P34)</f>
        <v>6729667</v>
      </c>
      <c r="Q35" s="123">
        <f>SUM(Q31:Q34)</f>
        <v>9882707</v>
      </c>
      <c r="R35" s="124">
        <f>SUM(N35:Q35)</f>
        <v>23290405</v>
      </c>
    </row>
    <row r="36" spans="1:18" ht="12.75">
      <c r="A36" s="3">
        <v>39356</v>
      </c>
      <c r="B36" s="109">
        <f t="shared" si="8"/>
        <v>293863.70808678499</v>
      </c>
      <c r="C36" s="125">
        <f t="shared" si="9"/>
        <v>264171.25000000006</v>
      </c>
      <c r="D36" s="100"/>
      <c r="E36" s="100"/>
      <c r="F36" s="100"/>
      <c r="G36" s="100"/>
      <c r="I36" s="100"/>
      <c r="Q36" s="161"/>
      <c r="R36" s="96"/>
    </row>
    <row r="37" spans="1:9" ht="12.75">
      <c r="A37" s="3">
        <v>39387</v>
      </c>
      <c r="B37" s="109">
        <f t="shared" si="8"/>
        <v>294282.38658777118</v>
      </c>
      <c r="C37" s="125">
        <f t="shared" si="9"/>
        <v>275462.08333333337</v>
      </c>
      <c r="D37" s="100"/>
      <c r="E37" s="100"/>
      <c r="F37" s="100"/>
      <c r="G37" s="100"/>
      <c r="H37" s="4" t="s">
        <v>23</v>
      </c>
      <c r="I37" s="100"/>
    </row>
    <row r="38" spans="1:9" ht="12.75">
      <c r="A38" s="3">
        <v>39417</v>
      </c>
      <c r="B38" s="109">
        <f t="shared" si="8"/>
        <v>294701.06508875737</v>
      </c>
      <c r="C38" s="125">
        <f t="shared" si="9"/>
        <v>286752.91666666669</v>
      </c>
      <c r="D38" s="100">
        <f>C38+H4/2</f>
        <v>292398.33333333337</v>
      </c>
      <c r="E38" s="100"/>
      <c r="F38" s="105">
        <f>SUM(C27:C38)</f>
        <v>2695840.0000000005</v>
      </c>
      <c r="G38" s="109">
        <f>D38*72/12*2</f>
        <v>3508780.0000000005</v>
      </c>
      <c r="H38" s="109">
        <f>SUM(B27:B38)</f>
        <v>3508779.9999999995</v>
      </c>
      <c r="I38" s="100">
        <f>B38*12</f>
        <v>3536412.7810650887</v>
      </c>
    </row>
    <row r="39" spans="1:18" ht="12.75">
      <c r="A39" s="3">
        <v>39448</v>
      </c>
      <c r="B39" s="107">
        <f t="shared" si="10" ref="B39:B50">B38+$J$5</f>
        <v>303948.20892125624</v>
      </c>
      <c r="C39" s="108">
        <f>D38+H5/2</f>
        <v>294998.71527777781</v>
      </c>
      <c r="D39" s="100"/>
      <c r="E39" s="100"/>
      <c r="F39" s="100"/>
      <c r="G39" s="100"/>
      <c r="I39" s="100"/>
      <c r="R39" s="96"/>
    </row>
    <row r="40" spans="1:9" ht="12.75">
      <c r="A40" s="3">
        <v>39479</v>
      </c>
      <c r="B40" s="107">
        <f t="shared" si="10"/>
        <v>313195.35275375511</v>
      </c>
      <c r="C40" s="108">
        <f t="shared" si="11" ref="C40:C50">C39+H$5</f>
        <v>300199.47916666669</v>
      </c>
      <c r="D40" s="100"/>
      <c r="E40" s="100"/>
      <c r="F40" s="100"/>
      <c r="G40" s="100"/>
      <c r="I40" s="100"/>
    </row>
    <row r="41" spans="1:17" ht="12.75">
      <c r="A41" s="3">
        <v>39508</v>
      </c>
      <c r="B41" s="107">
        <f t="shared" si="10"/>
        <v>322442.49658625398</v>
      </c>
      <c r="C41" s="108">
        <f t="shared" si="11"/>
        <v>305400.24305555556</v>
      </c>
      <c r="D41" s="100"/>
      <c r="E41" s="100"/>
      <c r="F41" s="100"/>
      <c r="G41" s="100"/>
      <c r="I41" s="100"/>
      <c r="P41" s="96" t="s">
        <v>175</v>
      </c>
      <c r="Q41" s="96"/>
    </row>
    <row r="42" spans="1:9" ht="12.75">
      <c r="A42" s="3">
        <v>39539</v>
      </c>
      <c r="B42" s="107">
        <f t="shared" si="10"/>
        <v>331689.64041875285</v>
      </c>
      <c r="C42" s="108">
        <f t="shared" si="11"/>
        <v>310601.00694444444</v>
      </c>
      <c r="D42" s="100"/>
      <c r="E42" s="100"/>
      <c r="F42" s="100"/>
      <c r="G42" s="100"/>
      <c r="I42" s="100"/>
    </row>
    <row r="43" spans="1:9" ht="12.75">
      <c r="A43" s="3">
        <v>39569</v>
      </c>
      <c r="B43" s="107">
        <f t="shared" si="10"/>
        <v>340936.78425125172</v>
      </c>
      <c r="C43" s="108">
        <f t="shared" si="11"/>
        <v>315801.77083333331</v>
      </c>
      <c r="D43" s="100"/>
      <c r="E43" s="100"/>
      <c r="F43" s="100"/>
      <c r="G43" s="100"/>
      <c r="I43" s="100"/>
    </row>
    <row r="44" spans="1:9" ht="12.75">
      <c r="A44" s="3">
        <v>39600</v>
      </c>
      <c r="B44" s="107">
        <f t="shared" si="10"/>
        <v>350183.92808375059</v>
      </c>
      <c r="C44" s="108">
        <f t="shared" si="11"/>
        <v>321002.53472222219</v>
      </c>
      <c r="D44" s="100"/>
      <c r="E44" s="100"/>
      <c r="F44" s="100"/>
      <c r="G44" s="100"/>
      <c r="I44" s="100"/>
    </row>
    <row r="45" spans="1:9" ht="12.75">
      <c r="A45" s="3">
        <v>39630</v>
      </c>
      <c r="B45" s="107">
        <f t="shared" si="10"/>
        <v>359431.07191624946</v>
      </c>
      <c r="C45" s="108">
        <f t="shared" si="11"/>
        <v>326203.29861111107</v>
      </c>
      <c r="D45" s="100"/>
      <c r="E45" s="100"/>
      <c r="F45" s="100"/>
      <c r="G45" s="100"/>
      <c r="I45" s="100"/>
    </row>
    <row r="46" spans="1:9" ht="12.75">
      <c r="A46" s="3">
        <v>39661</v>
      </c>
      <c r="B46" s="107">
        <f t="shared" si="10"/>
        <v>368678.21574874833</v>
      </c>
      <c r="C46" s="108">
        <f t="shared" si="11"/>
        <v>331404.06249999994</v>
      </c>
      <c r="D46" s="100"/>
      <c r="E46" s="100"/>
      <c r="F46" s="100"/>
      <c r="G46" s="100"/>
      <c r="I46" s="100"/>
    </row>
    <row r="47" spans="1:9" ht="12.75">
      <c r="A47" s="3">
        <v>39692</v>
      </c>
      <c r="B47" s="107">
        <f t="shared" si="10"/>
        <v>377925.3595812472</v>
      </c>
      <c r="C47" s="108">
        <f t="shared" si="11"/>
        <v>336604.82638888882</v>
      </c>
      <c r="D47" s="100"/>
      <c r="E47" s="100"/>
      <c r="F47" s="100"/>
      <c r="G47" s="100"/>
      <c r="I47" s="100"/>
    </row>
    <row r="48" spans="1:9" ht="12.75">
      <c r="A48" s="3">
        <v>39722</v>
      </c>
      <c r="B48" s="107">
        <f t="shared" si="10"/>
        <v>387172.50341374608</v>
      </c>
      <c r="C48" s="108">
        <f t="shared" si="11"/>
        <v>341805.59027777769</v>
      </c>
      <c r="D48" s="100"/>
      <c r="E48" s="100"/>
      <c r="F48" s="100"/>
      <c r="G48" s="100"/>
      <c r="I48" s="100"/>
    </row>
    <row r="49" spans="1:9" ht="12.75">
      <c r="A49" s="3">
        <v>39753</v>
      </c>
      <c r="B49" s="107">
        <f t="shared" si="10"/>
        <v>396419.64724624495</v>
      </c>
      <c r="C49" s="108">
        <f t="shared" si="11"/>
        <v>347006.35416666657</v>
      </c>
      <c r="D49" s="100"/>
      <c r="E49" s="100"/>
      <c r="F49" s="100"/>
      <c r="G49" s="100"/>
      <c r="I49" s="100"/>
    </row>
    <row r="50" spans="1:9" ht="12.75">
      <c r="A50" s="3">
        <v>39783</v>
      </c>
      <c r="B50" s="107">
        <f t="shared" si="10"/>
        <v>405666.79107874382</v>
      </c>
      <c r="C50" s="108">
        <f t="shared" si="11"/>
        <v>352207.11805555545</v>
      </c>
      <c r="D50" s="100">
        <f>C50+H5/2</f>
        <v>354807.49999999988</v>
      </c>
      <c r="E50" s="100"/>
      <c r="F50" s="106">
        <f>SUM(C39:C50)</f>
        <v>3883234.9999999995</v>
      </c>
      <c r="G50" s="102">
        <f>D50*72/12*2</f>
        <v>4257689.9999999991</v>
      </c>
      <c r="H50" s="102">
        <f>SUM(B39:B50)</f>
        <v>4257690.0000000009</v>
      </c>
      <c r="I50" s="100">
        <f>B50*12</f>
        <v>4868001.492944926</v>
      </c>
    </row>
    <row r="51" spans="1:9" ht="12.75">
      <c r="A51" s="3">
        <v>39814</v>
      </c>
      <c r="B51" s="109">
        <f t="shared" si="12" ref="B51:B62">B50+$J$6</f>
        <v>433667.6693743217</v>
      </c>
      <c r="C51" s="125">
        <f>D50+H6/2</f>
        <v>364510.2083333332</v>
      </c>
      <c r="D51" s="100"/>
      <c r="E51" s="100"/>
      <c r="F51" s="100"/>
      <c r="G51" s="100"/>
      <c r="I51" s="100"/>
    </row>
    <row r="52" spans="1:9" ht="12.75">
      <c r="A52" s="3">
        <v>39845</v>
      </c>
      <c r="B52" s="109">
        <f t="shared" si="12"/>
        <v>461668.54766989959</v>
      </c>
      <c r="C52" s="125">
        <f t="shared" si="13" ref="C52:C62">C51+H$6</f>
        <v>383915.62499999988</v>
      </c>
      <c r="D52" s="100"/>
      <c r="E52" s="100"/>
      <c r="F52" s="100"/>
      <c r="G52" s="100"/>
      <c r="I52" s="100"/>
    </row>
    <row r="53" spans="1:9" ht="12.75">
      <c r="A53" s="3">
        <v>39873</v>
      </c>
      <c r="B53" s="109">
        <f t="shared" si="12"/>
        <v>489669.42596547748</v>
      </c>
      <c r="C53" s="125">
        <f t="shared" si="13"/>
        <v>403321.04166666657</v>
      </c>
      <c r="D53" s="100"/>
      <c r="E53" s="100"/>
      <c r="F53" s="100"/>
      <c r="G53" s="100"/>
      <c r="I53" s="100"/>
    </row>
    <row r="54" spans="1:9" ht="12.75">
      <c r="A54" s="3">
        <v>39904</v>
      </c>
      <c r="B54" s="109">
        <f t="shared" si="12"/>
        <v>517670.30426105537</v>
      </c>
      <c r="C54" s="125">
        <f t="shared" si="13"/>
        <v>422726.45833333326</v>
      </c>
      <c r="D54" s="100"/>
      <c r="E54" s="100"/>
      <c r="F54" s="100"/>
      <c r="G54" s="100"/>
      <c r="I54" s="100"/>
    </row>
    <row r="55" spans="1:9" ht="12.75">
      <c r="A55" s="3">
        <v>39934</v>
      </c>
      <c r="B55" s="109">
        <f t="shared" si="12"/>
        <v>545671.18255663326</v>
      </c>
      <c r="C55" s="125">
        <f t="shared" si="13"/>
        <v>442131.87499999994</v>
      </c>
      <c r="D55" s="100"/>
      <c r="E55" s="100"/>
      <c r="F55" s="100"/>
      <c r="G55" s="100"/>
      <c r="I55" s="100"/>
    </row>
    <row r="56" spans="1:9" ht="12.75">
      <c r="A56" s="3">
        <v>39965</v>
      </c>
      <c r="B56" s="109">
        <f t="shared" si="12"/>
        <v>573672.06085221109</v>
      </c>
      <c r="C56" s="125">
        <f t="shared" si="13"/>
        <v>461537.29166666663</v>
      </c>
      <c r="D56" s="100"/>
      <c r="E56" s="100"/>
      <c r="F56" s="100"/>
      <c r="G56" s="100"/>
      <c r="I56" s="100"/>
    </row>
    <row r="57" spans="1:9" ht="12.75">
      <c r="A57" s="3">
        <v>39995</v>
      </c>
      <c r="B57" s="109">
        <f t="shared" si="12"/>
        <v>601672.93914778891</v>
      </c>
      <c r="C57" s="125">
        <f t="shared" si="13"/>
        <v>480942.70833333331</v>
      </c>
      <c r="D57" s="100"/>
      <c r="E57" s="100"/>
      <c r="F57" s="100"/>
      <c r="G57" s="100"/>
      <c r="I57" s="100"/>
    </row>
    <row r="58" spans="1:9" ht="12.75">
      <c r="A58" s="3">
        <v>40026</v>
      </c>
      <c r="B58" s="109">
        <f t="shared" si="12"/>
        <v>629673.81744336674</v>
      </c>
      <c r="C58" s="125">
        <f t="shared" si="13"/>
        <v>500348.125</v>
      </c>
      <c r="D58" s="100"/>
      <c r="E58" s="100"/>
      <c r="F58" s="100"/>
      <c r="G58" s="100"/>
      <c r="I58" s="100"/>
    </row>
    <row r="59" spans="1:9" ht="12.75">
      <c r="A59" s="3">
        <v>40057</v>
      </c>
      <c r="B59" s="109">
        <f t="shared" si="12"/>
        <v>657674.69573894457</v>
      </c>
      <c r="C59" s="125">
        <f t="shared" si="13"/>
        <v>519753.54166666669</v>
      </c>
      <c r="D59" s="100"/>
      <c r="E59" s="100"/>
      <c r="F59" s="100"/>
      <c r="G59" s="100"/>
      <c r="I59" s="100"/>
    </row>
    <row r="60" spans="1:9" ht="12.75">
      <c r="A60" s="3">
        <v>40087</v>
      </c>
      <c r="B60" s="109">
        <f t="shared" si="12"/>
        <v>685675.5740345224</v>
      </c>
      <c r="C60" s="125">
        <f t="shared" si="13"/>
        <v>539158.95833333337</v>
      </c>
      <c r="D60" s="100"/>
      <c r="E60" s="100"/>
      <c r="F60" s="100"/>
      <c r="G60" s="100"/>
      <c r="I60" s="100"/>
    </row>
    <row r="61" spans="1:9" ht="12.75">
      <c r="A61" s="3">
        <v>40118</v>
      </c>
      <c r="B61" s="109">
        <f t="shared" si="12"/>
        <v>713676.45233010023</v>
      </c>
      <c r="C61" s="125">
        <f t="shared" si="13"/>
        <v>558564.375</v>
      </c>
      <c r="D61" s="100"/>
      <c r="E61" s="100"/>
      <c r="F61" s="100"/>
      <c r="G61" s="100"/>
      <c r="H61" s="4"/>
      <c r="I61" s="100"/>
    </row>
    <row r="62" spans="1:9" ht="12.75">
      <c r="A62" s="3">
        <v>40148</v>
      </c>
      <c r="B62" s="109">
        <f t="shared" si="12"/>
        <v>741677.33062567806</v>
      </c>
      <c r="C62" s="125">
        <f t="shared" si="13"/>
        <v>577969.79166666663</v>
      </c>
      <c r="D62" s="100">
        <f>C62+H6/2</f>
        <v>587672.50</v>
      </c>
      <c r="E62" s="100"/>
      <c r="F62" s="105">
        <f>SUM(C51:C62)</f>
        <v>5654880</v>
      </c>
      <c r="G62" s="109">
        <f>D62*72/12*2</f>
        <v>7052070</v>
      </c>
      <c r="H62" s="109">
        <f>SUM(B51:B62)</f>
        <v>7052069.9999999991</v>
      </c>
      <c r="I62" s="100">
        <f>B62*12</f>
        <v>8900127.9675081372</v>
      </c>
    </row>
    <row r="63" spans="1:9" ht="12.75">
      <c r="A63" s="3">
        <v>40179</v>
      </c>
      <c r="B63" s="107">
        <f t="shared" si="14" ref="B63:B74">B62+$J$7</f>
        <v>722483.51052941987</v>
      </c>
      <c r="C63" s="108">
        <f>D62+H7/2</f>
        <v>588891.04166666663</v>
      </c>
      <c r="D63" s="100"/>
      <c r="E63" s="100"/>
      <c r="F63" s="100"/>
      <c r="G63" s="100"/>
      <c r="I63" s="100"/>
    </row>
    <row r="64" spans="1:9" ht="12.75">
      <c r="A64" s="3">
        <v>40210</v>
      </c>
      <c r="B64" s="107">
        <f t="shared" si="14"/>
        <v>703289.69043316168</v>
      </c>
      <c r="C64" s="108">
        <f t="shared" si="15" ref="C64:C74">C63+H$7</f>
        <v>591328.125</v>
      </c>
      <c r="D64" s="100"/>
      <c r="E64" s="100"/>
      <c r="F64" s="100"/>
      <c r="G64" s="100"/>
      <c r="I64" s="100"/>
    </row>
    <row r="65" spans="1:9" ht="12.75">
      <c r="A65" s="3">
        <v>40238</v>
      </c>
      <c r="B65" s="107">
        <f t="shared" si="14"/>
        <v>684095.87033690349</v>
      </c>
      <c r="C65" s="108">
        <f t="shared" si="15"/>
        <v>593765.20833333337</v>
      </c>
      <c r="D65" s="100"/>
      <c r="E65" s="100"/>
      <c r="F65" s="100"/>
      <c r="G65" s="100"/>
      <c r="I65" s="100"/>
    </row>
    <row r="66" spans="1:9" ht="12.75">
      <c r="A66" s="3">
        <v>40269</v>
      </c>
      <c r="B66" s="107">
        <f t="shared" si="14"/>
        <v>664902.0502406453</v>
      </c>
      <c r="C66" s="108">
        <f t="shared" si="15"/>
        <v>596202.29166666674</v>
      </c>
      <c r="D66" s="100"/>
      <c r="E66" s="100"/>
      <c r="F66" s="100"/>
      <c r="G66" s="100"/>
      <c r="I66" s="100"/>
    </row>
    <row r="67" spans="1:9" ht="12.75">
      <c r="A67" s="3">
        <v>40299</v>
      </c>
      <c r="B67" s="107">
        <f t="shared" si="14"/>
        <v>645708.23014438711</v>
      </c>
      <c r="C67" s="108">
        <f t="shared" si="15"/>
        <v>598639.37500000012</v>
      </c>
      <c r="D67" s="100"/>
      <c r="E67" s="100"/>
      <c r="F67" s="100"/>
      <c r="G67" s="100"/>
      <c r="I67" s="100"/>
    </row>
    <row r="68" spans="1:9" ht="12.75">
      <c r="A68" s="3">
        <v>40330</v>
      </c>
      <c r="B68" s="107">
        <f t="shared" si="14"/>
        <v>626514.41004812892</v>
      </c>
      <c r="C68" s="108">
        <f t="shared" si="15"/>
        <v>601076.45833333349</v>
      </c>
      <c r="D68" s="100"/>
      <c r="E68" s="100"/>
      <c r="F68" s="100"/>
      <c r="G68" s="100"/>
      <c r="I68" s="100"/>
    </row>
    <row r="69" spans="1:9" ht="12.75">
      <c r="A69" s="3">
        <v>40360</v>
      </c>
      <c r="B69" s="107">
        <f t="shared" si="14"/>
        <v>607320.58995187073</v>
      </c>
      <c r="C69" s="108">
        <f t="shared" si="15"/>
        <v>603513.54166666686</v>
      </c>
      <c r="D69" s="100"/>
      <c r="E69" s="100"/>
      <c r="F69" s="100"/>
      <c r="G69" s="100"/>
      <c r="I69" s="100"/>
    </row>
    <row r="70" spans="1:9" ht="12.75">
      <c r="A70" s="3">
        <v>40391</v>
      </c>
      <c r="B70" s="107">
        <f t="shared" si="14"/>
        <v>588126.76985561254</v>
      </c>
      <c r="C70" s="108">
        <f t="shared" si="15"/>
        <v>605950.62500000023</v>
      </c>
      <c r="D70" s="100"/>
      <c r="E70" s="100"/>
      <c r="F70" s="100"/>
      <c r="G70" s="100"/>
      <c r="I70" s="100"/>
    </row>
    <row r="71" spans="1:9" ht="12.75">
      <c r="A71" s="3">
        <v>40422</v>
      </c>
      <c r="B71" s="107">
        <f t="shared" si="14"/>
        <v>568932.94975935435</v>
      </c>
      <c r="C71" s="108">
        <f t="shared" si="15"/>
        <v>608387.7083333336</v>
      </c>
      <c r="D71" s="100"/>
      <c r="E71" s="100"/>
      <c r="F71" s="100"/>
      <c r="G71" s="100"/>
      <c r="I71" s="100"/>
    </row>
    <row r="72" spans="1:9" ht="12.75">
      <c r="A72" s="3">
        <v>40452</v>
      </c>
      <c r="B72" s="107">
        <f t="shared" si="14"/>
        <v>549739.12966309616</v>
      </c>
      <c r="C72" s="108">
        <f t="shared" si="15"/>
        <v>610824.79166666698</v>
      </c>
      <c r="D72" s="100"/>
      <c r="E72" s="100"/>
      <c r="F72" s="100"/>
      <c r="G72" s="100"/>
      <c r="I72" s="100"/>
    </row>
    <row r="73" spans="1:9" ht="12.75">
      <c r="A73" s="3">
        <v>40483</v>
      </c>
      <c r="B73" s="107">
        <f t="shared" si="14"/>
        <v>530545.30956683797</v>
      </c>
      <c r="C73" s="108">
        <f t="shared" si="15"/>
        <v>613261.87500000035</v>
      </c>
      <c r="D73" s="100"/>
      <c r="E73" s="100"/>
      <c r="F73" s="100"/>
      <c r="G73" s="100"/>
      <c r="I73" s="100"/>
    </row>
    <row r="74" spans="1:9" ht="12.75">
      <c r="A74" s="3">
        <v>40513</v>
      </c>
      <c r="B74" s="107">
        <f t="shared" si="14"/>
        <v>511351.48947057978</v>
      </c>
      <c r="C74" s="108">
        <f t="shared" si="15"/>
        <v>615698.95833333372</v>
      </c>
      <c r="D74" s="100">
        <f>C74+H7/2</f>
        <v>616917.50000000035</v>
      </c>
      <c r="E74" s="100"/>
      <c r="F74" s="106">
        <f>SUM(C63:C74)</f>
        <v>7227540.0000000028</v>
      </c>
      <c r="G74" s="102">
        <f>D74*72/12*2</f>
        <v>7403010.0000000037</v>
      </c>
      <c r="H74" s="102">
        <f>SUM(B63:B74)</f>
        <v>7403009.9999999972</v>
      </c>
      <c r="I74" s="100">
        <f>B74*12</f>
        <v>6136217.8736469578</v>
      </c>
    </row>
    <row r="75" spans="1:9" ht="12.75">
      <c r="A75" s="3">
        <v>40544</v>
      </c>
      <c r="B75" s="109">
        <f t="shared" si="16" ref="B75:B86">B74+$J$8</f>
        <v>549874.40134690085</v>
      </c>
      <c r="C75" s="125">
        <f>D74+H8/2</f>
        <v>622952.20486111147</v>
      </c>
      <c r="D75" s="100"/>
      <c r="E75" s="100"/>
      <c r="F75" s="100"/>
      <c r="G75" s="100"/>
      <c r="I75" s="100"/>
    </row>
    <row r="76" spans="1:9" ht="12.75">
      <c r="A76" s="3">
        <v>40575</v>
      </c>
      <c r="B76" s="109">
        <f t="shared" si="16"/>
        <v>588397.31322322192</v>
      </c>
      <c r="C76" s="125">
        <f t="shared" si="17" ref="C76:C86">C75+H$8</f>
        <v>635021.61458333372</v>
      </c>
      <c r="D76" s="100"/>
      <c r="E76" s="100"/>
      <c r="F76" s="100"/>
      <c r="G76" s="100"/>
      <c r="I76" s="100"/>
    </row>
    <row r="77" spans="1:9" ht="12.75">
      <c r="A77" s="3">
        <v>40603</v>
      </c>
      <c r="B77" s="109">
        <f t="shared" si="16"/>
        <v>626920.22509954299</v>
      </c>
      <c r="C77" s="125">
        <f t="shared" si="17"/>
        <v>647091.02430555597</v>
      </c>
      <c r="D77" s="100"/>
      <c r="E77" s="100"/>
      <c r="F77" s="100"/>
      <c r="G77" s="100"/>
      <c r="I77" s="100"/>
    </row>
    <row r="78" spans="1:9" ht="12.75">
      <c r="A78" s="3">
        <v>40634</v>
      </c>
      <c r="B78" s="109">
        <f t="shared" si="16"/>
        <v>665443.13697586406</v>
      </c>
      <c r="C78" s="125">
        <f t="shared" si="17"/>
        <v>659160.43402777822</v>
      </c>
      <c r="D78" s="100"/>
      <c r="E78" s="100"/>
      <c r="F78" s="100"/>
      <c r="G78" s="100"/>
      <c r="I78" s="100"/>
    </row>
    <row r="79" spans="1:9" ht="12.75">
      <c r="A79" s="3">
        <v>40664</v>
      </c>
      <c r="B79" s="109">
        <f t="shared" si="16"/>
        <v>703966.04885218514</v>
      </c>
      <c r="C79" s="125">
        <f t="shared" si="17"/>
        <v>671229.84375000047</v>
      </c>
      <c r="D79" s="100"/>
      <c r="E79" s="100"/>
      <c r="F79" s="100"/>
      <c r="G79" s="100"/>
      <c r="I79" s="100"/>
    </row>
    <row r="80" spans="1:9" ht="12.75">
      <c r="A80" s="3">
        <v>40695</v>
      </c>
      <c r="B80" s="109">
        <f t="shared" si="16"/>
        <v>742488.96072850621</v>
      </c>
      <c r="C80" s="125">
        <f t="shared" si="17"/>
        <v>683299.25347222271</v>
      </c>
      <c r="D80" s="100"/>
      <c r="E80" s="100"/>
      <c r="F80" s="100"/>
      <c r="G80" s="100"/>
      <c r="I80" s="100"/>
    </row>
    <row r="81" spans="1:9" ht="12.75">
      <c r="A81" s="3">
        <v>40725</v>
      </c>
      <c r="B81" s="109">
        <f t="shared" si="16"/>
        <v>781011.87260482728</v>
      </c>
      <c r="C81" s="125">
        <f t="shared" si="17"/>
        <v>695368.66319444496</v>
      </c>
      <c r="D81" s="100"/>
      <c r="E81" s="100"/>
      <c r="F81" s="100"/>
      <c r="G81" s="100"/>
      <c r="I81" s="100"/>
    </row>
    <row r="82" spans="1:9" ht="12.75">
      <c r="A82" s="3">
        <v>40756</v>
      </c>
      <c r="B82" s="109">
        <f t="shared" si="16"/>
        <v>819534.78448114835</v>
      </c>
      <c r="C82" s="125">
        <f t="shared" si="17"/>
        <v>707438.07291666721</v>
      </c>
      <c r="D82" s="100"/>
      <c r="E82" s="100"/>
      <c r="F82" s="100"/>
      <c r="G82" s="100"/>
      <c r="I82" s="100"/>
    </row>
    <row r="83" spans="1:9" ht="12.75">
      <c r="A83" s="3">
        <v>40787</v>
      </c>
      <c r="B83" s="109">
        <f t="shared" si="16"/>
        <v>858057.69635746942</v>
      </c>
      <c r="C83" s="125">
        <f t="shared" si="17"/>
        <v>719507.48263888946</v>
      </c>
      <c r="D83" s="100"/>
      <c r="E83" s="100"/>
      <c r="F83" s="100"/>
      <c r="G83" s="100"/>
      <c r="I83" s="100"/>
    </row>
    <row r="84" spans="1:9" ht="12.75">
      <c r="A84" s="3">
        <v>40817</v>
      </c>
      <c r="B84" s="109">
        <f t="shared" si="16"/>
        <v>896580.6082337905</v>
      </c>
      <c r="C84" s="125">
        <f t="shared" si="17"/>
        <v>731576.89236111171</v>
      </c>
      <c r="D84" s="100"/>
      <c r="E84" s="100"/>
      <c r="F84" s="100"/>
      <c r="G84" s="100"/>
      <c r="I84" s="100"/>
    </row>
    <row r="85" spans="1:9" ht="12.75">
      <c r="A85" s="3">
        <v>40848</v>
      </c>
      <c r="B85" s="109">
        <f t="shared" si="16"/>
        <v>935103.52011011157</v>
      </c>
      <c r="C85" s="125">
        <f t="shared" si="17"/>
        <v>743646.30208333395</v>
      </c>
      <c r="D85" s="100"/>
      <c r="E85" s="100"/>
      <c r="F85" s="100"/>
      <c r="G85" s="100"/>
      <c r="H85" s="4"/>
      <c r="I85" s="100"/>
    </row>
    <row r="86" spans="1:9" ht="12.75">
      <c r="A86" s="3">
        <v>40878</v>
      </c>
      <c r="B86" s="109">
        <f t="shared" si="16"/>
        <v>973626.43198643264</v>
      </c>
      <c r="C86" s="125">
        <f t="shared" si="17"/>
        <v>755715.7118055562</v>
      </c>
      <c r="D86" s="100">
        <f>C86+H8/2</f>
        <v>761750.41666666733</v>
      </c>
      <c r="E86" s="100"/>
      <c r="F86" s="105">
        <f>SUM(C75:C86)</f>
        <v>8272007.5000000056</v>
      </c>
      <c r="G86" s="109">
        <f>D86*72/12*2</f>
        <v>9141005.0000000075</v>
      </c>
      <c r="H86" s="109">
        <f>SUM(B75:B86)</f>
        <v>9141005.0000000019</v>
      </c>
      <c r="I86" s="100">
        <f>B86*12</f>
        <v>11683517.183837192</v>
      </c>
    </row>
    <row r="87" spans="1:9" ht="12.75">
      <c r="A87" s="3">
        <v>40909</v>
      </c>
      <c r="B87" s="107">
        <f t="shared" si="18" ref="B87:B98">B86+$J$9</f>
        <v>966089.23732185329</v>
      </c>
      <c r="C87" s="108">
        <f>D86+H9/2</f>
        <v>768537.26041666733</v>
      </c>
      <c r="D87" s="100"/>
      <c r="E87" s="100"/>
      <c r="F87" s="100"/>
      <c r="G87" s="100"/>
      <c r="I87" s="100"/>
    </row>
    <row r="88" spans="1:9" ht="12.75">
      <c r="A88" s="3">
        <v>40940</v>
      </c>
      <c r="B88" s="107">
        <f t="shared" si="18"/>
        <v>958552.04265727394</v>
      </c>
      <c r="C88" s="108">
        <f t="shared" si="19" ref="C88:C98">C87+H$9</f>
        <v>782110.94791666733</v>
      </c>
      <c r="D88" s="100"/>
      <c r="E88" s="100"/>
      <c r="F88" s="100"/>
      <c r="G88" s="100"/>
      <c r="I88" s="100"/>
    </row>
    <row r="89" spans="1:9" ht="12.75">
      <c r="A89" s="3">
        <v>40969</v>
      </c>
      <c r="B89" s="107">
        <f t="shared" si="18"/>
        <v>951014.84799269459</v>
      </c>
      <c r="C89" s="108">
        <f t="shared" si="19"/>
        <v>795684.63541666733</v>
      </c>
      <c r="D89" s="100"/>
      <c r="E89" s="100"/>
      <c r="F89" s="100"/>
      <c r="G89" s="100"/>
      <c r="I89" s="100"/>
    </row>
    <row r="90" spans="1:9" ht="12.75">
      <c r="A90" s="3">
        <v>41000</v>
      </c>
      <c r="B90" s="107">
        <f t="shared" si="18"/>
        <v>943477.65332811524</v>
      </c>
      <c r="C90" s="108">
        <f t="shared" si="19"/>
        <v>809258.32291666733</v>
      </c>
      <c r="D90" s="100"/>
      <c r="E90" s="100"/>
      <c r="F90" s="100"/>
      <c r="G90" s="100"/>
      <c r="I90" s="100"/>
    </row>
    <row r="91" spans="1:9" ht="12.75">
      <c r="A91" s="3">
        <v>41030</v>
      </c>
      <c r="B91" s="107">
        <f t="shared" si="18"/>
        <v>935940.45866353589</v>
      </c>
      <c r="C91" s="108">
        <f t="shared" si="19"/>
        <v>822832.01041666733</v>
      </c>
      <c r="D91" s="100"/>
      <c r="E91" s="100"/>
      <c r="F91" s="100"/>
      <c r="G91" s="100"/>
      <c r="I91" s="100"/>
    </row>
    <row r="92" spans="1:9" ht="12.75">
      <c r="A92" s="3">
        <v>41061</v>
      </c>
      <c r="B92" s="107">
        <f t="shared" si="18"/>
        <v>928403.26399895654</v>
      </c>
      <c r="C92" s="108">
        <f t="shared" si="19"/>
        <v>836405.69791666733</v>
      </c>
      <c r="D92" s="100"/>
      <c r="E92" s="100"/>
      <c r="F92" s="100"/>
      <c r="G92" s="100"/>
      <c r="I92" s="100"/>
    </row>
    <row r="93" spans="1:9" ht="12.75">
      <c r="A93" s="3">
        <v>41091</v>
      </c>
      <c r="B93" s="107">
        <f t="shared" si="18"/>
        <v>920866.06933437719</v>
      </c>
      <c r="C93" s="108">
        <f t="shared" si="19"/>
        <v>849979.38541666733</v>
      </c>
      <c r="D93" s="100"/>
      <c r="E93" s="100"/>
      <c r="F93" s="100"/>
      <c r="G93" s="100"/>
      <c r="I93" s="100"/>
    </row>
    <row r="94" spans="1:9" ht="12.75">
      <c r="A94" s="3">
        <v>41122</v>
      </c>
      <c r="B94" s="107">
        <f t="shared" si="18"/>
        <v>913328.87466979783</v>
      </c>
      <c r="C94" s="108">
        <f t="shared" si="19"/>
        <v>863553.07291666733</v>
      </c>
      <c r="D94" s="100"/>
      <c r="E94" s="100"/>
      <c r="F94" s="100"/>
      <c r="G94" s="100"/>
      <c r="I94" s="100"/>
    </row>
    <row r="95" spans="1:9" ht="12.75">
      <c r="A95" s="3">
        <v>41153</v>
      </c>
      <c r="B95" s="107">
        <f t="shared" si="18"/>
        <v>905791.68000521848</v>
      </c>
      <c r="C95" s="108">
        <f t="shared" si="19"/>
        <v>877126.76041666733</v>
      </c>
      <c r="D95" s="100"/>
      <c r="E95" s="100"/>
      <c r="F95" s="100"/>
      <c r="G95" s="100"/>
      <c r="I95" s="100"/>
    </row>
    <row r="96" spans="1:9" ht="12.75">
      <c r="A96" s="3">
        <v>41183</v>
      </c>
      <c r="B96" s="107">
        <f t="shared" si="18"/>
        <v>898254.48534063913</v>
      </c>
      <c r="C96" s="108">
        <f t="shared" si="19"/>
        <v>890700.44791666733</v>
      </c>
      <c r="D96" s="100"/>
      <c r="E96" s="100"/>
      <c r="F96" s="100"/>
      <c r="G96" s="100"/>
      <c r="I96" s="100"/>
    </row>
    <row r="97" spans="1:9" ht="12.75">
      <c r="A97" s="3">
        <v>41214</v>
      </c>
      <c r="B97" s="107">
        <f t="shared" si="18"/>
        <v>890717.29067605978</v>
      </c>
      <c r="C97" s="108">
        <f t="shared" si="19"/>
        <v>904274.13541666733</v>
      </c>
      <c r="D97" s="100"/>
      <c r="E97" s="100"/>
      <c r="F97" s="100"/>
      <c r="G97" s="100"/>
      <c r="I97" s="100"/>
    </row>
    <row r="98" spans="1:9" ht="12.75">
      <c r="A98" s="3">
        <v>41244</v>
      </c>
      <c r="B98" s="107">
        <f t="shared" si="18"/>
        <v>883180.09601148043</v>
      </c>
      <c r="C98" s="108">
        <f t="shared" si="19"/>
        <v>917847.82291666733</v>
      </c>
      <c r="D98" s="100">
        <f>C98+H9/2</f>
        <v>924634.66666666733</v>
      </c>
      <c r="E98" s="100"/>
      <c r="F98" s="106">
        <f>SUM(C87:C98)</f>
        <v>10118310.500000008</v>
      </c>
      <c r="G98" s="102">
        <f>D98*72/12*2</f>
        <v>11095616.000000008</v>
      </c>
      <c r="H98" s="102">
        <f>SUM(B87:B98)</f>
        <v>11095616.000000002</v>
      </c>
      <c r="I98" s="100">
        <f>B98*12</f>
        <v>10598161.152137766</v>
      </c>
    </row>
    <row r="99" spans="1:9" ht="12.75">
      <c r="A99" s="3">
        <v>41275</v>
      </c>
      <c r="B99" s="109">
        <f t="shared" si="20" ref="B99:B110">B98+$J$10</f>
        <v>919021.83765073982</v>
      </c>
      <c r="C99" s="125">
        <f>D98+H10/2</f>
        <v>932614.5312500007</v>
      </c>
      <c r="D99" s="100"/>
      <c r="E99" s="100"/>
      <c r="F99" s="100"/>
      <c r="G99" s="100"/>
      <c r="I99" s="100"/>
    </row>
    <row r="100" spans="1:9" ht="12.75">
      <c r="A100" s="3">
        <v>41306</v>
      </c>
      <c r="B100" s="109">
        <f t="shared" si="20"/>
        <v>954863.57928999921</v>
      </c>
      <c r="C100" s="125">
        <f t="shared" si="21" ref="C100:C110">C99+H$10</f>
        <v>948574.26041666733</v>
      </c>
      <c r="D100" s="100"/>
      <c r="E100" s="100"/>
      <c r="F100" s="100"/>
      <c r="G100" s="100"/>
      <c r="I100" s="100"/>
    </row>
    <row r="101" spans="1:9" ht="12.75">
      <c r="A101" s="3">
        <v>41334</v>
      </c>
      <c r="B101" s="109">
        <f t="shared" si="20"/>
        <v>990705.3209292586</v>
      </c>
      <c r="C101" s="125">
        <f t="shared" si="21"/>
        <v>964533.98958333395</v>
      </c>
      <c r="D101" s="100"/>
      <c r="E101" s="100"/>
      <c r="F101" s="100"/>
      <c r="G101" s="100"/>
      <c r="I101" s="100"/>
    </row>
    <row r="102" spans="1:9" ht="12.75">
      <c r="A102" s="3">
        <v>41365</v>
      </c>
      <c r="B102" s="109">
        <f t="shared" si="20"/>
        <v>1026547.062568518</v>
      </c>
      <c r="C102" s="125">
        <f t="shared" si="21"/>
        <v>980493.71875000058</v>
      </c>
      <c r="D102" s="100"/>
      <c r="E102" s="100"/>
      <c r="F102" s="100"/>
      <c r="G102" s="100"/>
      <c r="I102" s="100"/>
    </row>
    <row r="103" spans="1:9" ht="12.75">
      <c r="A103" s="3">
        <v>41395</v>
      </c>
      <c r="B103" s="109">
        <f t="shared" si="20"/>
        <v>1062388.8042077774</v>
      </c>
      <c r="C103" s="125">
        <f t="shared" si="21"/>
        <v>996453.44791666721</v>
      </c>
      <c r="D103" s="100"/>
      <c r="E103" s="100"/>
      <c r="F103" s="100"/>
      <c r="G103" s="100"/>
      <c r="I103" s="100"/>
    </row>
    <row r="104" spans="1:9" ht="12.75">
      <c r="A104" s="3">
        <v>41426</v>
      </c>
      <c r="B104" s="109">
        <f t="shared" si="20"/>
        <v>1098230.5458470369</v>
      </c>
      <c r="C104" s="125">
        <f t="shared" si="21"/>
        <v>1012413.1770833338</v>
      </c>
      <c r="D104" s="100"/>
      <c r="E104" s="100"/>
      <c r="F104" s="100"/>
      <c r="G104" s="100"/>
      <c r="I104" s="100"/>
    </row>
    <row r="105" spans="1:9" ht="12.75">
      <c r="A105" s="3">
        <v>41456</v>
      </c>
      <c r="B105" s="109">
        <f t="shared" si="20"/>
        <v>1134072.2874862964</v>
      </c>
      <c r="C105" s="125">
        <f t="shared" si="21"/>
        <v>1028372.9062500005</v>
      </c>
      <c r="D105" s="100"/>
      <c r="E105" s="100"/>
      <c r="F105" s="100"/>
      <c r="G105" s="100"/>
      <c r="I105" s="100"/>
    </row>
    <row r="106" spans="1:9" ht="12.75">
      <c r="A106" s="3">
        <v>41487</v>
      </c>
      <c r="B106" s="109">
        <f t="shared" si="20"/>
        <v>1169914.0291255559</v>
      </c>
      <c r="C106" s="125">
        <f t="shared" si="21"/>
        <v>1044332.6354166671</v>
      </c>
      <c r="D106" s="100"/>
      <c r="E106" s="100"/>
      <c r="F106" s="100"/>
      <c r="G106" s="100"/>
      <c r="I106" s="100"/>
    </row>
    <row r="107" spans="1:9" ht="12.75">
      <c r="A107" s="3">
        <v>41518</v>
      </c>
      <c r="B107" s="109">
        <f t="shared" si="20"/>
        <v>1205755.7707648154</v>
      </c>
      <c r="C107" s="125">
        <f t="shared" si="21"/>
        <v>1060292.3645833337</v>
      </c>
      <c r="D107" s="100"/>
      <c r="E107" s="100"/>
      <c r="F107" s="100"/>
      <c r="G107" s="100"/>
      <c r="I107" s="100"/>
    </row>
    <row r="108" spans="1:9" ht="12.75">
      <c r="A108" s="3">
        <v>41548</v>
      </c>
      <c r="B108" s="109">
        <f t="shared" si="20"/>
        <v>1241597.5124040749</v>
      </c>
      <c r="C108" s="125">
        <f t="shared" si="21"/>
        <v>1076252.0937500005</v>
      </c>
      <c r="D108" s="100"/>
      <c r="E108" s="100"/>
      <c r="F108" s="100"/>
      <c r="G108" s="100"/>
      <c r="I108" s="100"/>
    </row>
    <row r="109" spans="1:9" ht="12.75">
      <c r="A109" s="3">
        <v>41579</v>
      </c>
      <c r="B109" s="109">
        <f t="shared" si="20"/>
        <v>1277439.2540433344</v>
      </c>
      <c r="C109" s="125">
        <f t="shared" si="21"/>
        <v>1092211.8229166672</v>
      </c>
      <c r="D109" s="100"/>
      <c r="E109" s="100"/>
      <c r="F109" s="100"/>
      <c r="G109" s="100"/>
      <c r="H109" s="4"/>
      <c r="I109" s="100"/>
    </row>
    <row r="110" spans="1:9" ht="12.75">
      <c r="A110" s="3">
        <v>41609</v>
      </c>
      <c r="B110" s="109">
        <f t="shared" si="20"/>
        <v>1313280.9956825939</v>
      </c>
      <c r="C110" s="125">
        <f t="shared" si="21"/>
        <v>1108171.552083334</v>
      </c>
      <c r="D110" s="100">
        <f>C110+H10/2</f>
        <v>1116151.4166666672</v>
      </c>
      <c r="E110" s="100"/>
      <c r="F110" s="105">
        <f>SUM(C99:C110)</f>
        <v>12244716.500000006</v>
      </c>
      <c r="G110" s="109">
        <f>D110*72/12*2</f>
        <v>13393817.000000008</v>
      </c>
      <c r="H110" s="109">
        <f>SUM(B99:B110)</f>
        <v>13393817</v>
      </c>
      <c r="I110" s="100">
        <f>+B110*12</f>
        <v>15759371.948191127</v>
      </c>
    </row>
    <row r="111" spans="1:9" ht="12.75">
      <c r="A111" s="3">
        <v>41640</v>
      </c>
      <c r="B111" s="107">
        <f t="shared" si="22" ref="B111:B122">+B110+$J$11</f>
        <v>1319874.0091673231</v>
      </c>
      <c r="C111" s="108">
        <f>D110+H$11/2</f>
        <v>1126150.756944445</v>
      </c>
      <c r="D111" s="100"/>
      <c r="E111" s="100"/>
      <c r="F111" s="100"/>
      <c r="G111" s="100"/>
      <c r="I111" s="100"/>
    </row>
    <row r="112" spans="1:9" ht="12.75">
      <c r="A112" s="3">
        <v>41671</v>
      </c>
      <c r="B112" s="107">
        <f t="shared" si="22"/>
        <v>1326467.0226520523</v>
      </c>
      <c r="C112" s="108">
        <f t="shared" si="23" ref="C112:C121">C111+H$11</f>
        <v>1146149.4375000005</v>
      </c>
      <c r="D112" s="100"/>
      <c r="E112" s="100"/>
      <c r="F112" s="100"/>
      <c r="G112" s="100"/>
      <c r="I112" s="100"/>
    </row>
    <row r="113" spans="1:9" ht="12.75">
      <c r="A113" s="3">
        <v>41699</v>
      </c>
      <c r="B113" s="107">
        <f t="shared" si="22"/>
        <v>1333060.0361367816</v>
      </c>
      <c r="C113" s="108">
        <f t="shared" si="23"/>
        <v>1166148.118055556</v>
      </c>
      <c r="D113" s="100"/>
      <c r="E113" s="100"/>
      <c r="F113" s="100"/>
      <c r="G113" s="100"/>
      <c r="I113" s="100"/>
    </row>
    <row r="114" spans="1:9" ht="12.75">
      <c r="A114" s="3">
        <v>41730</v>
      </c>
      <c r="B114" s="107">
        <f t="shared" si="22"/>
        <v>1339653.0496215108</v>
      </c>
      <c r="C114" s="108">
        <f t="shared" si="23"/>
        <v>1186146.7986111115</v>
      </c>
      <c r="D114" s="100"/>
      <c r="E114" s="100"/>
      <c r="F114" s="100"/>
      <c r="G114" s="100"/>
      <c r="I114" s="100"/>
    </row>
    <row r="115" spans="1:9" ht="12.75">
      <c r="A115" s="3">
        <v>41760</v>
      </c>
      <c r="B115" s="107">
        <f t="shared" si="22"/>
        <v>1346246.06310624</v>
      </c>
      <c r="C115" s="108">
        <f t="shared" si="23"/>
        <v>1206145.479166667</v>
      </c>
      <c r="D115" s="100"/>
      <c r="E115" s="100"/>
      <c r="F115" s="100"/>
      <c r="G115" s="100"/>
      <c r="I115" s="100"/>
    </row>
    <row r="116" spans="1:9" ht="12.75">
      <c r="A116" s="3">
        <v>41791</v>
      </c>
      <c r="B116" s="107">
        <f t="shared" si="22"/>
        <v>1352839.0765909692</v>
      </c>
      <c r="C116" s="108">
        <f t="shared" si="23"/>
        <v>1226144.1597222225</v>
      </c>
      <c r="D116" s="100"/>
      <c r="E116" s="100"/>
      <c r="F116" s="100"/>
      <c r="G116" s="100"/>
      <c r="I116" s="100"/>
    </row>
    <row r="117" spans="1:9" ht="12.75">
      <c r="A117" s="3">
        <v>41821</v>
      </c>
      <c r="B117" s="107">
        <f t="shared" si="22"/>
        <v>1359432.0900756985</v>
      </c>
      <c r="C117" s="108">
        <f t="shared" si="23"/>
        <v>1246142.840277778</v>
      </c>
      <c r="D117" s="100"/>
      <c r="E117" s="100"/>
      <c r="F117" s="100"/>
      <c r="G117" s="100"/>
      <c r="I117" s="100"/>
    </row>
    <row r="118" spans="1:9" ht="12.75">
      <c r="A118" s="3">
        <v>41852</v>
      </c>
      <c r="B118" s="107">
        <f t="shared" si="22"/>
        <v>1366025.1035604277</v>
      </c>
      <c r="C118" s="108">
        <f t="shared" si="23"/>
        <v>1266141.5208333335</v>
      </c>
      <c r="D118" s="100"/>
      <c r="E118" s="100"/>
      <c r="F118" s="100"/>
      <c r="G118" s="100"/>
      <c r="I118" s="100"/>
    </row>
    <row r="119" spans="1:9" ht="12.75">
      <c r="A119" s="3">
        <v>41883</v>
      </c>
      <c r="B119" s="107">
        <f t="shared" si="22"/>
        <v>1372618.1170451569</v>
      </c>
      <c r="C119" s="108">
        <f t="shared" si="23"/>
        <v>1286140.201388889</v>
      </c>
      <c r="D119" s="100"/>
      <c r="E119" s="100"/>
      <c r="F119" s="100"/>
      <c r="G119" s="100"/>
      <c r="I119" s="100"/>
    </row>
    <row r="120" spans="1:9" ht="12.75">
      <c r="A120" s="3">
        <v>41913</v>
      </c>
      <c r="B120" s="107">
        <f t="shared" si="22"/>
        <v>1379211.1305298861</v>
      </c>
      <c r="C120" s="108">
        <f t="shared" si="23"/>
        <v>1306138.8819444445</v>
      </c>
      <c r="D120" s="100"/>
      <c r="E120" s="100"/>
      <c r="F120" s="100"/>
      <c r="G120" s="100"/>
      <c r="I120" s="100"/>
    </row>
    <row r="121" spans="1:9" ht="12.75">
      <c r="A121" s="3">
        <v>41944</v>
      </c>
      <c r="B121" s="107">
        <f t="shared" si="22"/>
        <v>1385804.1440146153</v>
      </c>
      <c r="C121" s="108">
        <f t="shared" si="23"/>
        <v>1326137.5625</v>
      </c>
      <c r="D121" s="100"/>
      <c r="E121" s="100"/>
      <c r="F121" s="100"/>
      <c r="G121" s="100"/>
      <c r="I121" s="100"/>
    </row>
    <row r="122" spans="1:9" ht="12.75">
      <c r="A122" s="3">
        <v>41974</v>
      </c>
      <c r="B122" s="107">
        <f t="shared" si="22"/>
        <v>1392397.1574993446</v>
      </c>
      <c r="C122" s="108">
        <f>C121+H$11</f>
        <v>1346136.2430555555</v>
      </c>
      <c r="D122" s="100">
        <f>C122+H11/2</f>
        <v>1356135.5833333333</v>
      </c>
      <c r="E122" s="100"/>
      <c r="F122" s="106">
        <f>SUM(C111:C122)</f>
        <v>14833722.000000004</v>
      </c>
      <c r="G122" s="102">
        <f>D122*72/12*2</f>
        <v>16273627</v>
      </c>
      <c r="H122" s="102">
        <f>SUM(B111:B122)</f>
        <v>16273627.000000006</v>
      </c>
      <c r="I122" s="100">
        <f>+B122*12</f>
        <v>16708765.889992135</v>
      </c>
    </row>
    <row r="123" spans="1:9" ht="12.75">
      <c r="A123" s="3"/>
      <c r="I123" s="100"/>
    </row>
    <row r="124" spans="1:9" ht="12.75">
      <c r="A124" s="3"/>
      <c r="I124" s="100"/>
    </row>
    <row r="125" ht="12.75">
      <c r="I125" s="100"/>
    </row>
    <row r="126" ht="12.75">
      <c r="I126" s="100"/>
    </row>
    <row r="127" ht="12.75">
      <c r="I127" s="100"/>
    </row>
    <row r="128" ht="12.75">
      <c r="I128" s="100"/>
    </row>
    <row r="129" ht="12.75">
      <c r="I129" s="100"/>
    </row>
    <row r="130" ht="12.75">
      <c r="I130" s="100"/>
    </row>
    <row r="131" ht="12.75">
      <c r="I131" s="100"/>
    </row>
    <row r="132" ht="12.75">
      <c r="I132" s="100"/>
    </row>
    <row r="133" ht="12.75">
      <c r="I133" s="100"/>
    </row>
    <row r="134" ht="12.75">
      <c r="I134" s="100"/>
    </row>
    <row r="135" ht="12.75">
      <c r="I135" s="100"/>
    </row>
    <row r="136" ht="12.75">
      <c r="I136" s="100"/>
    </row>
    <row r="137" ht="12.75">
      <c r="I137" s="100"/>
    </row>
    <row r="138" ht="12.75">
      <c r="I138" s="100"/>
    </row>
    <row r="139" ht="12.75">
      <c r="I139" s="100"/>
    </row>
    <row r="140" ht="12.75">
      <c r="I140" s="100"/>
    </row>
    <row r="141" ht="12.75">
      <c r="I141" s="100"/>
    </row>
    <row r="142" ht="12.75">
      <c r="I142" s="100"/>
    </row>
    <row r="143" ht="12.75">
      <c r="I143" s="100"/>
    </row>
    <row r="144" ht="12.75">
      <c r="I144" s="100"/>
    </row>
    <row r="145" ht="12.75">
      <c r="I145" s="100"/>
    </row>
    <row r="146" ht="12.75">
      <c r="I146" s="100"/>
    </row>
    <row r="147" ht="12.75">
      <c r="I147" s="100"/>
    </row>
    <row r="148" ht="12.75">
      <c r="I148" s="100"/>
    </row>
    <row r="149" ht="12.75">
      <c r="I149" s="100"/>
    </row>
    <row r="150" ht="12.75">
      <c r="I150" s="100"/>
    </row>
    <row r="151" ht="12.75">
      <c r="I151" s="100"/>
    </row>
    <row r="152" ht="12.75">
      <c r="I152" s="100"/>
    </row>
    <row r="153" ht="12.75">
      <c r="I153" s="100"/>
    </row>
    <row r="154" ht="12.75">
      <c r="I154" s="100"/>
    </row>
    <row r="155" ht="12.75">
      <c r="I155" s="100"/>
    </row>
    <row r="156" ht="12.75">
      <c r="I156" s="100"/>
    </row>
    <row r="157" ht="12.75">
      <c r="I157" s="100"/>
    </row>
    <row r="158" ht="12.75">
      <c r="I158" s="100"/>
    </row>
    <row r="159" ht="12.75">
      <c r="I159" s="100"/>
    </row>
    <row r="160" ht="12.75">
      <c r="I160" s="100"/>
    </row>
    <row r="161" ht="12.75">
      <c r="I161" s="100"/>
    </row>
    <row r="162" ht="12.75">
      <c r="I162" s="100"/>
    </row>
    <row r="163" ht="12.75">
      <c r="I163" s="100"/>
    </row>
    <row r="164" ht="12.75">
      <c r="I164" s="100"/>
    </row>
    <row r="165" ht="12.75">
      <c r="I165" s="100"/>
    </row>
    <row r="166" ht="12.75">
      <c r="I166" s="100"/>
    </row>
    <row r="167" ht="12.75">
      <c r="I167" s="100"/>
    </row>
    <row r="168" ht="12.75">
      <c r="I168" s="100"/>
    </row>
    <row r="169" ht="12.75">
      <c r="I169" s="100"/>
    </row>
    <row r="170" ht="12.75">
      <c r="I170" s="100"/>
    </row>
    <row r="171" ht="12.75">
      <c r="I171" s="100"/>
    </row>
    <row r="172" ht="12.75">
      <c r="I172" s="100"/>
    </row>
    <row r="173" ht="12.75">
      <c r="I173" s="100"/>
    </row>
    <row r="174" ht="12.75">
      <c r="I174" s="100"/>
    </row>
    <row r="175" ht="12.75">
      <c r="I175" s="100"/>
    </row>
    <row r="176" ht="12.75">
      <c r="I176" s="100"/>
    </row>
    <row r="177" ht="12.75">
      <c r="I177" s="100"/>
    </row>
    <row r="178" ht="12.75">
      <c r="I178" s="100"/>
    </row>
    <row r="179" ht="12.75">
      <c r="I179" s="100"/>
    </row>
    <row r="180" ht="12.75">
      <c r="I180" s="100"/>
    </row>
    <row r="181" ht="12.75">
      <c r="I181" s="100"/>
    </row>
    <row r="182" ht="12.75">
      <c r="I182" s="100"/>
    </row>
    <row r="183" ht="12.75">
      <c r="I183" s="100"/>
    </row>
    <row r="184" ht="12.75">
      <c r="I184" s="100"/>
    </row>
    <row r="185" ht="12.75">
      <c r="I185" s="100"/>
    </row>
    <row r="186" ht="12.75">
      <c r="I186" s="100"/>
    </row>
    <row r="187" ht="12.75">
      <c r="I187" s="100"/>
    </row>
    <row r="188" ht="12.75">
      <c r="I188" s="100"/>
    </row>
    <row r="189" ht="12.75">
      <c r="I189" s="100"/>
    </row>
    <row r="190" ht="12.75">
      <c r="I190" s="100"/>
    </row>
    <row r="191" ht="12.75">
      <c r="I191" s="100"/>
    </row>
    <row r="192" ht="12.75">
      <c r="I192" s="100"/>
    </row>
    <row r="193" ht="12.75">
      <c r="I193" s="100"/>
    </row>
    <row r="194" ht="12.75">
      <c r="I194" s="100"/>
    </row>
    <row r="195" ht="12.75">
      <c r="I195" s="100"/>
    </row>
    <row r="196" ht="12.75">
      <c r="I196" s="100"/>
    </row>
    <row r="197" ht="12.75">
      <c r="I197" s="100"/>
    </row>
    <row r="198" ht="12.75">
      <c r="I198" s="100"/>
    </row>
    <row r="199" ht="12.75">
      <c r="I199" s="100"/>
    </row>
    <row r="200" ht="12.75">
      <c r="I200" s="100"/>
    </row>
    <row r="201" ht="12.75">
      <c r="I201" s="100"/>
    </row>
    <row r="202" ht="12.75">
      <c r="I202" s="100"/>
    </row>
    <row r="203" ht="12.75">
      <c r="I203" s="100"/>
    </row>
    <row r="204" ht="12.75">
      <c r="I204" s="100"/>
    </row>
    <row r="205" ht="12.75">
      <c r="I205" s="100"/>
    </row>
    <row r="206" ht="12.75">
      <c r="I206" s="100"/>
    </row>
    <row r="207" ht="12.75">
      <c r="I207" s="100"/>
    </row>
    <row r="208" ht="12.75">
      <c r="I208" s="100"/>
    </row>
    <row r="209" ht="12.75">
      <c r="I209" s="100"/>
    </row>
    <row r="210" ht="12.75">
      <c r="I210" s="100"/>
    </row>
    <row r="211" ht="12.75">
      <c r="I211" s="100"/>
    </row>
    <row r="212" ht="12.75">
      <c r="I212" s="100"/>
    </row>
    <row r="213" ht="12.75">
      <c r="I213" s="100"/>
    </row>
    <row r="214" ht="12.75">
      <c r="I214" s="100"/>
    </row>
    <row r="215" ht="12.75">
      <c r="I215" s="100"/>
    </row>
    <row r="216" ht="12.75">
      <c r="I216" s="100"/>
    </row>
    <row r="217" ht="12.75">
      <c r="I217" s="100"/>
    </row>
    <row r="218" ht="12.75">
      <c r="I218" s="100"/>
    </row>
    <row r="219" ht="12.75">
      <c r="I219" s="100"/>
    </row>
    <row r="220" ht="12.75">
      <c r="I220" s="100"/>
    </row>
    <row r="221" ht="12.75">
      <c r="I221" s="100"/>
    </row>
    <row r="222" ht="12.75">
      <c r="I222" s="100"/>
    </row>
    <row r="223" ht="12.75">
      <c r="I223" s="100"/>
    </row>
    <row r="224" ht="12.75">
      <c r="I224" s="100"/>
    </row>
    <row r="225" ht="12.75">
      <c r="I225" s="100"/>
    </row>
    <row r="226" ht="12.75">
      <c r="I226" s="100"/>
    </row>
    <row r="227" ht="12.75">
      <c r="I227" s="100"/>
    </row>
    <row r="228" ht="12.75">
      <c r="I228" s="100"/>
    </row>
    <row r="229" ht="12.75">
      <c r="I229" s="100"/>
    </row>
    <row r="230" ht="12.75">
      <c r="I230" s="100"/>
    </row>
    <row r="231" ht="12.75">
      <c r="I231" s="100"/>
    </row>
    <row r="232" ht="12.75">
      <c r="I232" s="100"/>
    </row>
    <row r="233" ht="12.75">
      <c r="I233" s="100"/>
    </row>
    <row r="234" ht="12.75">
      <c r="I234" s="100"/>
    </row>
    <row r="235" ht="12.75">
      <c r="I235" s="100"/>
    </row>
    <row r="236" ht="12.75">
      <c r="I236" s="100"/>
    </row>
    <row r="237" ht="12.75">
      <c r="I237" s="100"/>
    </row>
    <row r="238" ht="12.75">
      <c r="I238" s="100"/>
    </row>
    <row r="239" ht="12.75">
      <c r="I239" s="100"/>
    </row>
    <row r="240" ht="12.75">
      <c r="I240" s="100"/>
    </row>
    <row r="241" ht="12.75">
      <c r="I241" s="100"/>
    </row>
    <row r="242" ht="12.75">
      <c r="I242" s="100"/>
    </row>
    <row r="243" ht="12.75">
      <c r="I243" s="100"/>
    </row>
    <row r="244" ht="12.75">
      <c r="I244" s="100"/>
    </row>
    <row r="245" ht="12.75">
      <c r="I245" s="100"/>
    </row>
    <row r="246" ht="12.75">
      <c r="I246" s="100"/>
    </row>
    <row r="247" ht="12.75">
      <c r="I247" s="100"/>
    </row>
    <row r="248" ht="12.75">
      <c r="I248" s="100"/>
    </row>
    <row r="249" ht="12.75">
      <c r="I249" s="100"/>
    </row>
    <row r="250" ht="12.75">
      <c r="I250" s="100"/>
    </row>
    <row r="251" ht="12.75">
      <c r="I251" s="100"/>
    </row>
    <row r="252" ht="12.75">
      <c r="I252" s="100"/>
    </row>
    <row r="253" ht="12.75">
      <c r="I253" s="100"/>
    </row>
    <row r="254" ht="12.75">
      <c r="I254" s="100"/>
    </row>
    <row r="255" ht="12.75">
      <c r="I255" s="100"/>
    </row>
    <row r="256" ht="12.75">
      <c r="I256" s="100"/>
    </row>
    <row r="257" ht="12.75">
      <c r="I257" s="100"/>
    </row>
    <row r="258" ht="12.75">
      <c r="I258" s="100"/>
    </row>
    <row r="259" ht="12.75">
      <c r="I259" s="100"/>
    </row>
    <row r="260" ht="12.75">
      <c r="I260" s="100"/>
    </row>
    <row r="261" ht="12.75">
      <c r="I261" s="100"/>
    </row>
    <row r="262" ht="12.75">
      <c r="I262" s="100"/>
    </row>
    <row r="263" ht="12.75">
      <c r="I263" s="100"/>
    </row>
    <row r="264" ht="12.75">
      <c r="I264" s="100"/>
    </row>
    <row r="265" ht="12.75">
      <c r="I265" s="100"/>
    </row>
    <row r="266" ht="12.75">
      <c r="I266" s="100"/>
    </row>
    <row r="267" ht="12.75">
      <c r="I267" s="100"/>
    </row>
    <row r="268" ht="12.75">
      <c r="I268" s="100"/>
    </row>
    <row r="269" ht="12.75">
      <c r="I269" s="100"/>
    </row>
    <row r="270" ht="12.75">
      <c r="I270" s="100"/>
    </row>
    <row r="271" ht="12.75">
      <c r="I271" s="100"/>
    </row>
    <row r="272" ht="12.75">
      <c r="I272" s="100"/>
    </row>
    <row r="273" ht="12.75">
      <c r="I273" s="100"/>
    </row>
    <row r="274" ht="12.75">
      <c r="I274" s="100"/>
    </row>
    <row r="275" ht="12.75">
      <c r="I275" s="100"/>
    </row>
    <row r="276" ht="12.75">
      <c r="I276" s="100"/>
    </row>
    <row r="277" ht="12.75">
      <c r="I277" s="100"/>
    </row>
    <row r="278" ht="12.75">
      <c r="I278" s="100"/>
    </row>
    <row r="279" ht="12.75">
      <c r="I279" s="100"/>
    </row>
    <row r="280" ht="12.75">
      <c r="I280" s="100"/>
    </row>
    <row r="281" ht="12.75">
      <c r="I281" s="100"/>
    </row>
    <row r="282" ht="12.75">
      <c r="I282" s="100"/>
    </row>
    <row r="283" ht="12.75">
      <c r="I283" s="100"/>
    </row>
    <row r="284" ht="12.75">
      <c r="I284" s="100"/>
    </row>
    <row r="285" ht="12.75">
      <c r="I285" s="100"/>
    </row>
    <row r="286" ht="12.75">
      <c r="I286" s="100"/>
    </row>
    <row r="287" ht="12.75">
      <c r="I287" s="100"/>
    </row>
    <row r="288" ht="12.75">
      <c r="I288" s="100"/>
    </row>
    <row r="289" ht="12.75">
      <c r="I289" s="100"/>
    </row>
    <row r="290" ht="12.75">
      <c r="I290" s="100"/>
    </row>
    <row r="291" ht="12.75">
      <c r="I291" s="100"/>
    </row>
    <row r="292" ht="12.75">
      <c r="I292" s="100"/>
    </row>
    <row r="293" ht="12.75">
      <c r="I293" s="100"/>
    </row>
    <row r="294" ht="12.75">
      <c r="I294" s="100"/>
    </row>
    <row r="295" ht="12.75">
      <c r="I295" s="100"/>
    </row>
    <row r="296" ht="12.75">
      <c r="I296" s="100"/>
    </row>
    <row r="297" ht="12.75">
      <c r="I297" s="100"/>
    </row>
    <row r="298" ht="12.75">
      <c r="I298" s="100"/>
    </row>
    <row r="299" ht="12.75">
      <c r="I299" s="100"/>
    </row>
    <row r="300" ht="12.75">
      <c r="I300" s="100"/>
    </row>
    <row r="301" ht="12.75">
      <c r="I301" s="100"/>
    </row>
    <row r="302" ht="12.75">
      <c r="I302" s="100"/>
    </row>
    <row r="303" ht="12.75">
      <c r="I303" s="100"/>
    </row>
    <row r="304" ht="12.75">
      <c r="I304" s="100"/>
    </row>
    <row r="305" ht="12.75">
      <c r="I305" s="100"/>
    </row>
    <row r="306" ht="12.75">
      <c r="I306" s="100"/>
    </row>
    <row r="307" ht="12.75">
      <c r="I307" s="100"/>
    </row>
    <row r="308" ht="12.75">
      <c r="I308" s="100"/>
    </row>
    <row r="309" ht="12.75">
      <c r="I309" s="100"/>
    </row>
    <row r="310" ht="12.75">
      <c r="I310" s="100"/>
    </row>
    <row r="311" ht="12.75">
      <c r="I311" s="100"/>
    </row>
    <row r="312" ht="12.75">
      <c r="I312" s="100"/>
    </row>
    <row r="313" ht="12.75">
      <c r="I313" s="100"/>
    </row>
    <row r="314" ht="12.75">
      <c r="I314" s="100"/>
    </row>
    <row r="315" ht="12.75">
      <c r="I315" s="100"/>
    </row>
    <row r="316" ht="12.75">
      <c r="I316" s="100"/>
    </row>
    <row r="317" ht="12.75">
      <c r="I317" s="100"/>
    </row>
    <row r="318" ht="12.75">
      <c r="I318" s="100"/>
    </row>
    <row r="319" ht="12.75">
      <c r="I319" s="100"/>
    </row>
    <row r="320" ht="12.75">
      <c r="I320" s="100"/>
    </row>
    <row r="321" ht="12.75">
      <c r="I321" s="100"/>
    </row>
    <row r="322" ht="12.75">
      <c r="I322" s="100"/>
    </row>
    <row r="323" ht="12.75">
      <c r="I323" s="100"/>
    </row>
    <row r="324" ht="12.75">
      <c r="I324" s="100"/>
    </row>
    <row r="325" ht="12.75">
      <c r="I325" s="100"/>
    </row>
    <row r="326" ht="12.75">
      <c r="I326" s="100"/>
    </row>
    <row r="327" ht="12.75">
      <c r="I327" s="100"/>
    </row>
    <row r="328" ht="12.75">
      <c r="I328" s="100"/>
    </row>
    <row r="329" ht="12.75">
      <c r="I329" s="100"/>
    </row>
    <row r="330" ht="12.75">
      <c r="I330" s="100"/>
    </row>
    <row r="331" ht="12.75">
      <c r="I331" s="100"/>
    </row>
    <row r="332" ht="12.75">
      <c r="I332" s="100"/>
    </row>
  </sheetData>
  <mergeCells count="6">
    <mergeCell ref="M22:R23"/>
    <mergeCell ref="M19:R19"/>
    <mergeCell ref="M20:R20"/>
    <mergeCell ref="K2:L2"/>
    <mergeCell ref="D1:I1"/>
    <mergeCell ref="C14:D14"/>
  </mergeCells>
  <pageMargins left="0.708661417322835" right="0.708661417322835" top="0.748031496062992" bottom="0.748031496062992" header="0.31496062992126" footer="0.31496062992126"/>
  <pageSetup orientation="portrait" r:id="rId1"/>
  <ignoredErrors>
    <ignoredError sqref="N2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>
      <selection pane="topLeft" activeCell="A1" sqref="A1"/>
    </sheetView>
  </sheetViews>
  <sheetFormatPr defaultColWidth="9.14285714285714" defaultRowHeight="12.75"/>
  <sheetData/>
  <pageMargins left="0.7" right="0.7" top="0.75" bottom="0.75" header="0.3" footer="0.3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95"/>
  <sheetViews>
    <sheetView workbookViewId="0" topLeftCell="A1"/>
  </sheetViews>
  <sheetFormatPr defaultColWidth="9.14285714285714" defaultRowHeight="12.75"/>
  <cols>
    <col min="7" max="7" width="6.71428571428571" bestFit="1" customWidth="1"/>
  </cols>
  <sheetData>
    <row r="1" spans="1:19" ht="12.75">
      <c r="A1" s="148" t="s">
        <v>95</v>
      </c>
      <c r="B1" s="148" t="s">
        <v>132</v>
      </c>
      <c r="C1" s="148" t="s">
        <v>133</v>
      </c>
      <c r="G1" s="21" t="s">
        <v>140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2.75">
      <c r="A2" s="149">
        <v>33970</v>
      </c>
      <c r="B2" s="150">
        <v>635.10</v>
      </c>
      <c r="C2" s="150">
        <v>0</v>
      </c>
      <c r="G2" s="158" t="s">
        <v>115</v>
      </c>
      <c r="H2" s="158" t="s">
        <v>98</v>
      </c>
      <c r="I2" s="158" t="s">
        <v>100</v>
      </c>
      <c r="J2" s="158" t="s">
        <v>101</v>
      </c>
      <c r="K2" s="158" t="s">
        <v>102</v>
      </c>
      <c r="L2" s="158" t="s">
        <v>103</v>
      </c>
      <c r="M2" s="158" t="s">
        <v>104</v>
      </c>
      <c r="N2" s="158" t="s">
        <v>105</v>
      </c>
      <c r="O2" s="158" t="s">
        <v>106</v>
      </c>
      <c r="P2" s="158" t="s">
        <v>107</v>
      </c>
      <c r="Q2" s="158" t="s">
        <v>108</v>
      </c>
      <c r="R2" s="158" t="s">
        <v>109</v>
      </c>
      <c r="S2" s="158" t="s">
        <v>110</v>
      </c>
    </row>
    <row r="3" spans="1:19" ht="12.75">
      <c r="A3" s="149">
        <v>34001</v>
      </c>
      <c r="B3" s="150">
        <v>686.80</v>
      </c>
      <c r="C3" s="150">
        <v>0</v>
      </c>
      <c r="G3">
        <v>1993</v>
      </c>
      <c r="H3" s="156">
        <v>635.10</v>
      </c>
      <c r="I3" s="156">
        <v>686.80</v>
      </c>
      <c r="J3" s="156">
        <v>530.10</v>
      </c>
      <c r="K3" s="156">
        <v>280.30</v>
      </c>
      <c r="L3" s="156">
        <v>182</v>
      </c>
      <c r="M3" s="156">
        <v>46.50</v>
      </c>
      <c r="N3" s="156">
        <v>0.60</v>
      </c>
      <c r="O3" s="156">
        <v>9.6999999999999993</v>
      </c>
      <c r="P3" s="156">
        <v>77.20</v>
      </c>
      <c r="Q3" s="156">
        <v>200.80</v>
      </c>
      <c r="R3" s="156">
        <v>312.50</v>
      </c>
      <c r="S3" s="156">
        <v>503.50</v>
      </c>
    </row>
    <row r="4" spans="1:19" ht="12.75">
      <c r="A4" s="149">
        <v>34029</v>
      </c>
      <c r="B4" s="150">
        <v>530.10</v>
      </c>
      <c r="C4" s="150">
        <v>0</v>
      </c>
      <c r="G4">
        <v>1994</v>
      </c>
      <c r="H4" s="156">
        <v>941.40</v>
      </c>
      <c r="I4" s="156">
        <v>737.50</v>
      </c>
      <c r="J4" s="156">
        <v>581.50</v>
      </c>
      <c r="K4" s="156">
        <v>320.20</v>
      </c>
      <c r="L4" s="156">
        <v>199.70</v>
      </c>
      <c r="M4" s="156">
        <v>35.60</v>
      </c>
      <c r="N4" s="156">
        <v>2.40</v>
      </c>
      <c r="O4" s="156">
        <v>24.50</v>
      </c>
      <c r="P4" s="156">
        <v>76.20</v>
      </c>
      <c r="Q4" s="156">
        <v>249.30</v>
      </c>
      <c r="R4" s="156">
        <v>379</v>
      </c>
      <c r="S4" s="156">
        <v>562.50</v>
      </c>
    </row>
    <row r="5" spans="1:19" ht="12.75">
      <c r="A5" s="149">
        <v>34060</v>
      </c>
      <c r="B5" s="150">
        <v>280.30</v>
      </c>
      <c r="C5" s="150">
        <v>0</v>
      </c>
      <c r="G5">
        <v>1995</v>
      </c>
      <c r="H5" s="156">
        <v>611.70000000000005</v>
      </c>
      <c r="I5" s="156">
        <v>662.30</v>
      </c>
      <c r="J5" s="156">
        <v>472.10</v>
      </c>
      <c r="K5" s="156">
        <v>392.60</v>
      </c>
      <c r="L5" s="156">
        <v>140.69999999999999</v>
      </c>
      <c r="M5" s="156">
        <v>18.60</v>
      </c>
      <c r="N5" s="156">
        <v>8.90</v>
      </c>
      <c r="O5" s="156">
        <v>2.50</v>
      </c>
      <c r="P5" s="156">
        <v>96.10</v>
      </c>
      <c r="Q5" s="156">
        <v>213.60</v>
      </c>
      <c r="R5" s="156">
        <v>475.90</v>
      </c>
      <c r="S5" s="156">
        <v>668.90</v>
      </c>
    </row>
    <row r="6" spans="1:19" ht="12.75">
      <c r="A6" s="149">
        <v>34090</v>
      </c>
      <c r="B6" s="150">
        <v>182</v>
      </c>
      <c r="C6" s="150">
        <v>4.30</v>
      </c>
      <c r="G6">
        <v>1996</v>
      </c>
      <c r="H6" s="156">
        <v>765.20</v>
      </c>
      <c r="I6" s="156">
        <v>689.80</v>
      </c>
      <c r="J6" s="156">
        <v>645.60</v>
      </c>
      <c r="K6" s="156">
        <v>408.20</v>
      </c>
      <c r="L6" s="156">
        <v>205.90</v>
      </c>
      <c r="M6" s="156">
        <v>20.90</v>
      </c>
      <c r="N6" s="156">
        <v>10.30</v>
      </c>
      <c r="O6" s="156">
        <v>2.50</v>
      </c>
      <c r="P6" s="156">
        <v>71.599999999999994</v>
      </c>
      <c r="Q6" s="156">
        <v>273.10000000000002</v>
      </c>
      <c r="R6" s="156">
        <v>512.10</v>
      </c>
      <c r="S6" s="156">
        <v>571.60</v>
      </c>
    </row>
    <row r="7" spans="1:19" ht="12.75">
      <c r="A7" s="149">
        <v>34121</v>
      </c>
      <c r="B7" s="150">
        <v>46.50</v>
      </c>
      <c r="C7" s="150">
        <v>17.90</v>
      </c>
      <c r="G7">
        <v>1997</v>
      </c>
      <c r="H7" s="156">
        <v>756.60</v>
      </c>
      <c r="I7" s="156">
        <v>593</v>
      </c>
      <c r="J7" s="156">
        <v>600</v>
      </c>
      <c r="K7" s="156">
        <v>366.80</v>
      </c>
      <c r="L7" s="156">
        <v>260.80</v>
      </c>
      <c r="M7" s="156">
        <v>20.60</v>
      </c>
      <c r="N7" s="156">
        <v>12.40</v>
      </c>
      <c r="O7" s="156">
        <v>17</v>
      </c>
      <c r="P7" s="156">
        <v>87.10</v>
      </c>
      <c r="Q7" s="156">
        <v>266.89999999999998</v>
      </c>
      <c r="R7" s="156">
        <v>466.50</v>
      </c>
      <c r="S7" s="156">
        <v>586.20000000000005</v>
      </c>
    </row>
    <row r="8" spans="1:19" ht="12.75">
      <c r="A8" s="149">
        <v>34151</v>
      </c>
      <c r="B8" s="150">
        <v>0.60</v>
      </c>
      <c r="C8" s="150">
        <v>107.80</v>
      </c>
      <c r="G8">
        <v>1998</v>
      </c>
      <c r="H8" s="156">
        <v>624.79999999999995</v>
      </c>
      <c r="I8" s="156">
        <v>512.20000000000005</v>
      </c>
      <c r="J8" s="156">
        <v>492.30</v>
      </c>
      <c r="K8" s="156">
        <v>282</v>
      </c>
      <c r="L8" s="156">
        <v>59.10</v>
      </c>
      <c r="M8" s="156">
        <v>54.70</v>
      </c>
      <c r="N8" s="156">
        <v>1</v>
      </c>
      <c r="O8" s="156">
        <v>3.40</v>
      </c>
      <c r="P8" s="156">
        <v>39.700000000000003</v>
      </c>
      <c r="Q8" s="156">
        <v>223.40</v>
      </c>
      <c r="R8" s="156">
        <v>392.60</v>
      </c>
      <c r="S8" s="156">
        <v>535.10</v>
      </c>
    </row>
    <row r="9" spans="1:19" ht="12.75">
      <c r="A9" s="149">
        <v>34182</v>
      </c>
      <c r="B9" s="150">
        <v>9.6999999999999993</v>
      </c>
      <c r="C9" s="150">
        <v>103.50</v>
      </c>
      <c r="G9">
        <v>1999</v>
      </c>
      <c r="H9" s="156">
        <v>749.80</v>
      </c>
      <c r="I9" s="156">
        <v>548.10</v>
      </c>
      <c r="J9" s="156">
        <v>550.60</v>
      </c>
      <c r="K9" s="156">
        <v>296.70</v>
      </c>
      <c r="L9" s="156">
        <v>97.10</v>
      </c>
      <c r="M9" s="156">
        <v>25</v>
      </c>
      <c r="N9" s="156">
        <v>0</v>
      </c>
      <c r="O9" s="156">
        <v>8.40</v>
      </c>
      <c r="P9" s="156">
        <v>49.30</v>
      </c>
      <c r="Q9" s="156">
        <v>267.60000000000002</v>
      </c>
      <c r="R9" s="156">
        <v>367.50</v>
      </c>
      <c r="S9" s="156">
        <v>579.29999999999995</v>
      </c>
    </row>
    <row r="10" spans="1:19" ht="12.75">
      <c r="A10" s="149">
        <v>34213</v>
      </c>
      <c r="B10" s="150">
        <v>77.20</v>
      </c>
      <c r="C10" s="150">
        <v>15.70</v>
      </c>
      <c r="G10">
        <v>2000</v>
      </c>
      <c r="H10" s="156">
        <v>738.90</v>
      </c>
      <c r="I10" s="156">
        <v>612.70000000000005</v>
      </c>
      <c r="J10" s="156">
        <v>418.60</v>
      </c>
      <c r="K10" s="156">
        <v>339.20</v>
      </c>
      <c r="L10" s="156">
        <v>139.60</v>
      </c>
      <c r="M10" s="156">
        <v>34.50</v>
      </c>
      <c r="N10" s="156">
        <v>6.60</v>
      </c>
      <c r="O10" s="156">
        <v>11.50</v>
      </c>
      <c r="P10" s="156">
        <v>99.50</v>
      </c>
      <c r="Q10" s="156">
        <v>212.70</v>
      </c>
      <c r="R10" s="156">
        <v>432</v>
      </c>
      <c r="S10" s="156">
        <v>780.30</v>
      </c>
    </row>
    <row r="11" spans="1:19" ht="12.75">
      <c r="A11" s="149">
        <v>34243</v>
      </c>
      <c r="B11" s="150">
        <v>200.80</v>
      </c>
      <c r="C11" s="150">
        <v>2.50</v>
      </c>
      <c r="G11">
        <v>2001</v>
      </c>
      <c r="H11" s="156">
        <v>684.90</v>
      </c>
      <c r="I11" s="156">
        <v>587.60</v>
      </c>
      <c r="J11" s="156">
        <v>566.60</v>
      </c>
      <c r="K11" s="156">
        <v>293.80</v>
      </c>
      <c r="L11" s="156">
        <v>111.50</v>
      </c>
      <c r="M11" s="156">
        <v>29.80</v>
      </c>
      <c r="N11" s="156">
        <v>9.3000000000000007</v>
      </c>
      <c r="O11" s="156">
        <v>0</v>
      </c>
      <c r="P11" s="156">
        <v>73.599999999999994</v>
      </c>
      <c r="Q11" s="156">
        <v>232.50</v>
      </c>
      <c r="R11" s="156">
        <v>325.80</v>
      </c>
      <c r="S11" s="156">
        <v>505</v>
      </c>
    </row>
    <row r="12" spans="1:24" ht="14.25" customHeight="1">
      <c r="A12" s="149">
        <v>34274</v>
      </c>
      <c r="B12" s="150">
        <v>312.50</v>
      </c>
      <c r="C12" s="150">
        <v>0</v>
      </c>
      <c r="G12">
        <v>2002</v>
      </c>
      <c r="H12" s="156">
        <v>572.20000000000005</v>
      </c>
      <c r="I12" s="156">
        <v>540.20000000000005</v>
      </c>
      <c r="J12" s="156">
        <v>545.60</v>
      </c>
      <c r="K12" s="156">
        <v>329.50</v>
      </c>
      <c r="L12" s="156">
        <v>227.50</v>
      </c>
      <c r="M12" s="156">
        <v>36.200000000000003</v>
      </c>
      <c r="N12" s="156">
        <v>0</v>
      </c>
      <c r="O12" s="156">
        <v>0.20</v>
      </c>
      <c r="P12" s="156">
        <v>21.80</v>
      </c>
      <c r="Q12" s="156">
        <v>292.20</v>
      </c>
      <c r="R12" s="156">
        <v>445</v>
      </c>
      <c r="S12" s="156">
        <v>619.40</v>
      </c>
      <c r="X12" s="155"/>
    </row>
    <row r="13" spans="1:19" ht="12.75">
      <c r="A13" s="149">
        <v>34304</v>
      </c>
      <c r="B13" s="150">
        <v>503.50</v>
      </c>
      <c r="C13" s="150">
        <v>0</v>
      </c>
      <c r="G13">
        <v>2003</v>
      </c>
      <c r="H13" s="156">
        <v>814.50</v>
      </c>
      <c r="I13" s="156">
        <v>699</v>
      </c>
      <c r="J13" s="156">
        <v>581.10</v>
      </c>
      <c r="K13" s="156">
        <v>372.50</v>
      </c>
      <c r="L13" s="156">
        <v>177.90</v>
      </c>
      <c r="M13" s="156">
        <v>43.40</v>
      </c>
      <c r="N13" s="156">
        <v>0.20</v>
      </c>
      <c r="O13" s="156">
        <v>2</v>
      </c>
      <c r="P13" s="156">
        <v>54.90</v>
      </c>
      <c r="Q13" s="156">
        <v>276</v>
      </c>
      <c r="R13" s="156">
        <v>398.50</v>
      </c>
      <c r="S13" s="156">
        <v>561.50</v>
      </c>
    </row>
    <row r="14" spans="1:19" ht="12.75">
      <c r="A14" s="149">
        <v>34335</v>
      </c>
      <c r="B14" s="150">
        <v>941.40</v>
      </c>
      <c r="C14" s="150">
        <v>0</v>
      </c>
      <c r="G14">
        <v>2004</v>
      </c>
      <c r="H14" s="156">
        <v>849.10</v>
      </c>
      <c r="I14" s="156">
        <v>631.70000000000005</v>
      </c>
      <c r="J14" s="156">
        <v>487.30</v>
      </c>
      <c r="K14" s="156">
        <v>331.50</v>
      </c>
      <c r="L14" s="156">
        <v>158.90</v>
      </c>
      <c r="M14" s="156">
        <v>44.20</v>
      </c>
      <c r="N14" s="156">
        <v>3.60</v>
      </c>
      <c r="O14" s="156">
        <v>12.80</v>
      </c>
      <c r="P14" s="156">
        <v>30</v>
      </c>
      <c r="Q14" s="156">
        <v>226.30</v>
      </c>
      <c r="R14" s="156">
        <v>379.10</v>
      </c>
      <c r="S14" s="156">
        <v>643.40</v>
      </c>
    </row>
    <row r="15" spans="1:19" ht="12.75">
      <c r="A15" s="149">
        <v>34366</v>
      </c>
      <c r="B15" s="150">
        <v>737.50</v>
      </c>
      <c r="C15" s="150">
        <v>0</v>
      </c>
      <c r="G15">
        <v>2005</v>
      </c>
      <c r="H15" s="156">
        <v>770</v>
      </c>
      <c r="I15" s="156">
        <v>616.40</v>
      </c>
      <c r="J15" s="156">
        <v>608.60</v>
      </c>
      <c r="K15" s="156">
        <v>306.80</v>
      </c>
      <c r="L15" s="156">
        <v>189.40</v>
      </c>
      <c r="M15" s="156">
        <v>8.90</v>
      </c>
      <c r="N15" s="156">
        <v>0</v>
      </c>
      <c r="O15" s="156">
        <v>0.20</v>
      </c>
      <c r="P15" s="156">
        <v>22.60</v>
      </c>
      <c r="Q15" s="156">
        <v>220.20</v>
      </c>
      <c r="R15" s="156">
        <v>388.40</v>
      </c>
      <c r="S15" s="156">
        <v>665.30</v>
      </c>
    </row>
    <row r="16" spans="1:19" ht="12.75">
      <c r="A16" s="149">
        <v>34394</v>
      </c>
      <c r="B16" s="150">
        <v>581.50</v>
      </c>
      <c r="C16" s="150">
        <v>0</v>
      </c>
      <c r="G16">
        <v>2006</v>
      </c>
      <c r="H16" s="156">
        <v>551.79999999999995</v>
      </c>
      <c r="I16" s="156">
        <v>604.29999999999995</v>
      </c>
      <c r="J16" s="156">
        <v>516.60</v>
      </c>
      <c r="K16" s="156">
        <v>293.30</v>
      </c>
      <c r="L16" s="156">
        <v>136.90</v>
      </c>
      <c r="M16" s="156">
        <v>19.50</v>
      </c>
      <c r="N16" s="156">
        <v>0</v>
      </c>
      <c r="O16" s="156">
        <v>4.20</v>
      </c>
      <c r="P16" s="156">
        <v>80.900000000000006</v>
      </c>
      <c r="Q16" s="156">
        <v>288.30</v>
      </c>
      <c r="R16" s="156">
        <v>382.20</v>
      </c>
      <c r="S16" s="156">
        <v>500.50</v>
      </c>
    </row>
    <row r="17" spans="1:19" ht="12.75">
      <c r="A17" s="149">
        <v>34425</v>
      </c>
      <c r="B17" s="150">
        <v>320.20</v>
      </c>
      <c r="C17" s="150">
        <v>0.50</v>
      </c>
      <c r="G17">
        <v>2007</v>
      </c>
      <c r="H17" s="156">
        <v>647.10</v>
      </c>
      <c r="I17" s="156">
        <v>740.10</v>
      </c>
      <c r="J17" s="156">
        <v>546.70000000000005</v>
      </c>
      <c r="K17" s="156">
        <v>356.40</v>
      </c>
      <c r="L17" s="156">
        <v>136.40</v>
      </c>
      <c r="M17" s="156">
        <v>16.50</v>
      </c>
      <c r="N17" s="156">
        <v>3.20</v>
      </c>
      <c r="O17" s="156">
        <v>5.20</v>
      </c>
      <c r="P17" s="156">
        <v>36.90</v>
      </c>
      <c r="Q17" s="156">
        <v>137.69999999999999</v>
      </c>
      <c r="R17" s="156">
        <v>462.50</v>
      </c>
      <c r="S17" s="156">
        <v>630.70000000000005</v>
      </c>
    </row>
    <row r="18" spans="1:19" ht="12.75">
      <c r="A18" s="149">
        <v>34455</v>
      </c>
      <c r="B18" s="150">
        <v>199.70</v>
      </c>
      <c r="C18" s="150">
        <v>8.1999999999999993</v>
      </c>
      <c r="G18">
        <v>2008</v>
      </c>
      <c r="H18" s="156">
        <v>623.50</v>
      </c>
      <c r="I18" s="156">
        <v>674.70</v>
      </c>
      <c r="J18" s="156">
        <v>610.20000000000005</v>
      </c>
      <c r="K18" s="156">
        <v>253.90</v>
      </c>
      <c r="L18" s="156">
        <v>193.50</v>
      </c>
      <c r="M18" s="156">
        <v>22.70</v>
      </c>
      <c r="N18" s="156">
        <v>1</v>
      </c>
      <c r="O18" s="156">
        <v>12.70</v>
      </c>
      <c r="P18" s="156">
        <v>59.50</v>
      </c>
      <c r="Q18" s="156">
        <v>278.60000000000002</v>
      </c>
      <c r="R18" s="156">
        <v>451.60</v>
      </c>
      <c r="S18" s="156">
        <v>654.60</v>
      </c>
    </row>
    <row r="19" spans="1:19" ht="12.75">
      <c r="A19" s="149">
        <v>34486</v>
      </c>
      <c r="B19" s="150">
        <v>35.60</v>
      </c>
      <c r="C19" s="150">
        <v>67.70</v>
      </c>
      <c r="G19">
        <v>2009</v>
      </c>
      <c r="H19" s="156">
        <v>830.20</v>
      </c>
      <c r="I19" s="156">
        <v>606.40</v>
      </c>
      <c r="J19" s="156">
        <v>533.79999999999995</v>
      </c>
      <c r="K19" s="156">
        <v>305.80</v>
      </c>
      <c r="L19" s="156">
        <v>158.80000000000001</v>
      </c>
      <c r="M19" s="156">
        <v>49.30</v>
      </c>
      <c r="N19" s="156">
        <v>6.20</v>
      </c>
      <c r="O19" s="156">
        <v>9.8000000000000007</v>
      </c>
      <c r="P19" s="156">
        <v>55.20</v>
      </c>
      <c r="Q19" s="156">
        <v>287.80</v>
      </c>
      <c r="R19" s="156">
        <v>361.20</v>
      </c>
      <c r="S19" s="156">
        <v>631.29999999999995</v>
      </c>
    </row>
    <row r="20" spans="1:19" ht="12.75">
      <c r="A20" s="149">
        <v>34516</v>
      </c>
      <c r="B20" s="150">
        <v>2.40</v>
      </c>
      <c r="C20" s="150">
        <v>111.20</v>
      </c>
      <c r="G20">
        <v>2010</v>
      </c>
      <c r="H20" s="156">
        <v>720</v>
      </c>
      <c r="I20" s="156">
        <v>598.29999999999995</v>
      </c>
      <c r="J20" s="156">
        <v>422.80</v>
      </c>
      <c r="K20" s="156">
        <v>225.10</v>
      </c>
      <c r="L20" s="156">
        <v>107.90</v>
      </c>
      <c r="M20" s="156">
        <v>21.70</v>
      </c>
      <c r="N20" s="156">
        <v>1.80</v>
      </c>
      <c r="O20" s="156">
        <v>2.10</v>
      </c>
      <c r="P20" s="156">
        <v>78.099999999999994</v>
      </c>
      <c r="Q20" s="156">
        <v>24.56</v>
      </c>
      <c r="R20" s="156">
        <v>405.30</v>
      </c>
      <c r="S20" s="156">
        <v>676.20</v>
      </c>
    </row>
    <row r="21" spans="1:19" ht="12.75">
      <c r="A21" s="149">
        <v>34547</v>
      </c>
      <c r="B21" s="150">
        <v>24.50</v>
      </c>
      <c r="C21" s="150">
        <v>46.40</v>
      </c>
      <c r="G21">
        <v>2011</v>
      </c>
      <c r="H21" s="156">
        <v>775.30</v>
      </c>
      <c r="I21" s="156">
        <v>654.20000000000005</v>
      </c>
      <c r="J21" s="156">
        <v>572.79999999999995</v>
      </c>
      <c r="K21" s="156">
        <v>332.30</v>
      </c>
      <c r="L21" s="156">
        <v>134.10</v>
      </c>
      <c r="M21" s="156">
        <v>19</v>
      </c>
      <c r="N21" s="156">
        <v>0</v>
      </c>
      <c r="O21" s="156">
        <v>0</v>
      </c>
      <c r="P21" s="156">
        <v>48.20</v>
      </c>
      <c r="Q21" s="156">
        <v>235.50</v>
      </c>
      <c r="R21" s="156">
        <v>341.90</v>
      </c>
      <c r="S21" s="156">
        <v>534</v>
      </c>
    </row>
    <row r="22" spans="1:19" ht="12.75">
      <c r="A22" s="149">
        <v>34578</v>
      </c>
      <c r="B22" s="150">
        <v>76.20</v>
      </c>
      <c r="C22" s="150">
        <v>13.70</v>
      </c>
      <c r="G22">
        <v>2012</v>
      </c>
      <c r="H22" s="156">
        <v>611.10</v>
      </c>
      <c r="I22" s="156">
        <v>531.70000000000005</v>
      </c>
      <c r="J22" s="156">
        <v>349.40</v>
      </c>
      <c r="K22" s="156">
        <v>321.70</v>
      </c>
      <c r="L22" s="156">
        <v>80.70</v>
      </c>
      <c r="M22" s="156">
        <v>23.20</v>
      </c>
      <c r="N22" s="156">
        <v>0</v>
      </c>
      <c r="O22" s="156">
        <v>2</v>
      </c>
      <c r="P22" s="156">
        <v>85</v>
      </c>
      <c r="Q22" s="156">
        <v>242.50</v>
      </c>
      <c r="R22" s="156">
        <v>434</v>
      </c>
      <c r="S22" s="156">
        <v>533.50</v>
      </c>
    </row>
    <row r="23" spans="1:19" ht="12.75">
      <c r="A23" s="149">
        <v>34608</v>
      </c>
      <c r="B23" s="150">
        <v>249.30</v>
      </c>
      <c r="C23" s="150">
        <v>0</v>
      </c>
      <c r="G23">
        <v>2013</v>
      </c>
      <c r="H23" s="156">
        <v>624.40</v>
      </c>
      <c r="I23" s="156">
        <v>631.50</v>
      </c>
      <c r="J23" s="156">
        <v>554.79999999999995</v>
      </c>
      <c r="K23" s="156">
        <v>358.60</v>
      </c>
      <c r="L23" s="156">
        <v>109.10</v>
      </c>
      <c r="M23" s="156">
        <v>33</v>
      </c>
      <c r="N23" s="156">
        <v>1.30</v>
      </c>
      <c r="O23" s="156">
        <v>4.4000000000000004</v>
      </c>
      <c r="P23" s="156">
        <v>83</v>
      </c>
      <c r="Q23" s="156">
        <v>208.50</v>
      </c>
      <c r="R23" s="156">
        <v>478.20</v>
      </c>
      <c r="S23" s="156">
        <v>687.90</v>
      </c>
    </row>
    <row r="24" spans="1:20" ht="12.75">
      <c r="A24" s="149">
        <v>34639</v>
      </c>
      <c r="B24" s="150">
        <v>379</v>
      </c>
      <c r="C24" s="150">
        <v>0</v>
      </c>
      <c r="G24">
        <v>2014</v>
      </c>
      <c r="H24" s="156">
        <v>825.90</v>
      </c>
      <c r="I24" s="156">
        <v>737.10</v>
      </c>
      <c r="J24" s="156">
        <v>690.60</v>
      </c>
      <c r="K24" s="156">
        <v>356.90</v>
      </c>
      <c r="L24" s="156">
        <v>132.10</v>
      </c>
      <c r="M24" s="156">
        <v>14.10</v>
      </c>
      <c r="N24" s="156">
        <v>4</v>
      </c>
      <c r="O24" s="156">
        <v>8.8000000000000007</v>
      </c>
      <c r="P24" s="156">
        <v>69.70</v>
      </c>
      <c r="Q24" s="156">
        <v>224.30</v>
      </c>
      <c r="R24" s="156">
        <v>482.10</v>
      </c>
      <c r="S24" s="156">
        <v>557.29999999999995</v>
      </c>
      <c r="T24" s="157">
        <f>SUM(H3:S24)-B266</f>
        <v>0</v>
      </c>
    </row>
    <row r="25" spans="1:19" ht="12.75">
      <c r="A25" s="149">
        <v>34669</v>
      </c>
      <c r="B25" s="150">
        <v>562.50</v>
      </c>
      <c r="C25" s="150">
        <v>0</v>
      </c>
      <c r="G25" s="158" t="s">
        <v>139</v>
      </c>
      <c r="H25" s="159">
        <f>TREND(H3:H24,$G$3:$G$24,2016)</f>
        <v>701.2368718238281</v>
      </c>
      <c r="I25" s="159">
        <f t="shared" si="0" ref="I25:S25">TREND(I3:I24,$G$3:$G$24,2016)</f>
        <v>629.28334274421229</v>
      </c>
      <c r="J25" s="159">
        <f t="shared" si="0"/>
        <v>533.65957086391859</v>
      </c>
      <c r="K25" s="159">
        <f t="shared" si="0"/>
        <v>309.97250141163158</v>
      </c>
      <c r="L25" s="159">
        <f t="shared" si="0"/>
        <v>117.08514963297603</v>
      </c>
      <c r="M25" s="159">
        <f t="shared" si="0"/>
        <v>21.90553359683804</v>
      </c>
      <c r="N25" s="159">
        <f t="shared" si="0"/>
        <v>0.52958780350081724</v>
      </c>
      <c r="O25" s="159">
        <f t="shared" si="0"/>
        <v>2.7033879164314385</v>
      </c>
      <c r="P25" s="159">
        <f t="shared" si="0"/>
        <v>57.481535855448897</v>
      </c>
      <c r="Q25" s="159">
        <f t="shared" si="0"/>
        <v>208.36588368153616</v>
      </c>
      <c r="R25" s="159">
        <f t="shared" si="0"/>
        <v>427.29542631281788</v>
      </c>
      <c r="S25" s="159">
        <f t="shared" si="0"/>
        <v>618.52851496329777</v>
      </c>
    </row>
    <row r="26" spans="1:3" ht="12.75">
      <c r="A26" s="149">
        <v>34700</v>
      </c>
      <c r="B26" s="150">
        <v>611.70000000000005</v>
      </c>
      <c r="C26" s="150">
        <v>0</v>
      </c>
    </row>
    <row r="27" spans="1:19" ht="12.75">
      <c r="A27" s="149">
        <v>34731</v>
      </c>
      <c r="B27" s="150">
        <v>662.30</v>
      </c>
      <c r="C27" s="150">
        <v>0</v>
      </c>
      <c r="G27" s="21" t="s">
        <v>141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</row>
    <row r="28" spans="1:19" ht="12.75">
      <c r="A28" s="149">
        <v>34759</v>
      </c>
      <c r="B28" s="150">
        <v>472.10</v>
      </c>
      <c r="C28" s="150">
        <v>0</v>
      </c>
      <c r="G28" s="158" t="s">
        <v>115</v>
      </c>
      <c r="H28" s="158" t="s">
        <v>98</v>
      </c>
      <c r="I28" s="158" t="s">
        <v>100</v>
      </c>
      <c r="J28" s="158" t="s">
        <v>101</v>
      </c>
      <c r="K28" s="158" t="s">
        <v>102</v>
      </c>
      <c r="L28" s="158" t="s">
        <v>103</v>
      </c>
      <c r="M28" s="158" t="s">
        <v>104</v>
      </c>
      <c r="N28" s="158" t="s">
        <v>105</v>
      </c>
      <c r="O28" s="158" t="s">
        <v>106</v>
      </c>
      <c r="P28" s="158" t="s">
        <v>107</v>
      </c>
      <c r="Q28" s="158" t="s">
        <v>108</v>
      </c>
      <c r="R28" s="158" t="s">
        <v>109</v>
      </c>
      <c r="S28" s="158" t="s">
        <v>110</v>
      </c>
    </row>
    <row r="29" spans="1:19" ht="12.75">
      <c r="A29" s="149">
        <v>34790</v>
      </c>
      <c r="B29" s="150">
        <v>392.60</v>
      </c>
      <c r="C29" s="150">
        <v>0</v>
      </c>
      <c r="G29">
        <v>1993</v>
      </c>
      <c r="H29" s="150">
        <v>0</v>
      </c>
      <c r="I29" s="150">
        <v>0</v>
      </c>
      <c r="J29" s="150">
        <v>0</v>
      </c>
      <c r="K29" s="150">
        <v>0</v>
      </c>
      <c r="L29" s="150">
        <v>4.30</v>
      </c>
      <c r="M29" s="150">
        <v>17.90</v>
      </c>
      <c r="N29" s="150">
        <v>107.80</v>
      </c>
      <c r="O29" s="150">
        <v>103.50</v>
      </c>
      <c r="P29" s="150">
        <v>15.70</v>
      </c>
      <c r="Q29" s="150">
        <v>2.50</v>
      </c>
      <c r="R29" s="150">
        <v>0</v>
      </c>
      <c r="S29" s="150">
        <v>0</v>
      </c>
    </row>
    <row r="30" spans="1:19" ht="12.75">
      <c r="A30" s="149">
        <v>34820</v>
      </c>
      <c r="B30" s="150">
        <v>140.69999999999999</v>
      </c>
      <c r="C30" s="150">
        <v>4.50</v>
      </c>
      <c r="G30">
        <v>1994</v>
      </c>
      <c r="H30" s="150">
        <v>0</v>
      </c>
      <c r="I30" s="150">
        <v>0</v>
      </c>
      <c r="J30" s="150">
        <v>0</v>
      </c>
      <c r="K30" s="150">
        <v>0.50</v>
      </c>
      <c r="L30" s="150">
        <v>8.1999999999999993</v>
      </c>
      <c r="M30" s="150">
        <v>67.70</v>
      </c>
      <c r="N30" s="150">
        <v>111.20</v>
      </c>
      <c r="O30" s="150">
        <v>46.40</v>
      </c>
      <c r="P30" s="150">
        <v>13.70</v>
      </c>
      <c r="Q30" s="150">
        <v>0</v>
      </c>
      <c r="R30" s="150">
        <v>0</v>
      </c>
      <c r="S30" s="150">
        <v>0</v>
      </c>
    </row>
    <row r="31" spans="1:19" ht="12.75">
      <c r="A31" s="149">
        <v>34851</v>
      </c>
      <c r="B31" s="150">
        <v>18.60</v>
      </c>
      <c r="C31" s="150">
        <v>71.80</v>
      </c>
      <c r="G31">
        <v>1995</v>
      </c>
      <c r="H31" s="150">
        <v>0</v>
      </c>
      <c r="I31" s="150">
        <v>0</v>
      </c>
      <c r="J31" s="150">
        <v>0</v>
      </c>
      <c r="K31" s="150">
        <v>0</v>
      </c>
      <c r="L31" s="150">
        <v>4.50</v>
      </c>
      <c r="M31" s="150">
        <v>71.80</v>
      </c>
      <c r="N31" s="150">
        <v>143.90</v>
      </c>
      <c r="O31" s="150">
        <v>150.80000000000001</v>
      </c>
      <c r="P31" s="150">
        <v>16.70</v>
      </c>
      <c r="Q31" s="150">
        <v>1.60</v>
      </c>
      <c r="R31" s="150">
        <v>0</v>
      </c>
      <c r="S31" s="150">
        <v>0</v>
      </c>
    </row>
    <row r="32" spans="1:19" ht="12.75">
      <c r="A32" s="149">
        <v>34881</v>
      </c>
      <c r="B32" s="150">
        <v>8.90</v>
      </c>
      <c r="C32" s="150">
        <v>143.90</v>
      </c>
      <c r="G32">
        <v>1996</v>
      </c>
      <c r="H32" s="151">
        <v>0</v>
      </c>
      <c r="I32" s="151">
        <v>0</v>
      </c>
      <c r="J32" s="151">
        <v>0</v>
      </c>
      <c r="K32" s="151">
        <v>0</v>
      </c>
      <c r="L32" s="151">
        <v>8.60</v>
      </c>
      <c r="M32" s="151">
        <v>38.299999999999997</v>
      </c>
      <c r="N32" s="151">
        <v>59.60</v>
      </c>
      <c r="O32" s="151">
        <v>87.10</v>
      </c>
      <c r="P32" s="151">
        <v>27.10</v>
      </c>
      <c r="Q32" s="151">
        <v>0</v>
      </c>
      <c r="R32" s="151">
        <v>0</v>
      </c>
      <c r="S32" s="151">
        <v>0</v>
      </c>
    </row>
    <row r="33" spans="1:19" ht="12.75">
      <c r="A33" s="149">
        <v>34912</v>
      </c>
      <c r="B33" s="150">
        <v>2.50</v>
      </c>
      <c r="C33" s="150">
        <v>150.80000000000001</v>
      </c>
      <c r="G33">
        <v>1997</v>
      </c>
      <c r="H33" s="151">
        <v>0</v>
      </c>
      <c r="I33" s="151">
        <v>0</v>
      </c>
      <c r="J33" s="151">
        <v>0</v>
      </c>
      <c r="K33" s="151">
        <v>0</v>
      </c>
      <c r="L33" s="151">
        <v>0</v>
      </c>
      <c r="M33" s="151">
        <v>73.20</v>
      </c>
      <c r="N33" s="151">
        <v>103</v>
      </c>
      <c r="O33" s="151">
        <v>46.80</v>
      </c>
      <c r="P33" s="151">
        <v>11.70</v>
      </c>
      <c r="Q33" s="151">
        <v>2.80</v>
      </c>
      <c r="R33" s="151">
        <v>0</v>
      </c>
      <c r="S33" s="151">
        <v>0</v>
      </c>
    </row>
    <row r="34" spans="1:19" ht="12.75">
      <c r="A34" s="149">
        <v>34943</v>
      </c>
      <c r="B34" s="150">
        <v>96.10</v>
      </c>
      <c r="C34" s="150">
        <v>16.70</v>
      </c>
      <c r="G34">
        <v>1998</v>
      </c>
      <c r="H34" s="151">
        <v>0</v>
      </c>
      <c r="I34" s="151">
        <v>0</v>
      </c>
      <c r="J34" s="151">
        <v>0</v>
      </c>
      <c r="K34" s="151">
        <v>0</v>
      </c>
      <c r="L34" s="151">
        <v>28.60</v>
      </c>
      <c r="M34" s="151">
        <v>82.40</v>
      </c>
      <c r="N34" s="151">
        <v>101.30</v>
      </c>
      <c r="O34" s="151">
        <v>117.70</v>
      </c>
      <c r="P34" s="151">
        <v>45</v>
      </c>
      <c r="Q34" s="151">
        <v>0</v>
      </c>
      <c r="R34" s="151">
        <v>0</v>
      </c>
      <c r="S34" s="151">
        <v>0</v>
      </c>
    </row>
    <row r="35" spans="1:19" ht="12.75">
      <c r="A35" s="149">
        <v>34973</v>
      </c>
      <c r="B35" s="150">
        <v>213.60</v>
      </c>
      <c r="C35" s="150">
        <v>1.60</v>
      </c>
      <c r="G35">
        <v>1999</v>
      </c>
      <c r="H35" s="151">
        <v>0</v>
      </c>
      <c r="I35" s="151">
        <v>0</v>
      </c>
      <c r="J35" s="151">
        <v>0</v>
      </c>
      <c r="K35" s="151">
        <v>0</v>
      </c>
      <c r="L35" s="151">
        <v>19.40</v>
      </c>
      <c r="M35" s="151">
        <v>96</v>
      </c>
      <c r="N35" s="151">
        <v>196.50</v>
      </c>
      <c r="O35" s="151">
        <v>79.099999999999994</v>
      </c>
      <c r="P35" s="151">
        <v>48.90</v>
      </c>
      <c r="Q35" s="151">
        <v>0</v>
      </c>
      <c r="R35" s="151">
        <v>0</v>
      </c>
      <c r="S35" s="151">
        <v>0</v>
      </c>
    </row>
    <row r="36" spans="1:19" ht="12.75">
      <c r="A36" s="149">
        <v>35004</v>
      </c>
      <c r="B36" s="150">
        <v>475.90</v>
      </c>
      <c r="C36" s="150">
        <v>0</v>
      </c>
      <c r="G36">
        <v>2000</v>
      </c>
      <c r="H36" s="151">
        <v>0</v>
      </c>
      <c r="I36" s="151">
        <v>0</v>
      </c>
      <c r="J36" s="151">
        <v>0</v>
      </c>
      <c r="K36" s="151">
        <v>0</v>
      </c>
      <c r="L36" s="151">
        <v>23.70</v>
      </c>
      <c r="M36" s="151">
        <v>41.10</v>
      </c>
      <c r="N36" s="151">
        <v>71.80</v>
      </c>
      <c r="O36" s="151">
        <v>92.50</v>
      </c>
      <c r="P36" s="151">
        <v>35.200000000000003</v>
      </c>
      <c r="Q36" s="151">
        <v>1.20</v>
      </c>
      <c r="R36" s="151">
        <v>0</v>
      </c>
      <c r="S36" s="151">
        <v>0</v>
      </c>
    </row>
    <row r="37" spans="1:19" ht="12.75">
      <c r="A37" s="149">
        <v>35034</v>
      </c>
      <c r="B37" s="150">
        <v>668.90</v>
      </c>
      <c r="C37" s="150">
        <v>0</v>
      </c>
      <c r="G37">
        <v>2001</v>
      </c>
      <c r="H37" s="151">
        <v>0</v>
      </c>
      <c r="I37" s="151">
        <v>0</v>
      </c>
      <c r="J37" s="151">
        <v>0</v>
      </c>
      <c r="K37" s="151">
        <v>1.40</v>
      </c>
      <c r="L37" s="151">
        <v>12.20</v>
      </c>
      <c r="M37" s="151">
        <v>79.70</v>
      </c>
      <c r="N37" s="151">
        <v>100.90</v>
      </c>
      <c r="O37" s="151">
        <v>160</v>
      </c>
      <c r="P37" s="151">
        <v>35.700000000000003</v>
      </c>
      <c r="Q37" s="151">
        <v>2</v>
      </c>
      <c r="R37" s="151">
        <v>0</v>
      </c>
      <c r="S37" s="151">
        <v>0</v>
      </c>
    </row>
    <row r="38" spans="1:20" ht="12.75">
      <c r="A38" s="149">
        <v>35065</v>
      </c>
      <c r="B38" s="151">
        <v>765.20</v>
      </c>
      <c r="C38" s="151">
        <v>0</v>
      </c>
      <c r="G38">
        <v>2002</v>
      </c>
      <c r="H38" s="151">
        <v>0</v>
      </c>
      <c r="I38" s="151">
        <v>0</v>
      </c>
      <c r="J38" s="151">
        <v>0</v>
      </c>
      <c r="K38" s="151">
        <v>8.3000000000000007</v>
      </c>
      <c r="L38" s="151">
        <v>7.80</v>
      </c>
      <c r="M38" s="151">
        <v>70</v>
      </c>
      <c r="N38" s="151">
        <v>192.40</v>
      </c>
      <c r="O38" s="151">
        <v>142.69999999999999</v>
      </c>
      <c r="P38" s="151">
        <v>87.60</v>
      </c>
      <c r="Q38" s="151">
        <v>10</v>
      </c>
      <c r="R38" s="151">
        <v>0</v>
      </c>
      <c r="S38" s="151">
        <v>0</v>
      </c>
      <c r="T38" s="151"/>
    </row>
    <row r="39" spans="1:19" ht="12.75">
      <c r="A39" s="149">
        <v>35096</v>
      </c>
      <c r="B39" s="151">
        <v>689.80</v>
      </c>
      <c r="C39" s="151">
        <v>0</v>
      </c>
      <c r="G39">
        <v>2003</v>
      </c>
      <c r="H39" s="151">
        <v>0</v>
      </c>
      <c r="I39" s="151">
        <v>0</v>
      </c>
      <c r="J39" s="151">
        <v>0</v>
      </c>
      <c r="K39" s="151">
        <v>2.40</v>
      </c>
      <c r="L39" s="151">
        <v>0</v>
      </c>
      <c r="M39" s="151">
        <v>52.90</v>
      </c>
      <c r="N39" s="151">
        <v>118.30</v>
      </c>
      <c r="O39" s="151">
        <v>128</v>
      </c>
      <c r="P39" s="151">
        <v>24</v>
      </c>
      <c r="Q39" s="151">
        <v>0</v>
      </c>
      <c r="R39" s="151">
        <v>0</v>
      </c>
      <c r="S39" s="151">
        <v>0</v>
      </c>
    </row>
    <row r="40" spans="1:19" ht="12.75">
      <c r="A40" s="149">
        <v>35125</v>
      </c>
      <c r="B40" s="151">
        <v>645.60</v>
      </c>
      <c r="C40" s="151">
        <v>0</v>
      </c>
      <c r="G40">
        <v>2004</v>
      </c>
      <c r="H40" s="151">
        <v>0</v>
      </c>
      <c r="I40" s="151">
        <v>0</v>
      </c>
      <c r="J40" s="151">
        <v>0</v>
      </c>
      <c r="K40" s="151">
        <v>0</v>
      </c>
      <c r="L40" s="151">
        <v>8.60</v>
      </c>
      <c r="M40" s="151">
        <v>31.60</v>
      </c>
      <c r="N40" s="151">
        <v>86.40</v>
      </c>
      <c r="O40" s="151">
        <v>59.60</v>
      </c>
      <c r="P40" s="151">
        <v>41.20</v>
      </c>
      <c r="Q40" s="151">
        <v>1.50</v>
      </c>
      <c r="R40" s="151">
        <v>0</v>
      </c>
      <c r="S40" s="151">
        <v>0</v>
      </c>
    </row>
    <row r="41" spans="1:19" ht="12.75">
      <c r="A41" s="149">
        <v>35156</v>
      </c>
      <c r="B41" s="151">
        <v>408.20</v>
      </c>
      <c r="C41" s="151">
        <v>0</v>
      </c>
      <c r="G41">
        <v>2005</v>
      </c>
      <c r="H41" s="151">
        <v>0</v>
      </c>
      <c r="I41" s="151">
        <v>0</v>
      </c>
      <c r="J41" s="151">
        <v>0</v>
      </c>
      <c r="K41" s="151">
        <v>0</v>
      </c>
      <c r="L41" s="151">
        <v>0.80</v>
      </c>
      <c r="M41" s="151">
        <v>146.30000000000001</v>
      </c>
      <c r="N41" s="151">
        <v>188.70</v>
      </c>
      <c r="O41" s="151">
        <v>140.69999999999999</v>
      </c>
      <c r="P41" s="151">
        <v>52.10</v>
      </c>
      <c r="Q41" s="151">
        <v>7.60</v>
      </c>
      <c r="R41" s="151">
        <v>0</v>
      </c>
      <c r="S41" s="151">
        <v>0</v>
      </c>
    </row>
    <row r="42" spans="1:19" ht="12.75">
      <c r="A42" s="149">
        <v>35186</v>
      </c>
      <c r="B42" s="151">
        <v>205.90</v>
      </c>
      <c r="C42" s="151">
        <v>8.60</v>
      </c>
      <c r="G42">
        <v>2006</v>
      </c>
      <c r="H42" s="151">
        <v>0</v>
      </c>
      <c r="I42" s="151">
        <v>0</v>
      </c>
      <c r="J42" s="151">
        <v>0</v>
      </c>
      <c r="K42" s="151">
        <v>0</v>
      </c>
      <c r="L42" s="151">
        <v>26</v>
      </c>
      <c r="M42" s="151">
        <v>73.599999999999994</v>
      </c>
      <c r="N42" s="151">
        <v>167.30</v>
      </c>
      <c r="O42" s="151">
        <v>101.60</v>
      </c>
      <c r="P42" s="151">
        <v>12.90</v>
      </c>
      <c r="Q42" s="151">
        <v>1.1000000000000001</v>
      </c>
      <c r="R42" s="151">
        <v>0</v>
      </c>
      <c r="S42" s="151">
        <v>0</v>
      </c>
    </row>
    <row r="43" spans="1:19" ht="12.75">
      <c r="A43" s="149">
        <v>35217</v>
      </c>
      <c r="B43" s="151">
        <v>20.90</v>
      </c>
      <c r="C43" s="151">
        <v>38.299999999999997</v>
      </c>
      <c r="G43">
        <v>2007</v>
      </c>
      <c r="H43" s="151">
        <v>0</v>
      </c>
      <c r="I43" s="151">
        <v>0</v>
      </c>
      <c r="J43" s="151">
        <v>0</v>
      </c>
      <c r="K43" s="151">
        <v>0</v>
      </c>
      <c r="L43" s="151">
        <v>22.40</v>
      </c>
      <c r="M43" s="151">
        <v>99.20</v>
      </c>
      <c r="N43" s="151">
        <v>106.10</v>
      </c>
      <c r="O43" s="151">
        <v>141</v>
      </c>
      <c r="P43" s="151">
        <v>47.50</v>
      </c>
      <c r="Q43" s="151">
        <v>19.80</v>
      </c>
      <c r="R43" s="151">
        <v>0</v>
      </c>
      <c r="S43" s="151">
        <v>0</v>
      </c>
    </row>
    <row r="44" spans="1:19" ht="12.75">
      <c r="A44" s="149">
        <v>35247</v>
      </c>
      <c r="B44" s="151">
        <v>10.30</v>
      </c>
      <c r="C44" s="151">
        <v>59.60</v>
      </c>
      <c r="G44">
        <v>2008</v>
      </c>
      <c r="H44" s="151">
        <v>0</v>
      </c>
      <c r="I44" s="151">
        <v>0</v>
      </c>
      <c r="J44" s="151">
        <v>0</v>
      </c>
      <c r="K44" s="151">
        <v>0</v>
      </c>
      <c r="L44" s="151">
        <v>2.50</v>
      </c>
      <c r="M44" s="151">
        <v>71.50</v>
      </c>
      <c r="N44" s="151">
        <v>111</v>
      </c>
      <c r="O44" s="151">
        <v>64</v>
      </c>
      <c r="P44" s="151">
        <v>26.70</v>
      </c>
      <c r="Q44" s="151">
        <v>0</v>
      </c>
      <c r="R44" s="151">
        <v>0</v>
      </c>
      <c r="S44" s="151">
        <v>0</v>
      </c>
    </row>
    <row r="45" spans="1:19" ht="12.75">
      <c r="A45" s="149">
        <v>35278</v>
      </c>
      <c r="B45" s="151">
        <v>2.50</v>
      </c>
      <c r="C45" s="151">
        <v>87.10</v>
      </c>
      <c r="G45">
        <v>2009</v>
      </c>
      <c r="H45" s="151">
        <v>0</v>
      </c>
      <c r="I45" s="151">
        <v>0</v>
      </c>
      <c r="J45" s="151">
        <v>0</v>
      </c>
      <c r="K45" s="151">
        <v>1.20</v>
      </c>
      <c r="L45" s="151">
        <v>6.90</v>
      </c>
      <c r="M45" s="151">
        <v>34.200000000000003</v>
      </c>
      <c r="N45" s="151">
        <v>43.70</v>
      </c>
      <c r="O45" s="151">
        <v>91</v>
      </c>
      <c r="P45" s="151">
        <v>20.90</v>
      </c>
      <c r="Q45" s="151">
        <v>0</v>
      </c>
      <c r="R45" s="151">
        <v>0</v>
      </c>
      <c r="S45" s="151">
        <v>0</v>
      </c>
    </row>
    <row r="46" spans="1:19" ht="12.75">
      <c r="A46" s="149">
        <v>35309</v>
      </c>
      <c r="B46" s="151">
        <v>71.599999999999994</v>
      </c>
      <c r="C46" s="151">
        <v>27.10</v>
      </c>
      <c r="G46">
        <v>2010</v>
      </c>
      <c r="H46" s="151">
        <v>0</v>
      </c>
      <c r="I46" s="151">
        <v>0</v>
      </c>
      <c r="J46" s="151">
        <v>0</v>
      </c>
      <c r="K46" s="151">
        <v>0</v>
      </c>
      <c r="L46" s="151">
        <v>45.70</v>
      </c>
      <c r="M46" s="151">
        <v>58.70</v>
      </c>
      <c r="N46" s="151">
        <v>164.90</v>
      </c>
      <c r="O46" s="151">
        <v>138.80000000000001</v>
      </c>
      <c r="P46" s="151">
        <v>31.50</v>
      </c>
      <c r="Q46" s="151">
        <v>0</v>
      </c>
      <c r="R46" s="151">
        <v>0</v>
      </c>
      <c r="S46" s="151">
        <v>0</v>
      </c>
    </row>
    <row r="47" spans="1:19" ht="12.75">
      <c r="A47" s="149">
        <v>35339</v>
      </c>
      <c r="B47" s="151">
        <v>273.10000000000002</v>
      </c>
      <c r="C47" s="151">
        <v>0</v>
      </c>
      <c r="G47">
        <v>2011</v>
      </c>
      <c r="H47" s="151">
        <v>0</v>
      </c>
      <c r="I47" s="151">
        <v>0</v>
      </c>
      <c r="J47" s="151">
        <v>0</v>
      </c>
      <c r="K47" s="151">
        <v>0</v>
      </c>
      <c r="L47" s="151">
        <v>13</v>
      </c>
      <c r="M47" s="151">
        <v>52.20</v>
      </c>
      <c r="N47" s="151">
        <v>198.50</v>
      </c>
      <c r="O47" s="151">
        <v>122.20</v>
      </c>
      <c r="P47" s="151">
        <v>39.700000000000003</v>
      </c>
      <c r="Q47" s="151">
        <v>2.40</v>
      </c>
      <c r="R47" s="151">
        <v>0</v>
      </c>
      <c r="S47" s="151">
        <v>0</v>
      </c>
    </row>
    <row r="48" spans="1:19" ht="12.75">
      <c r="A48" s="149">
        <v>35370</v>
      </c>
      <c r="B48" s="151">
        <v>512.10</v>
      </c>
      <c r="C48" s="151">
        <v>0</v>
      </c>
      <c r="G48">
        <v>2012</v>
      </c>
      <c r="H48" s="151">
        <v>0</v>
      </c>
      <c r="I48" s="151">
        <v>0</v>
      </c>
      <c r="J48" s="151">
        <v>0.20</v>
      </c>
      <c r="K48" s="151">
        <v>0</v>
      </c>
      <c r="L48" s="151">
        <v>36.700000000000003</v>
      </c>
      <c r="M48" s="151">
        <v>101.60</v>
      </c>
      <c r="N48" s="151">
        <v>195.40</v>
      </c>
      <c r="O48" s="151">
        <v>112.10</v>
      </c>
      <c r="P48" s="151">
        <v>35.60</v>
      </c>
      <c r="Q48" s="151">
        <v>1.1000000000000001</v>
      </c>
      <c r="R48" s="151">
        <v>0</v>
      </c>
      <c r="S48" s="151">
        <v>0</v>
      </c>
    </row>
    <row r="49" spans="1:19" ht="12.75">
      <c r="A49" s="149">
        <v>35400</v>
      </c>
      <c r="B49" s="151">
        <v>571.60</v>
      </c>
      <c r="C49" s="151">
        <v>0</v>
      </c>
      <c r="G49">
        <v>2013</v>
      </c>
      <c r="H49" s="32">
        <v>0</v>
      </c>
      <c r="I49" s="32">
        <v>0</v>
      </c>
      <c r="J49" s="32">
        <v>0</v>
      </c>
      <c r="K49" s="32">
        <v>0</v>
      </c>
      <c r="L49" s="32">
        <v>23.10</v>
      </c>
      <c r="M49" s="32">
        <v>59.60</v>
      </c>
      <c r="N49" s="32">
        <v>120.80</v>
      </c>
      <c r="O49" s="32">
        <v>93.80</v>
      </c>
      <c r="P49" s="32">
        <v>28.10</v>
      </c>
      <c r="Q49" s="32">
        <v>0.40</v>
      </c>
      <c r="R49" s="32">
        <v>0</v>
      </c>
      <c r="S49" s="32">
        <v>0</v>
      </c>
    </row>
    <row r="50" spans="1:19" ht="12.75">
      <c r="A50" s="149">
        <v>35431</v>
      </c>
      <c r="B50" s="151">
        <v>756.60</v>
      </c>
      <c r="C50" s="151">
        <v>0</v>
      </c>
      <c r="G50">
        <v>2014</v>
      </c>
      <c r="H50" s="32">
        <v>0</v>
      </c>
      <c r="I50" s="32">
        <v>0</v>
      </c>
      <c r="J50" s="32">
        <v>0</v>
      </c>
      <c r="K50" s="32">
        <v>0</v>
      </c>
      <c r="L50" s="32">
        <v>11.90</v>
      </c>
      <c r="M50" s="32">
        <v>68.099999999999994</v>
      </c>
      <c r="N50" s="32">
        <v>71</v>
      </c>
      <c r="O50" s="32">
        <v>81.80</v>
      </c>
      <c r="P50" s="32">
        <v>30.10</v>
      </c>
      <c r="Q50" s="32">
        <v>1.30</v>
      </c>
      <c r="R50" s="32">
        <v>0</v>
      </c>
      <c r="S50" s="32">
        <v>0</v>
      </c>
    </row>
    <row r="51" spans="1:19" ht="12.75">
      <c r="A51" s="149">
        <v>35462</v>
      </c>
      <c r="B51" s="151">
        <v>593</v>
      </c>
      <c r="C51" s="151">
        <v>0</v>
      </c>
      <c r="G51" s="158" t="s">
        <v>139</v>
      </c>
      <c r="H51" s="159">
        <f>TREND(H29:H50,$G$29:$G$50,2016)</f>
        <v>0</v>
      </c>
      <c r="I51" s="159">
        <f t="shared" si="1" ref="I51">TREND(I29:I50,$G$3:$G$24,2016)</f>
        <v>0</v>
      </c>
      <c r="J51" s="159">
        <f t="shared" si="2" ref="J51">TREND(J29:J50,$G$3:$G$24,2016)</f>
        <v>0.033088650479955017</v>
      </c>
      <c r="K51" s="159">
        <f t="shared" si="3" ref="K51">TREND(K29:K50,$G$3:$G$24,2016)</f>
        <v>0.41129305477131339</v>
      </c>
      <c r="L51" s="159">
        <f t="shared" si="4" ref="L51">TREND(L29:L50,$G$3:$G$24,2016)</f>
        <v>23.537944664031556</v>
      </c>
      <c r="M51" s="159">
        <f t="shared" si="5" ref="M51">TREND(M29:M50,$G$3:$G$24,2016)</f>
        <v>76.511462450592944</v>
      </c>
      <c r="N51" s="159">
        <f t="shared" si="6" ref="N51">TREND(N29:N50,$G$3:$G$24,2016)</f>
        <v>141.70609824957637</v>
      </c>
      <c r="O51" s="159">
        <f t="shared" si="7" ref="O51">TREND(O29:O50,$G$3:$G$24,2016)</f>
        <v>112.03224167137205</v>
      </c>
      <c r="P51" s="159">
        <f t="shared" si="8" ref="P51">TREND(P29:P50,$G$3:$G$24,2016)</f>
        <v>38.44822134387357</v>
      </c>
      <c r="Q51" s="159">
        <f t="shared" si="9" ref="Q51">TREND(Q29:Q50,$G$3:$G$24,2016)</f>
        <v>3.1735742518351202</v>
      </c>
      <c r="R51" s="159">
        <f t="shared" si="10" ref="R51">TREND(R29:R50,$G$3:$G$24,2016)</f>
        <v>0</v>
      </c>
      <c r="S51" s="159">
        <f t="shared" si="11" ref="S51">TREND(S29:S50,$G$3:$G$24,2016)</f>
        <v>0</v>
      </c>
    </row>
    <row r="52" spans="1:3" ht="12.75">
      <c r="A52" s="149">
        <v>35490</v>
      </c>
      <c r="B52" s="151">
        <v>600</v>
      </c>
      <c r="C52" s="151">
        <v>0</v>
      </c>
    </row>
    <row r="53" spans="1:3" ht="12.75">
      <c r="A53" s="149">
        <v>35521</v>
      </c>
      <c r="B53" s="151">
        <v>366.80</v>
      </c>
      <c r="C53" s="151">
        <v>0</v>
      </c>
    </row>
    <row r="54" spans="1:3" ht="12.75">
      <c r="A54" s="149">
        <v>35551</v>
      </c>
      <c r="B54" s="151">
        <v>260.80</v>
      </c>
      <c r="C54" s="151">
        <v>0</v>
      </c>
    </row>
    <row r="55" spans="1:3" ht="12.75">
      <c r="A55" s="149">
        <v>35582</v>
      </c>
      <c r="B55" s="151">
        <v>20.60</v>
      </c>
      <c r="C55" s="151">
        <v>73.20</v>
      </c>
    </row>
    <row r="56" spans="1:3" ht="12.75">
      <c r="A56" s="149">
        <v>35612</v>
      </c>
      <c r="B56" s="151">
        <v>12.40</v>
      </c>
      <c r="C56" s="151">
        <v>103</v>
      </c>
    </row>
    <row r="57" spans="1:3" ht="12.75">
      <c r="A57" s="149">
        <v>35643</v>
      </c>
      <c r="B57" s="151">
        <v>17</v>
      </c>
      <c r="C57" s="151">
        <v>46.80</v>
      </c>
    </row>
    <row r="58" spans="1:3" ht="12.75">
      <c r="A58" s="149">
        <v>35674</v>
      </c>
      <c r="B58" s="151">
        <v>87.10</v>
      </c>
      <c r="C58" s="151">
        <v>11.70</v>
      </c>
    </row>
    <row r="59" spans="1:3" ht="12.75">
      <c r="A59" s="149">
        <v>35704</v>
      </c>
      <c r="B59" s="151">
        <v>266.89999999999998</v>
      </c>
      <c r="C59" s="151">
        <v>2.80</v>
      </c>
    </row>
    <row r="60" spans="1:3" ht="12.75">
      <c r="A60" s="149">
        <v>35735</v>
      </c>
      <c r="B60" s="151">
        <v>466.50</v>
      </c>
      <c r="C60" s="151">
        <v>0</v>
      </c>
    </row>
    <row r="61" spans="1:3" ht="12.75">
      <c r="A61" s="149">
        <v>35765</v>
      </c>
      <c r="B61" s="151">
        <v>586.20000000000005</v>
      </c>
      <c r="C61" s="151">
        <v>0</v>
      </c>
    </row>
    <row r="62" spans="1:3" ht="12.75">
      <c r="A62" s="149">
        <v>35796</v>
      </c>
      <c r="B62" s="151">
        <v>624.79999999999995</v>
      </c>
      <c r="C62" s="151">
        <v>0</v>
      </c>
    </row>
    <row r="63" spans="1:3" ht="12.75">
      <c r="A63" s="149">
        <v>35827</v>
      </c>
      <c r="B63" s="151">
        <v>512.20000000000005</v>
      </c>
      <c r="C63" s="151">
        <v>0</v>
      </c>
    </row>
    <row r="64" spans="1:3" ht="12.75">
      <c r="A64" s="149">
        <v>35855</v>
      </c>
      <c r="B64" s="151">
        <v>492.30</v>
      </c>
      <c r="C64" s="151">
        <v>0</v>
      </c>
    </row>
    <row r="65" spans="1:3" ht="12.75">
      <c r="A65" s="149">
        <v>35886</v>
      </c>
      <c r="B65" s="151">
        <v>282</v>
      </c>
      <c r="C65" s="151">
        <v>0</v>
      </c>
    </row>
    <row r="66" spans="1:3" ht="12.75">
      <c r="A66" s="149">
        <v>35916</v>
      </c>
      <c r="B66" s="151">
        <v>59.10</v>
      </c>
      <c r="C66" s="151">
        <v>28.60</v>
      </c>
    </row>
    <row r="67" spans="1:3" ht="12.75">
      <c r="A67" s="149">
        <v>35947</v>
      </c>
      <c r="B67" s="151">
        <v>54.70</v>
      </c>
      <c r="C67" s="151">
        <v>82.40</v>
      </c>
    </row>
    <row r="68" spans="1:3" ht="12.75">
      <c r="A68" s="149">
        <v>35977</v>
      </c>
      <c r="B68" s="151">
        <v>1</v>
      </c>
      <c r="C68" s="151">
        <v>101.30</v>
      </c>
    </row>
    <row r="69" spans="1:3" ht="12.75">
      <c r="A69" s="149">
        <v>36008</v>
      </c>
      <c r="B69" s="151">
        <v>3.40</v>
      </c>
      <c r="C69" s="151">
        <v>117.70</v>
      </c>
    </row>
    <row r="70" spans="1:3" ht="12.75">
      <c r="A70" s="149">
        <v>36039</v>
      </c>
      <c r="B70" s="151">
        <v>39.700000000000003</v>
      </c>
      <c r="C70" s="151">
        <v>45</v>
      </c>
    </row>
    <row r="71" spans="1:3" ht="12.75">
      <c r="A71" s="149">
        <v>36069</v>
      </c>
      <c r="B71" s="151">
        <v>223.40</v>
      </c>
      <c r="C71" s="151">
        <v>0</v>
      </c>
    </row>
    <row r="72" spans="1:3" ht="12.75">
      <c r="A72" s="149">
        <v>36100</v>
      </c>
      <c r="B72" s="151">
        <v>392.60</v>
      </c>
      <c r="C72" s="151">
        <v>0</v>
      </c>
    </row>
    <row r="73" spans="1:3" ht="12.75">
      <c r="A73" s="149">
        <v>36130</v>
      </c>
      <c r="B73" s="151">
        <v>535.10</v>
      </c>
      <c r="C73" s="151">
        <v>0</v>
      </c>
    </row>
    <row r="74" spans="1:3" ht="12.75">
      <c r="A74" s="149">
        <v>36161</v>
      </c>
      <c r="B74" s="151">
        <v>749.80</v>
      </c>
      <c r="C74" s="151">
        <v>0</v>
      </c>
    </row>
    <row r="75" spans="1:3" ht="12.75">
      <c r="A75" s="149">
        <v>36192</v>
      </c>
      <c r="B75" s="151">
        <v>548.10</v>
      </c>
      <c r="C75" s="151">
        <v>0</v>
      </c>
    </row>
    <row r="76" spans="1:3" ht="12.75">
      <c r="A76" s="149">
        <v>36220</v>
      </c>
      <c r="B76" s="151">
        <v>550.60</v>
      </c>
      <c r="C76" s="151">
        <v>0</v>
      </c>
    </row>
    <row r="77" spans="1:3" ht="12.75">
      <c r="A77" s="149">
        <v>36251</v>
      </c>
      <c r="B77" s="151">
        <v>296.70</v>
      </c>
      <c r="C77" s="151">
        <v>0</v>
      </c>
    </row>
    <row r="78" spans="1:3" ht="12.75">
      <c r="A78" s="149">
        <v>36281</v>
      </c>
      <c r="B78" s="151">
        <v>97.10</v>
      </c>
      <c r="C78" s="151">
        <v>19.40</v>
      </c>
    </row>
    <row r="79" spans="1:3" ht="12.75">
      <c r="A79" s="149">
        <v>36312</v>
      </c>
      <c r="B79" s="151">
        <v>25</v>
      </c>
      <c r="C79" s="151">
        <v>96</v>
      </c>
    </row>
    <row r="80" spans="1:3" ht="12.75">
      <c r="A80" s="149">
        <v>36342</v>
      </c>
      <c r="B80" s="151">
        <v>0</v>
      </c>
      <c r="C80" s="151">
        <v>196.50</v>
      </c>
    </row>
    <row r="81" spans="1:3" ht="12.75">
      <c r="A81" s="149">
        <v>36373</v>
      </c>
      <c r="B81" s="151">
        <v>8.40</v>
      </c>
      <c r="C81" s="151">
        <v>79.099999999999994</v>
      </c>
    </row>
    <row r="82" spans="1:3" ht="12.75">
      <c r="A82" s="149">
        <v>36404</v>
      </c>
      <c r="B82" s="151">
        <v>49.30</v>
      </c>
      <c r="C82" s="151">
        <v>48.90</v>
      </c>
    </row>
    <row r="83" spans="1:3" ht="12.75">
      <c r="A83" s="149">
        <v>36434</v>
      </c>
      <c r="B83" s="151">
        <v>267.60000000000002</v>
      </c>
      <c r="C83" s="151">
        <v>0</v>
      </c>
    </row>
    <row r="84" spans="1:3" ht="12.75">
      <c r="A84" s="149">
        <v>36465</v>
      </c>
      <c r="B84" s="151">
        <v>367.50</v>
      </c>
      <c r="C84" s="151">
        <v>0</v>
      </c>
    </row>
    <row r="85" spans="1:3" ht="12.75">
      <c r="A85" s="149">
        <v>36495</v>
      </c>
      <c r="B85" s="151">
        <v>579.29999999999995</v>
      </c>
      <c r="C85" s="151">
        <v>0</v>
      </c>
    </row>
    <row r="86" spans="1:3" ht="12.75">
      <c r="A86" s="149">
        <v>36526</v>
      </c>
      <c r="B86" s="151">
        <v>738.90</v>
      </c>
      <c r="C86" s="151">
        <v>0</v>
      </c>
    </row>
    <row r="87" spans="1:3" ht="12.75">
      <c r="A87" s="149">
        <v>36557</v>
      </c>
      <c r="B87" s="151">
        <v>612.70000000000005</v>
      </c>
      <c r="C87" s="151">
        <v>0</v>
      </c>
    </row>
    <row r="88" spans="1:3" ht="12.75">
      <c r="A88" s="149">
        <v>36586</v>
      </c>
      <c r="B88" s="151">
        <v>418.60</v>
      </c>
      <c r="C88" s="151">
        <v>0</v>
      </c>
    </row>
    <row r="89" spans="1:3" ht="12.75">
      <c r="A89" s="149">
        <v>36617</v>
      </c>
      <c r="B89" s="151">
        <v>339.20</v>
      </c>
      <c r="C89" s="151">
        <v>0</v>
      </c>
    </row>
    <row r="90" spans="1:3" ht="12.75">
      <c r="A90" s="149">
        <v>36647</v>
      </c>
      <c r="B90" s="151">
        <v>139.60</v>
      </c>
      <c r="C90" s="151">
        <v>23.70</v>
      </c>
    </row>
    <row r="91" spans="1:3" ht="12.75">
      <c r="A91" s="149">
        <v>36678</v>
      </c>
      <c r="B91" s="151">
        <v>34.50</v>
      </c>
      <c r="C91" s="151">
        <v>41.10</v>
      </c>
    </row>
    <row r="92" spans="1:3" ht="12.75">
      <c r="A92" s="149">
        <v>36708</v>
      </c>
      <c r="B92" s="151">
        <v>6.60</v>
      </c>
      <c r="C92" s="151">
        <v>71.80</v>
      </c>
    </row>
    <row r="93" spans="1:3" ht="12.75">
      <c r="A93" s="149">
        <v>36739</v>
      </c>
      <c r="B93" s="151">
        <v>11.50</v>
      </c>
      <c r="C93" s="151">
        <v>92.50</v>
      </c>
    </row>
    <row r="94" spans="1:3" ht="12.75">
      <c r="A94" s="149">
        <v>36770</v>
      </c>
      <c r="B94" s="151">
        <v>99.50</v>
      </c>
      <c r="C94" s="151">
        <v>35.200000000000003</v>
      </c>
    </row>
    <row r="95" spans="1:3" ht="12.75">
      <c r="A95" s="149">
        <v>36800</v>
      </c>
      <c r="B95" s="151">
        <v>212.70</v>
      </c>
      <c r="C95" s="151">
        <v>1.20</v>
      </c>
    </row>
    <row r="96" spans="1:7" ht="12.75">
      <c r="A96" s="149">
        <v>36831</v>
      </c>
      <c r="B96" s="151">
        <v>432</v>
      </c>
      <c r="C96" s="151">
        <v>0</v>
      </c>
      <c r="F96" s="32"/>
      <c r="G96" s="32"/>
    </row>
    <row r="97" spans="1:7" ht="12.75">
      <c r="A97" s="149">
        <v>36861</v>
      </c>
      <c r="B97" s="151">
        <v>780.30</v>
      </c>
      <c r="C97" s="151">
        <v>0</v>
      </c>
      <c r="F97" s="32"/>
      <c r="G97" s="32"/>
    </row>
    <row r="98" spans="1:9" ht="12.75">
      <c r="A98" s="149">
        <v>36892</v>
      </c>
      <c r="B98" s="151">
        <v>684.90</v>
      </c>
      <c r="C98" s="151">
        <v>0</v>
      </c>
      <c r="E98" s="143"/>
      <c r="F98" s="146"/>
      <c r="G98" s="146"/>
      <c r="H98" s="144"/>
      <c r="I98" s="144"/>
    </row>
    <row r="99" spans="1:9" ht="12.75">
      <c r="A99" s="149">
        <v>36925</v>
      </c>
      <c r="B99" s="151">
        <v>587.60</v>
      </c>
      <c r="C99" s="151">
        <v>0</v>
      </c>
      <c r="E99" s="143"/>
      <c r="F99" s="146"/>
      <c r="G99" s="146"/>
      <c r="H99" s="144"/>
      <c r="I99" s="144"/>
    </row>
    <row r="100" spans="1:9" ht="12.75">
      <c r="A100" s="149">
        <v>36958</v>
      </c>
      <c r="B100" s="151">
        <v>566.60</v>
      </c>
      <c r="C100" s="151">
        <v>0</v>
      </c>
      <c r="E100" s="143"/>
      <c r="F100" s="146"/>
      <c r="G100" s="146"/>
      <c r="H100" s="144"/>
      <c r="I100" s="144"/>
    </row>
    <row r="101" spans="1:9" ht="12.75">
      <c r="A101" s="149">
        <v>36991</v>
      </c>
      <c r="B101" s="151">
        <v>293.80</v>
      </c>
      <c r="C101" s="151">
        <v>1.40</v>
      </c>
      <c r="E101" s="143"/>
      <c r="F101" s="146"/>
      <c r="G101" s="146"/>
      <c r="H101" s="144"/>
      <c r="I101" s="144"/>
    </row>
    <row r="102" spans="1:9" ht="12.75">
      <c r="A102" s="149">
        <v>37024</v>
      </c>
      <c r="B102" s="151">
        <v>111.50</v>
      </c>
      <c r="C102" s="151">
        <v>12.20</v>
      </c>
      <c r="E102" s="143"/>
      <c r="F102" s="146"/>
      <c r="G102" s="146"/>
      <c r="H102" s="144"/>
      <c r="I102" s="144"/>
    </row>
    <row r="103" spans="1:9" ht="12.75">
      <c r="A103" s="149">
        <v>37057</v>
      </c>
      <c r="B103" s="151">
        <v>29.80</v>
      </c>
      <c r="C103" s="151">
        <v>79.70</v>
      </c>
      <c r="E103" s="143"/>
      <c r="F103" s="146"/>
      <c r="G103" s="146"/>
      <c r="H103" s="144"/>
      <c r="I103" s="144"/>
    </row>
    <row r="104" spans="1:9" ht="12.75">
      <c r="A104" s="149">
        <v>37090</v>
      </c>
      <c r="B104" s="151">
        <v>9.3000000000000007</v>
      </c>
      <c r="C104" s="151">
        <v>100.90</v>
      </c>
      <c r="E104" s="143"/>
      <c r="F104" s="146"/>
      <c r="G104" s="146"/>
      <c r="H104" s="144"/>
      <c r="I104" s="144"/>
    </row>
    <row r="105" spans="1:9" ht="12.75">
      <c r="A105" s="149">
        <v>37123</v>
      </c>
      <c r="B105" s="151">
        <v>0</v>
      </c>
      <c r="C105" s="151">
        <v>160</v>
      </c>
      <c r="E105" s="143"/>
      <c r="F105" s="146"/>
      <c r="G105" s="146"/>
      <c r="H105" s="144"/>
      <c r="I105" s="144"/>
    </row>
    <row r="106" spans="1:9" ht="12.75">
      <c r="A106" s="149">
        <v>37156</v>
      </c>
      <c r="B106" s="151">
        <v>73.599999999999994</v>
      </c>
      <c r="C106" s="151">
        <v>35.700000000000003</v>
      </c>
      <c r="E106" s="143"/>
      <c r="F106" s="146"/>
      <c r="G106" s="146"/>
      <c r="H106" s="144"/>
      <c r="I106" s="144"/>
    </row>
    <row r="107" spans="1:9" ht="12.75">
      <c r="A107" s="149">
        <v>37189</v>
      </c>
      <c r="B107" s="151">
        <v>232.50</v>
      </c>
      <c r="C107" s="151">
        <v>2</v>
      </c>
      <c r="E107" s="143"/>
      <c r="F107" s="146"/>
      <c r="G107" s="146"/>
      <c r="H107" s="144"/>
      <c r="I107" s="144"/>
    </row>
    <row r="108" spans="1:9" ht="12.75">
      <c r="A108" s="149">
        <v>37222</v>
      </c>
      <c r="B108" s="151">
        <v>325.80</v>
      </c>
      <c r="C108" s="151">
        <v>0</v>
      </c>
      <c r="E108" s="143"/>
      <c r="F108" s="146"/>
      <c r="G108" s="146"/>
      <c r="H108" s="144"/>
      <c r="I108" s="144"/>
    </row>
    <row r="109" spans="1:9" ht="12.75">
      <c r="A109" s="149">
        <v>37255</v>
      </c>
      <c r="B109" s="151">
        <v>505</v>
      </c>
      <c r="C109" s="151">
        <v>0</v>
      </c>
      <c r="E109" s="143"/>
      <c r="F109" s="146"/>
      <c r="G109" s="146"/>
      <c r="H109" s="144"/>
      <c r="I109" s="144"/>
    </row>
    <row r="110" spans="1:9" ht="12.75">
      <c r="A110" s="149">
        <v>37275</v>
      </c>
      <c r="B110" s="151">
        <v>572.20000000000005</v>
      </c>
      <c r="C110" s="151">
        <v>0</v>
      </c>
      <c r="E110" s="143"/>
      <c r="F110" s="146"/>
      <c r="G110" s="146"/>
      <c r="H110" s="144"/>
      <c r="I110" s="144"/>
    </row>
    <row r="111" spans="1:9" ht="12.75">
      <c r="A111" s="149">
        <v>37308</v>
      </c>
      <c r="B111" s="151">
        <v>540.20000000000005</v>
      </c>
      <c r="C111" s="151">
        <v>0</v>
      </c>
      <c r="E111" s="143"/>
      <c r="F111" s="146"/>
      <c r="G111" s="146"/>
      <c r="H111" s="144"/>
      <c r="I111" s="144"/>
    </row>
    <row r="112" spans="1:9" ht="12.75">
      <c r="A112" s="149">
        <v>37341</v>
      </c>
      <c r="B112" s="151">
        <v>545.60</v>
      </c>
      <c r="C112" s="151">
        <v>0</v>
      </c>
      <c r="E112" s="143"/>
      <c r="F112" s="146"/>
      <c r="G112" s="146"/>
      <c r="H112" s="144"/>
      <c r="I112" s="144"/>
    </row>
    <row r="113" spans="1:9" ht="12.75">
      <c r="A113" s="149">
        <v>37374</v>
      </c>
      <c r="B113" s="151">
        <v>329.50</v>
      </c>
      <c r="C113" s="151">
        <v>8.3000000000000007</v>
      </c>
      <c r="E113" s="143"/>
      <c r="F113" s="146"/>
      <c r="G113" s="146"/>
      <c r="H113" s="144"/>
      <c r="I113" s="144"/>
    </row>
    <row r="114" spans="1:9" ht="12.75">
      <c r="A114" s="149">
        <v>37407</v>
      </c>
      <c r="B114" s="151">
        <v>227.50</v>
      </c>
      <c r="C114" s="151">
        <v>7.80</v>
      </c>
      <c r="E114" s="143"/>
      <c r="F114" s="146"/>
      <c r="G114" s="146"/>
      <c r="H114" s="144"/>
      <c r="I114" s="144"/>
    </row>
    <row r="115" spans="1:9" ht="12.75">
      <c r="A115" s="149">
        <v>37408</v>
      </c>
      <c r="B115" s="151">
        <v>36.200000000000003</v>
      </c>
      <c r="C115" s="151">
        <v>70</v>
      </c>
      <c r="E115" s="143"/>
      <c r="F115" s="146"/>
      <c r="G115" s="146"/>
      <c r="H115" s="144"/>
      <c r="I115" s="144"/>
    </row>
    <row r="116" spans="1:9" ht="12.75">
      <c r="A116" s="149">
        <v>37440</v>
      </c>
      <c r="B116" s="151">
        <v>0</v>
      </c>
      <c r="C116" s="151">
        <v>192.40</v>
      </c>
      <c r="E116" s="143"/>
      <c r="F116" s="146"/>
      <c r="G116" s="146"/>
      <c r="H116" s="144"/>
      <c r="I116" s="144"/>
    </row>
    <row r="117" spans="1:9" ht="12.75">
      <c r="A117" s="149">
        <v>37473</v>
      </c>
      <c r="B117" s="151">
        <v>0.20</v>
      </c>
      <c r="C117" s="151">
        <v>142.69999999999999</v>
      </c>
      <c r="E117" s="143"/>
      <c r="F117" s="146"/>
      <c r="G117" s="146"/>
      <c r="H117" s="144"/>
      <c r="I117" s="144"/>
    </row>
    <row r="118" spans="1:9" ht="12.75">
      <c r="A118" s="149">
        <v>37506</v>
      </c>
      <c r="B118" s="151">
        <v>21.80</v>
      </c>
      <c r="C118" s="151">
        <v>87.60</v>
      </c>
      <c r="E118" s="143"/>
      <c r="F118" s="146"/>
      <c r="G118" s="146"/>
      <c r="H118" s="144"/>
      <c r="I118" s="144"/>
    </row>
    <row r="119" spans="1:9" ht="12.75">
      <c r="A119" s="149">
        <v>37539</v>
      </c>
      <c r="B119" s="151">
        <v>292.20</v>
      </c>
      <c r="C119" s="151">
        <v>10</v>
      </c>
      <c r="E119" s="143"/>
      <c r="F119" s="146"/>
      <c r="G119" s="146"/>
      <c r="H119" s="144"/>
      <c r="I119" s="144"/>
    </row>
    <row r="120" spans="1:9" ht="12.75">
      <c r="A120" s="149">
        <v>37572</v>
      </c>
      <c r="B120" s="151">
        <v>445</v>
      </c>
      <c r="C120" s="151">
        <v>0</v>
      </c>
      <c r="E120" s="143"/>
      <c r="F120" s="146"/>
      <c r="G120" s="146"/>
      <c r="H120" s="144"/>
      <c r="I120" s="144"/>
    </row>
    <row r="121" spans="1:9" ht="12.75">
      <c r="A121" s="149">
        <v>37605</v>
      </c>
      <c r="B121" s="151">
        <v>619.40</v>
      </c>
      <c r="C121" s="151">
        <v>0</v>
      </c>
      <c r="E121" s="143"/>
      <c r="F121" s="146"/>
      <c r="G121" s="146"/>
      <c r="H121" s="144"/>
      <c r="I121" s="144"/>
    </row>
    <row r="122" spans="1:9" ht="12.75">
      <c r="A122" s="149">
        <v>37622</v>
      </c>
      <c r="B122" s="151">
        <v>814.50</v>
      </c>
      <c r="C122" s="151">
        <v>0</v>
      </c>
      <c r="E122" s="143"/>
      <c r="F122" s="146"/>
      <c r="G122" s="146"/>
      <c r="H122" s="144"/>
      <c r="I122" s="144"/>
    </row>
    <row r="123" spans="1:9" ht="12.75">
      <c r="A123" s="149">
        <v>37653</v>
      </c>
      <c r="B123" s="151">
        <v>699</v>
      </c>
      <c r="C123" s="151">
        <v>0</v>
      </c>
      <c r="E123" s="143"/>
      <c r="F123" s="146"/>
      <c r="G123" s="146"/>
      <c r="H123" s="144"/>
      <c r="I123" s="144"/>
    </row>
    <row r="124" spans="1:9" ht="12.75">
      <c r="A124" s="149">
        <v>37681</v>
      </c>
      <c r="B124" s="151">
        <v>581.10</v>
      </c>
      <c r="C124" s="151">
        <v>0</v>
      </c>
      <c r="E124" s="143"/>
      <c r="F124" s="146"/>
      <c r="G124" s="146"/>
      <c r="H124" s="144"/>
      <c r="I124" s="144"/>
    </row>
    <row r="125" spans="1:9" ht="12.75">
      <c r="A125" s="149">
        <v>37712</v>
      </c>
      <c r="B125" s="151">
        <v>372.50</v>
      </c>
      <c r="C125" s="151">
        <v>2.40</v>
      </c>
      <c r="E125" s="143"/>
      <c r="F125" s="146"/>
      <c r="G125" s="146"/>
      <c r="H125" s="144"/>
      <c r="I125" s="144"/>
    </row>
    <row r="126" spans="1:9" ht="12.75">
      <c r="A126" s="149">
        <v>37742</v>
      </c>
      <c r="B126" s="151">
        <v>177.90</v>
      </c>
      <c r="C126" s="151">
        <v>0</v>
      </c>
      <c r="E126" s="143"/>
      <c r="F126" s="146"/>
      <c r="G126" s="146"/>
      <c r="H126" s="144"/>
      <c r="I126" s="144"/>
    </row>
    <row r="127" spans="1:9" ht="12.75">
      <c r="A127" s="149">
        <v>37773</v>
      </c>
      <c r="B127" s="151">
        <v>43.40</v>
      </c>
      <c r="C127" s="151">
        <v>52.90</v>
      </c>
      <c r="E127" s="143"/>
      <c r="F127" s="146"/>
      <c r="G127" s="146"/>
      <c r="H127" s="144"/>
      <c r="I127" s="144"/>
    </row>
    <row r="128" spans="1:9" ht="12.75">
      <c r="A128" s="149">
        <v>37803</v>
      </c>
      <c r="B128" s="151">
        <v>0.20</v>
      </c>
      <c r="C128" s="151">
        <v>118.30</v>
      </c>
      <c r="E128" s="143"/>
      <c r="F128" s="146"/>
      <c r="G128" s="146"/>
      <c r="H128" s="144"/>
      <c r="I128" s="144"/>
    </row>
    <row r="129" spans="1:9" ht="12.75">
      <c r="A129" s="149">
        <v>37834</v>
      </c>
      <c r="B129" s="151">
        <v>2</v>
      </c>
      <c r="C129" s="151">
        <v>128</v>
      </c>
      <c r="E129" s="143"/>
      <c r="F129" s="146"/>
      <c r="G129" s="146"/>
      <c r="H129" s="144"/>
      <c r="I129" s="144"/>
    </row>
    <row r="130" spans="1:9" ht="12.75">
      <c r="A130" s="149">
        <v>37865</v>
      </c>
      <c r="B130" s="151">
        <v>54.90</v>
      </c>
      <c r="C130" s="151">
        <v>24</v>
      </c>
      <c r="E130" s="143"/>
      <c r="F130" s="146"/>
      <c r="G130" s="146"/>
      <c r="H130" s="144"/>
      <c r="I130" s="144"/>
    </row>
    <row r="131" spans="1:9" ht="12.75">
      <c r="A131" s="149">
        <v>37895</v>
      </c>
      <c r="B131" s="151">
        <v>276</v>
      </c>
      <c r="C131" s="151">
        <v>0</v>
      </c>
      <c r="E131" s="143"/>
      <c r="F131" s="146"/>
      <c r="G131" s="146"/>
      <c r="H131" s="144"/>
      <c r="I131" s="144"/>
    </row>
    <row r="132" spans="1:9" ht="12.75">
      <c r="A132" s="149">
        <v>37926</v>
      </c>
      <c r="B132" s="151">
        <v>398.50</v>
      </c>
      <c r="C132" s="151">
        <v>0</v>
      </c>
      <c r="E132" s="143"/>
      <c r="F132" s="146"/>
      <c r="G132" s="146"/>
      <c r="H132" s="144"/>
      <c r="I132" s="144"/>
    </row>
    <row r="133" spans="1:9" ht="12.75">
      <c r="A133" s="149">
        <v>37956</v>
      </c>
      <c r="B133" s="151">
        <v>561.50</v>
      </c>
      <c r="C133" s="151">
        <v>0</v>
      </c>
      <c r="E133" s="143"/>
      <c r="F133" s="146"/>
      <c r="G133" s="146"/>
      <c r="H133" s="144"/>
      <c r="I133" s="144"/>
    </row>
    <row r="134" spans="1:9" ht="12.75">
      <c r="A134" s="149">
        <v>37987</v>
      </c>
      <c r="B134" s="151">
        <v>849.10</v>
      </c>
      <c r="C134" s="151">
        <v>0</v>
      </c>
      <c r="E134" s="143"/>
      <c r="F134" s="146"/>
      <c r="G134" s="146"/>
      <c r="H134" s="144"/>
      <c r="I134" s="144"/>
    </row>
    <row r="135" spans="1:9" ht="12.75">
      <c r="A135" s="149">
        <v>38018</v>
      </c>
      <c r="B135" s="151">
        <v>631.70000000000005</v>
      </c>
      <c r="C135" s="151">
        <v>0</v>
      </c>
      <c r="E135" s="143"/>
      <c r="F135" s="146"/>
      <c r="G135" s="146"/>
      <c r="H135" s="144"/>
      <c r="I135" s="144"/>
    </row>
    <row r="136" spans="1:9" ht="12.75">
      <c r="A136" s="149">
        <v>38047</v>
      </c>
      <c r="B136" s="151">
        <v>487.30</v>
      </c>
      <c r="C136" s="151">
        <v>0</v>
      </c>
      <c r="E136" s="143"/>
      <c r="F136" s="146"/>
      <c r="G136" s="146"/>
      <c r="H136" s="144"/>
      <c r="I136" s="144"/>
    </row>
    <row r="137" spans="1:9" ht="12.75">
      <c r="A137" s="149">
        <v>38078</v>
      </c>
      <c r="B137" s="151">
        <v>331.50</v>
      </c>
      <c r="C137" s="151">
        <v>0</v>
      </c>
      <c r="E137" s="143"/>
      <c r="F137" s="146"/>
      <c r="G137" s="146"/>
      <c r="H137" s="144"/>
      <c r="I137" s="144"/>
    </row>
    <row r="138" spans="1:9" ht="12.75">
      <c r="A138" s="149">
        <v>38108</v>
      </c>
      <c r="B138" s="151">
        <v>158.90</v>
      </c>
      <c r="C138" s="151">
        <v>8.60</v>
      </c>
      <c r="E138" s="143"/>
      <c r="F138" s="146"/>
      <c r="G138" s="146"/>
      <c r="H138" s="144"/>
      <c r="I138" s="144"/>
    </row>
    <row r="139" spans="1:9" ht="12.75">
      <c r="A139" s="149">
        <v>38139</v>
      </c>
      <c r="B139" s="151">
        <v>44.20</v>
      </c>
      <c r="C139" s="151">
        <v>31.60</v>
      </c>
      <c r="E139" s="143"/>
      <c r="F139" s="146"/>
      <c r="G139" s="146"/>
      <c r="H139" s="144"/>
      <c r="I139" s="144"/>
    </row>
    <row r="140" spans="1:9" ht="12.75">
      <c r="A140" s="149">
        <v>38169</v>
      </c>
      <c r="B140" s="151">
        <v>3.60</v>
      </c>
      <c r="C140" s="151">
        <v>86.40</v>
      </c>
      <c r="E140" s="143"/>
      <c r="F140" s="146"/>
      <c r="G140" s="146"/>
      <c r="H140" s="144"/>
      <c r="I140" s="144"/>
    </row>
    <row r="141" spans="1:9" ht="12.75">
      <c r="A141" s="149">
        <v>38200</v>
      </c>
      <c r="B141" s="151">
        <v>12.80</v>
      </c>
      <c r="C141" s="151">
        <v>59.60</v>
      </c>
      <c r="E141" s="143"/>
      <c r="F141" s="146"/>
      <c r="G141" s="146"/>
      <c r="H141" s="144"/>
      <c r="I141" s="144"/>
    </row>
    <row r="142" spans="1:9" ht="12.75">
      <c r="A142" s="149">
        <v>38231</v>
      </c>
      <c r="B142" s="151">
        <v>30</v>
      </c>
      <c r="C142" s="151">
        <v>41.20</v>
      </c>
      <c r="E142" s="143"/>
      <c r="F142" s="146"/>
      <c r="G142" s="146"/>
      <c r="H142" s="144"/>
      <c r="I142" s="144"/>
    </row>
    <row r="143" spans="1:9" ht="12.75">
      <c r="A143" s="149">
        <v>38261</v>
      </c>
      <c r="B143" s="151">
        <v>226.30</v>
      </c>
      <c r="C143" s="151">
        <v>1.50</v>
      </c>
      <c r="E143" s="143"/>
      <c r="F143" s="146"/>
      <c r="G143" s="146"/>
      <c r="H143" s="144"/>
      <c r="I143" s="144"/>
    </row>
    <row r="144" spans="1:9" ht="12.75">
      <c r="A144" s="149">
        <v>38292</v>
      </c>
      <c r="B144" s="151">
        <v>379.10</v>
      </c>
      <c r="C144" s="151">
        <v>0</v>
      </c>
      <c r="E144" s="143"/>
      <c r="F144" s="146"/>
      <c r="G144" s="146"/>
      <c r="H144" s="144"/>
      <c r="I144" s="144"/>
    </row>
    <row r="145" spans="1:9" ht="12.75">
      <c r="A145" s="149">
        <v>38322</v>
      </c>
      <c r="B145" s="151">
        <v>643.40</v>
      </c>
      <c r="C145" s="151">
        <v>0</v>
      </c>
      <c r="E145" s="143"/>
      <c r="F145" s="146"/>
      <c r="G145" s="146"/>
      <c r="H145" s="144"/>
      <c r="I145" s="144"/>
    </row>
    <row r="146" spans="1:9" ht="12.75">
      <c r="A146" s="149">
        <v>38353</v>
      </c>
      <c r="B146" s="151">
        <v>770</v>
      </c>
      <c r="C146" s="151">
        <v>0</v>
      </c>
      <c r="E146" s="143"/>
      <c r="F146" s="146"/>
      <c r="G146" s="146"/>
      <c r="H146" s="144"/>
      <c r="I146" s="144"/>
    </row>
    <row r="147" spans="1:9" ht="12.75">
      <c r="A147" s="149">
        <v>38384</v>
      </c>
      <c r="B147" s="151">
        <v>616.40</v>
      </c>
      <c r="C147" s="151">
        <v>0</v>
      </c>
      <c r="E147" s="143"/>
      <c r="F147" s="146"/>
      <c r="G147" s="146"/>
      <c r="H147" s="144"/>
      <c r="I147" s="144"/>
    </row>
    <row r="148" spans="1:9" ht="12.75">
      <c r="A148" s="149">
        <v>38412</v>
      </c>
      <c r="B148" s="151">
        <v>608.60</v>
      </c>
      <c r="C148" s="151">
        <v>0</v>
      </c>
      <c r="E148" s="143"/>
      <c r="F148" s="146"/>
      <c r="G148" s="146"/>
      <c r="H148" s="144"/>
      <c r="I148" s="144"/>
    </row>
    <row r="149" spans="1:9" ht="12.75">
      <c r="A149" s="149">
        <v>38443</v>
      </c>
      <c r="B149" s="151">
        <v>306.80</v>
      </c>
      <c r="C149" s="151">
        <v>0</v>
      </c>
      <c r="E149" s="143"/>
      <c r="F149" s="146"/>
      <c r="G149" s="146"/>
      <c r="H149" s="144"/>
      <c r="I149" s="144"/>
    </row>
    <row r="150" spans="1:9" ht="12.75">
      <c r="A150" s="149">
        <v>38473</v>
      </c>
      <c r="B150" s="151">
        <v>189.40</v>
      </c>
      <c r="C150" s="151">
        <v>0.80</v>
      </c>
      <c r="E150" s="143"/>
      <c r="F150" s="146"/>
      <c r="G150" s="146"/>
      <c r="H150" s="144"/>
      <c r="I150" s="144"/>
    </row>
    <row r="151" spans="1:9" ht="12.75">
      <c r="A151" s="149">
        <v>38504</v>
      </c>
      <c r="B151" s="151">
        <v>8.90</v>
      </c>
      <c r="C151" s="151">
        <v>146.30000000000001</v>
      </c>
      <c r="E151" s="143"/>
      <c r="F151" s="146"/>
      <c r="G151" s="146"/>
      <c r="H151" s="144"/>
      <c r="I151" s="144"/>
    </row>
    <row r="152" spans="1:9" ht="12.75">
      <c r="A152" s="149">
        <v>38534</v>
      </c>
      <c r="B152" s="151">
        <v>0</v>
      </c>
      <c r="C152" s="151">
        <v>188.70</v>
      </c>
      <c r="E152" s="143"/>
      <c r="F152" s="146"/>
      <c r="G152" s="146"/>
      <c r="H152" s="144"/>
      <c r="I152" s="144"/>
    </row>
    <row r="153" spans="1:9" ht="12.75">
      <c r="A153" s="149">
        <v>38565</v>
      </c>
      <c r="B153" s="151">
        <v>0.20</v>
      </c>
      <c r="C153" s="151">
        <v>140.69999999999999</v>
      </c>
      <c r="E153" s="143"/>
      <c r="F153" s="146"/>
      <c r="G153" s="146"/>
      <c r="H153" s="144"/>
      <c r="I153" s="144"/>
    </row>
    <row r="154" spans="1:9" ht="12.75">
      <c r="A154" s="149">
        <v>38596</v>
      </c>
      <c r="B154" s="151">
        <v>22.60</v>
      </c>
      <c r="C154" s="151">
        <v>52.10</v>
      </c>
      <c r="E154" s="143"/>
      <c r="F154" s="146"/>
      <c r="G154" s="146"/>
      <c r="H154" s="144"/>
      <c r="I154" s="144"/>
    </row>
    <row r="155" spans="1:9" ht="12.75">
      <c r="A155" s="149">
        <v>38626</v>
      </c>
      <c r="B155" s="151">
        <v>220.20</v>
      </c>
      <c r="C155" s="151">
        <v>7.60</v>
      </c>
      <c r="E155" s="143"/>
      <c r="F155" s="146"/>
      <c r="G155" s="146"/>
      <c r="H155" s="144"/>
      <c r="I155" s="144"/>
    </row>
    <row r="156" spans="1:9" ht="12.75">
      <c r="A156" s="149">
        <v>38657</v>
      </c>
      <c r="B156" s="151">
        <v>388.40</v>
      </c>
      <c r="C156" s="151">
        <v>0</v>
      </c>
      <c r="E156" s="143"/>
      <c r="F156" s="146"/>
      <c r="G156" s="146"/>
      <c r="H156" s="144"/>
      <c r="I156" s="144"/>
    </row>
    <row r="157" spans="1:9" ht="12.75">
      <c r="A157" s="149">
        <v>38687</v>
      </c>
      <c r="B157" s="151">
        <v>665.30</v>
      </c>
      <c r="C157" s="151">
        <v>0</v>
      </c>
      <c r="E157" s="143"/>
      <c r="F157" s="146"/>
      <c r="G157" s="146"/>
      <c r="H157" s="144"/>
      <c r="I157" s="144"/>
    </row>
    <row r="158" spans="1:9" ht="12.75">
      <c r="A158" s="149">
        <v>38718</v>
      </c>
      <c r="B158" s="151">
        <v>551.79999999999995</v>
      </c>
      <c r="C158" s="151">
        <v>0</v>
      </c>
      <c r="E158" s="143"/>
      <c r="F158" s="146"/>
      <c r="G158" s="146"/>
      <c r="H158" s="144"/>
      <c r="I158" s="144"/>
    </row>
    <row r="159" spans="1:9" ht="12.75">
      <c r="A159" s="149">
        <v>38749</v>
      </c>
      <c r="B159" s="151">
        <v>604.29999999999995</v>
      </c>
      <c r="C159" s="151">
        <v>0</v>
      </c>
      <c r="E159" s="143"/>
      <c r="F159" s="146"/>
      <c r="G159" s="146"/>
      <c r="H159" s="144"/>
      <c r="I159" s="144"/>
    </row>
    <row r="160" spans="1:9" ht="12.75">
      <c r="A160" s="149">
        <v>38777</v>
      </c>
      <c r="B160" s="151">
        <v>516.60</v>
      </c>
      <c r="C160" s="151">
        <v>0</v>
      </c>
      <c r="E160" s="143"/>
      <c r="F160" s="146"/>
      <c r="G160" s="146"/>
      <c r="H160" s="144"/>
      <c r="I160" s="144"/>
    </row>
    <row r="161" spans="1:9" ht="12.75">
      <c r="A161" s="149">
        <v>38808</v>
      </c>
      <c r="B161" s="151">
        <v>293.30</v>
      </c>
      <c r="C161" s="151">
        <v>0</v>
      </c>
      <c r="E161" s="143"/>
      <c r="F161" s="146"/>
      <c r="G161" s="146"/>
      <c r="H161" s="144"/>
      <c r="I161" s="144"/>
    </row>
    <row r="162" spans="1:9" ht="12.75">
      <c r="A162" s="149">
        <v>38838</v>
      </c>
      <c r="B162" s="151">
        <v>136.90</v>
      </c>
      <c r="C162" s="151">
        <v>26</v>
      </c>
      <c r="E162" s="143"/>
      <c r="F162" s="146"/>
      <c r="G162" s="146"/>
      <c r="H162" s="144"/>
      <c r="I162" s="144"/>
    </row>
    <row r="163" spans="1:9" ht="12.75">
      <c r="A163" s="149">
        <v>38869</v>
      </c>
      <c r="B163" s="151">
        <v>19.50</v>
      </c>
      <c r="C163" s="151">
        <v>73.599999999999994</v>
      </c>
      <c r="E163" s="143"/>
      <c r="F163" s="146"/>
      <c r="G163" s="146"/>
      <c r="H163" s="144"/>
      <c r="I163" s="144"/>
    </row>
    <row r="164" spans="1:9" ht="12.75">
      <c r="A164" s="149">
        <v>38899</v>
      </c>
      <c r="B164" s="151">
        <v>0</v>
      </c>
      <c r="C164" s="151">
        <v>167.30</v>
      </c>
      <c r="E164" s="143"/>
      <c r="F164" s="146"/>
      <c r="G164" s="146"/>
      <c r="H164" s="144"/>
      <c r="I164" s="144"/>
    </row>
    <row r="165" spans="1:9" ht="12.75">
      <c r="A165" s="149">
        <v>38930</v>
      </c>
      <c r="B165" s="151">
        <v>4.20</v>
      </c>
      <c r="C165" s="151">
        <v>101.60</v>
      </c>
      <c r="E165" s="143"/>
      <c r="F165" s="146"/>
      <c r="G165" s="146"/>
      <c r="H165" s="144"/>
      <c r="I165" s="144"/>
    </row>
    <row r="166" spans="1:9" ht="12.75">
      <c r="A166" s="149">
        <v>38961</v>
      </c>
      <c r="B166" s="151">
        <v>80.900000000000006</v>
      </c>
      <c r="C166" s="151">
        <v>12.90</v>
      </c>
      <c r="E166" s="143"/>
      <c r="F166" s="146"/>
      <c r="G166" s="146"/>
      <c r="H166" s="144"/>
      <c r="I166" s="144"/>
    </row>
    <row r="167" spans="1:9" ht="12.75">
      <c r="A167" s="149">
        <v>38991</v>
      </c>
      <c r="B167" s="151">
        <v>288.30</v>
      </c>
      <c r="C167" s="151">
        <v>1.1000000000000001</v>
      </c>
      <c r="E167" s="143"/>
      <c r="F167" s="146"/>
      <c r="G167" s="146"/>
      <c r="H167" s="144"/>
      <c r="I167" s="144"/>
    </row>
    <row r="168" spans="1:9" ht="12.75">
      <c r="A168" s="149">
        <v>39022</v>
      </c>
      <c r="B168" s="151">
        <v>382.20</v>
      </c>
      <c r="C168" s="151">
        <v>0</v>
      </c>
      <c r="E168" s="143"/>
      <c r="F168" s="146"/>
      <c r="G168" s="146"/>
      <c r="H168" s="144"/>
      <c r="I168" s="144"/>
    </row>
    <row r="169" spans="1:9" ht="12.75">
      <c r="A169" s="149">
        <v>39052</v>
      </c>
      <c r="B169" s="151">
        <v>500.50</v>
      </c>
      <c r="C169" s="151">
        <v>0</v>
      </c>
      <c r="E169" s="143"/>
      <c r="F169" s="146"/>
      <c r="G169" s="146"/>
      <c r="H169" s="144"/>
      <c r="I169" s="144"/>
    </row>
    <row r="170" spans="1:9" ht="12.75">
      <c r="A170" s="149">
        <v>39083</v>
      </c>
      <c r="B170" s="151">
        <v>647.10</v>
      </c>
      <c r="C170" s="151">
        <v>0</v>
      </c>
      <c r="E170" s="143"/>
      <c r="F170" s="146"/>
      <c r="G170" s="146"/>
      <c r="H170" s="144"/>
      <c r="I170" s="144"/>
    </row>
    <row r="171" spans="1:9" ht="12.75">
      <c r="A171" s="149">
        <v>39114</v>
      </c>
      <c r="B171" s="151">
        <v>740.10</v>
      </c>
      <c r="C171" s="151">
        <v>0</v>
      </c>
      <c r="E171" s="143"/>
      <c r="F171" s="146"/>
      <c r="G171" s="146"/>
      <c r="H171" s="144"/>
      <c r="I171" s="144"/>
    </row>
    <row r="172" spans="1:9" ht="12.75">
      <c r="A172" s="149">
        <v>39142</v>
      </c>
      <c r="B172" s="151">
        <v>546.70000000000005</v>
      </c>
      <c r="C172" s="151">
        <v>0</v>
      </c>
      <c r="E172" s="143"/>
      <c r="F172" s="146"/>
      <c r="G172" s="146"/>
      <c r="H172" s="144"/>
      <c r="I172" s="144"/>
    </row>
    <row r="173" spans="1:9" ht="12.75">
      <c r="A173" s="149">
        <v>39173</v>
      </c>
      <c r="B173" s="151">
        <v>356.40</v>
      </c>
      <c r="C173" s="151">
        <v>0</v>
      </c>
      <c r="E173" s="143"/>
      <c r="F173" s="146"/>
      <c r="G173" s="146"/>
      <c r="H173" s="147"/>
      <c r="I173" s="144"/>
    </row>
    <row r="174" spans="1:9" ht="12.75">
      <c r="A174" s="149">
        <v>39203</v>
      </c>
      <c r="B174" s="151">
        <v>136.40</v>
      </c>
      <c r="C174" s="151">
        <v>22.40</v>
      </c>
      <c r="E174" s="143"/>
      <c r="F174" s="146"/>
      <c r="G174" s="146"/>
      <c r="H174" s="147"/>
      <c r="I174" s="144"/>
    </row>
    <row r="175" spans="1:9" ht="12.75">
      <c r="A175" s="149">
        <v>39234</v>
      </c>
      <c r="B175" s="151">
        <v>16.50</v>
      </c>
      <c r="C175" s="151">
        <v>99.20</v>
      </c>
      <c r="E175" s="143"/>
      <c r="F175" s="146"/>
      <c r="G175" s="146"/>
      <c r="H175" s="147"/>
      <c r="I175" s="144"/>
    </row>
    <row r="176" spans="1:9" ht="12.75">
      <c r="A176" s="149">
        <v>39264</v>
      </c>
      <c r="B176" s="151">
        <v>3.20</v>
      </c>
      <c r="C176" s="151">
        <v>106.10</v>
      </c>
      <c r="E176" s="143"/>
      <c r="F176" s="146"/>
      <c r="G176" s="146"/>
      <c r="H176" s="147"/>
      <c r="I176" s="144"/>
    </row>
    <row r="177" spans="1:9" ht="12.75">
      <c r="A177" s="149">
        <v>39295</v>
      </c>
      <c r="B177" s="151">
        <v>5.20</v>
      </c>
      <c r="C177" s="151">
        <v>141</v>
      </c>
      <c r="E177" s="143"/>
      <c r="F177" s="146"/>
      <c r="G177" s="146"/>
      <c r="H177" s="147"/>
      <c r="I177" s="144"/>
    </row>
    <row r="178" spans="1:9" ht="12.75">
      <c r="A178" s="149">
        <v>39326</v>
      </c>
      <c r="B178" s="151">
        <v>36.90</v>
      </c>
      <c r="C178" s="151">
        <v>47.50</v>
      </c>
      <c r="E178" s="143"/>
      <c r="F178" s="146"/>
      <c r="G178" s="146"/>
      <c r="H178" s="147"/>
      <c r="I178" s="144"/>
    </row>
    <row r="179" spans="1:9" ht="12.75">
      <c r="A179" s="149">
        <v>39356</v>
      </c>
      <c r="B179" s="151">
        <v>137.69999999999999</v>
      </c>
      <c r="C179" s="151">
        <v>19.80</v>
      </c>
      <c r="E179" s="143"/>
      <c r="F179" s="146"/>
      <c r="G179" s="146"/>
      <c r="H179" s="147"/>
      <c r="I179" s="144"/>
    </row>
    <row r="180" spans="1:9" ht="12.75">
      <c r="A180" s="149">
        <v>39387</v>
      </c>
      <c r="B180" s="151">
        <v>462.50</v>
      </c>
      <c r="C180" s="151">
        <v>0</v>
      </c>
      <c r="E180" s="143"/>
      <c r="F180" s="146"/>
      <c r="G180" s="146"/>
      <c r="H180" s="147"/>
      <c r="I180" s="144"/>
    </row>
    <row r="181" spans="1:9" ht="12.75">
      <c r="A181" s="149">
        <v>39417</v>
      </c>
      <c r="B181" s="151">
        <v>630.70000000000005</v>
      </c>
      <c r="C181" s="151">
        <v>0</v>
      </c>
      <c r="E181" s="143"/>
      <c r="F181" s="146"/>
      <c r="G181" s="146"/>
      <c r="H181" s="147"/>
      <c r="I181" s="144"/>
    </row>
    <row r="182" spans="1:9" ht="12.75">
      <c r="A182" s="149">
        <v>39448</v>
      </c>
      <c r="B182" s="151">
        <v>623.50</v>
      </c>
      <c r="C182" s="151">
        <v>0</v>
      </c>
      <c r="E182" s="143"/>
      <c r="F182" s="146"/>
      <c r="G182" s="146"/>
      <c r="H182" s="147"/>
      <c r="I182" s="144"/>
    </row>
    <row r="183" spans="1:9" ht="12.75">
      <c r="A183" s="149">
        <v>39479</v>
      </c>
      <c r="B183" s="151">
        <v>674.70</v>
      </c>
      <c r="C183" s="151">
        <v>0</v>
      </c>
      <c r="E183" s="143"/>
      <c r="F183" s="146"/>
      <c r="G183" s="146"/>
      <c r="H183" s="147"/>
      <c r="I183" s="144"/>
    </row>
    <row r="184" spans="1:9" ht="12.75">
      <c r="A184" s="149">
        <v>39508</v>
      </c>
      <c r="B184" s="151">
        <v>610.20000000000005</v>
      </c>
      <c r="C184" s="151">
        <v>0</v>
      </c>
      <c r="E184" s="143"/>
      <c r="F184" s="146"/>
      <c r="G184" s="146"/>
      <c r="H184" s="147"/>
      <c r="I184" s="144"/>
    </row>
    <row r="185" spans="1:9" ht="12.75">
      <c r="A185" s="149">
        <v>39539</v>
      </c>
      <c r="B185" s="151">
        <v>253.90</v>
      </c>
      <c r="C185" s="151">
        <v>0</v>
      </c>
      <c r="E185" s="143"/>
      <c r="F185" s="146"/>
      <c r="G185" s="146"/>
      <c r="H185" s="147"/>
      <c r="I185" s="144"/>
    </row>
    <row r="186" spans="1:9" ht="12.75">
      <c r="A186" s="149">
        <v>39569</v>
      </c>
      <c r="B186" s="151">
        <v>193.50</v>
      </c>
      <c r="C186" s="151">
        <v>2.50</v>
      </c>
      <c r="E186" s="143"/>
      <c r="F186" s="146"/>
      <c r="G186" s="146"/>
      <c r="H186" s="147"/>
      <c r="I186" s="144"/>
    </row>
    <row r="187" spans="1:9" ht="12.75">
      <c r="A187" s="149">
        <v>39600</v>
      </c>
      <c r="B187" s="151">
        <v>22.70</v>
      </c>
      <c r="C187" s="151">
        <v>71.50</v>
      </c>
      <c r="E187" s="143"/>
      <c r="F187" s="146"/>
      <c r="G187" s="146"/>
      <c r="H187" s="147"/>
      <c r="I187" s="144"/>
    </row>
    <row r="188" spans="1:9" ht="12.75">
      <c r="A188" s="149">
        <v>39630</v>
      </c>
      <c r="B188" s="151">
        <v>1</v>
      </c>
      <c r="C188" s="151">
        <v>111</v>
      </c>
      <c r="E188" s="143"/>
      <c r="F188" s="146"/>
      <c r="G188" s="146"/>
      <c r="H188" s="147"/>
      <c r="I188" s="144"/>
    </row>
    <row r="189" spans="1:9" ht="12.75">
      <c r="A189" s="149">
        <v>39661</v>
      </c>
      <c r="B189" s="151">
        <v>12.70</v>
      </c>
      <c r="C189" s="151">
        <v>64</v>
      </c>
      <c r="E189" s="143"/>
      <c r="F189" s="146"/>
      <c r="G189" s="146"/>
      <c r="H189" s="147"/>
      <c r="I189" s="144"/>
    </row>
    <row r="190" spans="1:9" ht="12.75">
      <c r="A190" s="149">
        <v>39692</v>
      </c>
      <c r="B190" s="151">
        <v>59.50</v>
      </c>
      <c r="C190" s="151">
        <v>26.70</v>
      </c>
      <c r="E190" s="143"/>
      <c r="F190" s="146"/>
      <c r="G190" s="146"/>
      <c r="H190" s="147"/>
      <c r="I190" s="144"/>
    </row>
    <row r="191" spans="1:9" ht="12.75">
      <c r="A191" s="149">
        <v>39722</v>
      </c>
      <c r="B191" s="151">
        <v>278.60000000000002</v>
      </c>
      <c r="C191" s="151">
        <v>0</v>
      </c>
      <c r="E191" s="143"/>
      <c r="F191" s="146"/>
      <c r="G191" s="146"/>
      <c r="H191" s="147"/>
      <c r="I191" s="144"/>
    </row>
    <row r="192" spans="1:9" ht="12.75">
      <c r="A192" s="149">
        <v>39753</v>
      </c>
      <c r="B192" s="151">
        <v>451.60</v>
      </c>
      <c r="C192" s="151">
        <v>0</v>
      </c>
      <c r="E192" s="143"/>
      <c r="F192" s="146"/>
      <c r="G192" s="146"/>
      <c r="H192" s="147"/>
      <c r="I192" s="144"/>
    </row>
    <row r="193" spans="1:9" ht="12.75">
      <c r="A193" s="149">
        <v>39783</v>
      </c>
      <c r="B193" s="151">
        <v>654.60</v>
      </c>
      <c r="C193" s="151">
        <v>0</v>
      </c>
      <c r="E193" s="143"/>
      <c r="F193" s="146"/>
      <c r="G193" s="146"/>
      <c r="H193" s="147"/>
      <c r="I193" s="144"/>
    </row>
    <row r="194" spans="1:9" ht="12.75">
      <c r="A194" s="149">
        <v>39814</v>
      </c>
      <c r="B194" s="151">
        <v>830.20</v>
      </c>
      <c r="C194" s="151">
        <v>0</v>
      </c>
      <c r="E194" s="143"/>
      <c r="F194" s="146"/>
      <c r="G194" s="146"/>
      <c r="H194" s="144"/>
      <c r="I194" s="144"/>
    </row>
    <row r="195" spans="1:9" ht="12.75">
      <c r="A195" s="149">
        <v>39845</v>
      </c>
      <c r="B195" s="151">
        <v>606.40</v>
      </c>
      <c r="C195" s="151">
        <v>0</v>
      </c>
      <c r="E195" s="143"/>
      <c r="F195" s="146"/>
      <c r="G195" s="146"/>
      <c r="H195" s="144"/>
      <c r="I195" s="144"/>
    </row>
    <row r="196" spans="1:9" ht="12.75">
      <c r="A196" s="149">
        <v>39873</v>
      </c>
      <c r="B196" s="151">
        <v>533.79999999999995</v>
      </c>
      <c r="C196" s="151">
        <v>0</v>
      </c>
      <c r="E196" s="143"/>
      <c r="F196" s="146"/>
      <c r="G196" s="146"/>
      <c r="H196" s="144"/>
      <c r="I196" s="144"/>
    </row>
    <row r="197" spans="1:9" ht="12.75">
      <c r="A197" s="149">
        <v>39904</v>
      </c>
      <c r="B197" s="151">
        <v>305.80</v>
      </c>
      <c r="C197" s="151">
        <v>1.20</v>
      </c>
      <c r="E197" s="143"/>
      <c r="F197" s="146"/>
      <c r="G197" s="146"/>
      <c r="H197" s="144"/>
      <c r="I197" s="144"/>
    </row>
    <row r="198" spans="1:9" ht="12.75">
      <c r="A198" s="149">
        <v>39934</v>
      </c>
      <c r="B198" s="151">
        <v>158.80000000000001</v>
      </c>
      <c r="C198" s="151">
        <v>6.90</v>
      </c>
      <c r="E198" s="143"/>
      <c r="F198" s="146"/>
      <c r="G198" s="146"/>
      <c r="H198" s="144"/>
      <c r="I198" s="144"/>
    </row>
    <row r="199" spans="1:9" ht="12.75">
      <c r="A199" s="149">
        <v>39965</v>
      </c>
      <c r="B199" s="151">
        <v>49.30</v>
      </c>
      <c r="C199" s="151">
        <v>34.200000000000003</v>
      </c>
      <c r="E199" s="143"/>
      <c r="F199" s="146"/>
      <c r="G199" s="146"/>
      <c r="H199" s="144"/>
      <c r="I199" s="144"/>
    </row>
    <row r="200" spans="1:9" ht="12.75">
      <c r="A200" s="149">
        <v>39995</v>
      </c>
      <c r="B200" s="151">
        <v>6.20</v>
      </c>
      <c r="C200" s="151">
        <v>43.70</v>
      </c>
      <c r="E200" s="143"/>
      <c r="F200" s="146"/>
      <c r="G200" s="146"/>
      <c r="H200" s="144"/>
      <c r="I200" s="144"/>
    </row>
    <row r="201" spans="1:9" ht="12.75">
      <c r="A201" s="149">
        <v>40026</v>
      </c>
      <c r="B201" s="151">
        <v>9.8000000000000007</v>
      </c>
      <c r="C201" s="151">
        <v>91</v>
      </c>
      <c r="E201" s="143"/>
      <c r="F201" s="146"/>
      <c r="G201" s="146"/>
      <c r="H201" s="144"/>
      <c r="I201" s="144"/>
    </row>
    <row r="202" spans="1:9" ht="12.75">
      <c r="A202" s="149">
        <v>40057</v>
      </c>
      <c r="B202" s="151">
        <v>55.20</v>
      </c>
      <c r="C202" s="151">
        <v>20.90</v>
      </c>
      <c r="E202" s="143"/>
      <c r="F202" s="146"/>
      <c r="G202" s="146"/>
      <c r="H202" s="144"/>
      <c r="I202" s="144"/>
    </row>
    <row r="203" spans="1:9" ht="12.75">
      <c r="A203" s="149">
        <v>40087</v>
      </c>
      <c r="B203" s="151">
        <v>287.80</v>
      </c>
      <c r="C203" s="151">
        <v>0</v>
      </c>
      <c r="E203" s="143"/>
      <c r="F203" s="146"/>
      <c r="G203" s="146"/>
      <c r="H203" s="144"/>
      <c r="I203" s="144"/>
    </row>
    <row r="204" spans="1:9" ht="12.75">
      <c r="A204" s="149">
        <v>40118</v>
      </c>
      <c r="B204" s="151">
        <v>361.20</v>
      </c>
      <c r="C204" s="151">
        <v>0</v>
      </c>
      <c r="E204" s="143"/>
      <c r="F204" s="146"/>
      <c r="G204" s="146"/>
      <c r="H204" s="144"/>
      <c r="I204" s="144"/>
    </row>
    <row r="205" spans="1:9" ht="12.75">
      <c r="A205" s="149">
        <v>40148</v>
      </c>
      <c r="B205" s="151">
        <v>631.29999999999995</v>
      </c>
      <c r="C205" s="151">
        <v>0</v>
      </c>
      <c r="E205" s="143"/>
      <c r="F205" s="146"/>
      <c r="G205" s="146"/>
      <c r="H205" s="144"/>
      <c r="I205" s="144"/>
    </row>
    <row r="206" spans="1:9" ht="12.75">
      <c r="A206" s="149">
        <v>40179</v>
      </c>
      <c r="B206" s="151">
        <v>720</v>
      </c>
      <c r="C206" s="151">
        <v>0</v>
      </c>
      <c r="E206" s="143"/>
      <c r="F206" s="146"/>
      <c r="G206" s="146"/>
      <c r="H206" s="144"/>
      <c r="I206" s="144"/>
    </row>
    <row r="207" spans="1:9" ht="12.75">
      <c r="A207" s="149">
        <v>40210</v>
      </c>
      <c r="B207" s="151">
        <v>598.29999999999995</v>
      </c>
      <c r="C207" s="151">
        <v>0</v>
      </c>
      <c r="E207" s="143"/>
      <c r="F207" s="146"/>
      <c r="G207" s="146"/>
      <c r="H207" s="144"/>
      <c r="I207" s="144"/>
    </row>
    <row r="208" spans="1:9" ht="12.75">
      <c r="A208" s="149">
        <v>40238</v>
      </c>
      <c r="B208" s="151">
        <v>422.80</v>
      </c>
      <c r="C208" s="151">
        <v>0</v>
      </c>
      <c r="E208" s="143"/>
      <c r="F208" s="146"/>
      <c r="G208" s="146"/>
      <c r="H208" s="144"/>
      <c r="I208" s="144"/>
    </row>
    <row r="209" spans="1:9" ht="12.75">
      <c r="A209" s="149">
        <v>40269</v>
      </c>
      <c r="B209" s="151">
        <v>225.10</v>
      </c>
      <c r="C209" s="151">
        <v>0</v>
      </c>
      <c r="E209" s="143"/>
      <c r="F209" s="146"/>
      <c r="G209" s="146"/>
      <c r="H209" s="144"/>
      <c r="I209" s="144"/>
    </row>
    <row r="210" spans="1:9" ht="12.75">
      <c r="A210" s="149">
        <v>40299</v>
      </c>
      <c r="B210" s="151">
        <v>107.90</v>
      </c>
      <c r="C210" s="151">
        <v>45.70</v>
      </c>
      <c r="E210" s="143"/>
      <c r="F210" s="146"/>
      <c r="G210" s="146"/>
      <c r="H210" s="144"/>
      <c r="I210" s="144"/>
    </row>
    <row r="211" spans="1:9" ht="12.75">
      <c r="A211" s="149">
        <v>40330</v>
      </c>
      <c r="B211" s="151">
        <v>21.70</v>
      </c>
      <c r="C211" s="151">
        <v>58.70</v>
      </c>
      <c r="E211" s="143"/>
      <c r="F211" s="146"/>
      <c r="G211" s="146"/>
      <c r="H211" s="144"/>
      <c r="I211" s="144"/>
    </row>
    <row r="212" spans="1:9" ht="12.75">
      <c r="A212" s="149">
        <v>40360</v>
      </c>
      <c r="B212" s="151">
        <v>1.80</v>
      </c>
      <c r="C212" s="151">
        <v>164.90</v>
      </c>
      <c r="E212" s="143"/>
      <c r="F212" s="146"/>
      <c r="G212" s="146"/>
      <c r="H212" s="144"/>
      <c r="I212" s="144"/>
    </row>
    <row r="213" spans="1:9" ht="12.75">
      <c r="A213" s="149">
        <v>40391</v>
      </c>
      <c r="B213" s="151">
        <v>2.10</v>
      </c>
      <c r="C213" s="151">
        <v>138.80000000000001</v>
      </c>
      <c r="E213" s="143"/>
      <c r="F213" s="146"/>
      <c r="G213" s="146"/>
      <c r="H213" s="144"/>
      <c r="I213" s="144"/>
    </row>
    <row r="214" spans="1:9" ht="12.75">
      <c r="A214" s="149">
        <v>40422</v>
      </c>
      <c r="B214" s="151">
        <v>78.099999999999994</v>
      </c>
      <c r="C214" s="151">
        <v>31.50</v>
      </c>
      <c r="E214" s="143"/>
      <c r="F214" s="146"/>
      <c r="G214" s="146"/>
      <c r="H214" s="144"/>
      <c r="I214" s="144"/>
    </row>
    <row r="215" spans="1:9" ht="12.75">
      <c r="A215" s="149">
        <v>40452</v>
      </c>
      <c r="B215" s="151">
        <v>24.56</v>
      </c>
      <c r="C215" s="151">
        <v>0</v>
      </c>
      <c r="E215" s="143"/>
      <c r="F215" s="146"/>
      <c r="G215" s="146"/>
      <c r="H215" s="144"/>
      <c r="I215" s="144"/>
    </row>
    <row r="216" spans="1:9" ht="12.75">
      <c r="A216" s="149">
        <v>40483</v>
      </c>
      <c r="B216" s="151">
        <v>405.30</v>
      </c>
      <c r="C216" s="151">
        <v>0</v>
      </c>
      <c r="E216" s="143"/>
      <c r="F216" s="146"/>
      <c r="G216" s="146"/>
      <c r="H216" s="144"/>
      <c r="I216" s="144"/>
    </row>
    <row r="217" spans="1:9" ht="12.75">
      <c r="A217" s="149">
        <v>40513</v>
      </c>
      <c r="B217" s="151">
        <v>676.20</v>
      </c>
      <c r="C217" s="151">
        <v>0</v>
      </c>
      <c r="E217" s="143"/>
      <c r="F217" s="146"/>
      <c r="G217" s="146"/>
      <c r="H217" s="145"/>
      <c r="I217" s="145"/>
    </row>
    <row r="218" spans="1:9" ht="12.75">
      <c r="A218" s="149">
        <v>40544</v>
      </c>
      <c r="B218" s="151">
        <v>775.30</v>
      </c>
      <c r="C218" s="151">
        <v>0</v>
      </c>
      <c r="E218" s="143"/>
      <c r="F218" s="146"/>
      <c r="G218" s="146"/>
      <c r="H218" s="145"/>
      <c r="I218" s="145"/>
    </row>
    <row r="219" spans="1:9" ht="12.75">
      <c r="A219" s="149">
        <v>40575</v>
      </c>
      <c r="B219" s="151">
        <v>654.20000000000005</v>
      </c>
      <c r="C219" s="151">
        <v>0</v>
      </c>
      <c r="E219" s="143"/>
      <c r="F219" s="146"/>
      <c r="G219" s="146"/>
      <c r="H219" s="145"/>
      <c r="I219" s="145"/>
    </row>
    <row r="220" spans="1:9" ht="12.75">
      <c r="A220" s="149">
        <v>40603</v>
      </c>
      <c r="B220" s="151">
        <v>572.79999999999995</v>
      </c>
      <c r="C220" s="151">
        <v>0</v>
      </c>
      <c r="E220" s="143"/>
      <c r="F220" s="146"/>
      <c r="G220" s="146"/>
      <c r="H220" s="145"/>
      <c r="I220" s="145"/>
    </row>
    <row r="221" spans="1:9" ht="12.75">
      <c r="A221" s="149">
        <v>40634</v>
      </c>
      <c r="B221" s="151">
        <v>332.30</v>
      </c>
      <c r="C221" s="151">
        <v>0</v>
      </c>
      <c r="E221" s="143"/>
      <c r="F221" s="146"/>
      <c r="G221" s="146"/>
      <c r="H221" s="145"/>
      <c r="I221" s="145"/>
    </row>
    <row r="222" spans="1:9" ht="12.75">
      <c r="A222" s="149">
        <v>40664</v>
      </c>
      <c r="B222" s="151">
        <v>134.10</v>
      </c>
      <c r="C222" s="151">
        <v>13</v>
      </c>
      <c r="E222" s="143"/>
      <c r="F222" s="146"/>
      <c r="G222" s="146"/>
      <c r="H222" s="145"/>
      <c r="I222" s="145"/>
    </row>
    <row r="223" spans="1:9" ht="12.75">
      <c r="A223" s="149">
        <v>40695</v>
      </c>
      <c r="B223" s="151">
        <v>19</v>
      </c>
      <c r="C223" s="151">
        <v>52.20</v>
      </c>
      <c r="E223" s="143"/>
      <c r="F223" s="146"/>
      <c r="G223" s="146"/>
      <c r="H223" s="145"/>
      <c r="I223" s="145"/>
    </row>
    <row r="224" spans="1:9" ht="12.75">
      <c r="A224" s="149">
        <v>40725</v>
      </c>
      <c r="B224" s="151">
        <v>0</v>
      </c>
      <c r="C224" s="151">
        <v>198.50</v>
      </c>
      <c r="E224" s="143"/>
      <c r="F224" s="146"/>
      <c r="G224" s="146"/>
      <c r="H224" s="145"/>
      <c r="I224" s="145"/>
    </row>
    <row r="225" spans="1:9" ht="12.75">
      <c r="A225" s="149">
        <v>40756</v>
      </c>
      <c r="B225" s="151">
        <v>0</v>
      </c>
      <c r="C225" s="151">
        <v>122.20</v>
      </c>
      <c r="E225" s="143"/>
      <c r="F225" s="146"/>
      <c r="G225" s="146"/>
      <c r="H225" s="145"/>
      <c r="I225" s="145"/>
    </row>
    <row r="226" spans="1:9" ht="12.75">
      <c r="A226" s="149">
        <v>40787</v>
      </c>
      <c r="B226" s="151">
        <v>48.20</v>
      </c>
      <c r="C226" s="151">
        <v>39.700000000000003</v>
      </c>
      <c r="E226" s="143"/>
      <c r="F226" s="146"/>
      <c r="G226" s="146"/>
      <c r="H226" s="145"/>
      <c r="I226" s="145"/>
    </row>
    <row r="227" spans="1:9" ht="12.75">
      <c r="A227" s="149">
        <v>40817</v>
      </c>
      <c r="B227" s="151">
        <v>235.50</v>
      </c>
      <c r="C227" s="151">
        <v>2.40</v>
      </c>
      <c r="E227" s="143"/>
      <c r="F227" s="146"/>
      <c r="G227" s="146"/>
      <c r="H227" s="145"/>
      <c r="I227" s="145"/>
    </row>
    <row r="228" spans="1:9" ht="12.75">
      <c r="A228" s="149">
        <v>40848</v>
      </c>
      <c r="B228" s="151">
        <v>341.90</v>
      </c>
      <c r="C228" s="151">
        <v>0</v>
      </c>
      <c r="E228" s="143"/>
      <c r="F228" s="146"/>
      <c r="G228" s="146"/>
      <c r="H228" s="145"/>
      <c r="I228" s="145"/>
    </row>
    <row r="229" spans="1:9" ht="12.75">
      <c r="A229" s="149">
        <v>40878</v>
      </c>
      <c r="B229" s="151">
        <v>534</v>
      </c>
      <c r="C229" s="151">
        <v>0</v>
      </c>
      <c r="E229" s="143"/>
      <c r="F229" s="146"/>
      <c r="G229" s="146"/>
      <c r="H229" s="145"/>
      <c r="I229" s="145"/>
    </row>
    <row r="230" spans="1:9" ht="12.75">
      <c r="A230" s="149">
        <v>40909</v>
      </c>
      <c r="B230" s="151">
        <v>611.10</v>
      </c>
      <c r="C230" s="151">
        <v>0</v>
      </c>
      <c r="E230" s="143"/>
      <c r="F230" s="146"/>
      <c r="G230" s="146"/>
      <c r="H230" s="145"/>
      <c r="I230" s="145"/>
    </row>
    <row r="231" spans="1:9" ht="12.75">
      <c r="A231" s="149">
        <v>40940</v>
      </c>
      <c r="B231" s="151">
        <v>531.70000000000005</v>
      </c>
      <c r="C231" s="151">
        <v>0</v>
      </c>
      <c r="E231" s="143"/>
      <c r="F231" s="146"/>
      <c r="G231" s="146"/>
      <c r="H231" s="145"/>
      <c r="I231" s="145"/>
    </row>
    <row r="232" spans="1:9" ht="12.75">
      <c r="A232" s="149">
        <v>40969</v>
      </c>
      <c r="B232" s="151">
        <v>349.40</v>
      </c>
      <c r="C232" s="151">
        <v>0.20</v>
      </c>
      <c r="E232" s="143"/>
      <c r="F232" s="146"/>
      <c r="G232" s="146"/>
      <c r="H232" s="145"/>
      <c r="I232" s="145"/>
    </row>
    <row r="233" spans="1:9" ht="12.75">
      <c r="A233" s="149">
        <v>41000</v>
      </c>
      <c r="B233" s="151">
        <v>321.70</v>
      </c>
      <c r="C233" s="151">
        <v>0</v>
      </c>
      <c r="E233" s="143"/>
      <c r="F233" s="146"/>
      <c r="G233" s="146"/>
      <c r="H233" s="145"/>
      <c r="I233" s="145"/>
    </row>
    <row r="234" spans="1:9" ht="12.75">
      <c r="A234" s="149">
        <v>41030</v>
      </c>
      <c r="B234" s="151">
        <v>80.70</v>
      </c>
      <c r="C234" s="151">
        <v>36.700000000000003</v>
      </c>
      <c r="E234" s="143"/>
      <c r="F234" s="146"/>
      <c r="G234" s="146"/>
      <c r="H234" s="145"/>
      <c r="I234" s="145"/>
    </row>
    <row r="235" spans="1:9" ht="12.75">
      <c r="A235" s="149">
        <v>41061</v>
      </c>
      <c r="B235" s="151">
        <v>23.20</v>
      </c>
      <c r="C235" s="151">
        <v>101.60</v>
      </c>
      <c r="E235" s="143"/>
      <c r="F235" s="146"/>
      <c r="G235" s="146"/>
      <c r="H235" s="145"/>
      <c r="I235" s="145"/>
    </row>
    <row r="236" spans="1:9" ht="12.75">
      <c r="A236" s="149">
        <v>41091</v>
      </c>
      <c r="B236" s="151">
        <v>0</v>
      </c>
      <c r="C236" s="151">
        <v>195.40</v>
      </c>
      <c r="E236" s="143"/>
      <c r="F236" s="146"/>
      <c r="G236" s="146"/>
      <c r="H236" s="145"/>
      <c r="I236" s="145"/>
    </row>
    <row r="237" spans="1:9" ht="12.75">
      <c r="A237" s="149">
        <v>41122</v>
      </c>
      <c r="B237" s="151">
        <v>2</v>
      </c>
      <c r="C237" s="151">
        <v>112.10</v>
      </c>
      <c r="E237" s="143"/>
      <c r="F237" s="146"/>
      <c r="G237" s="146"/>
      <c r="H237" s="145"/>
      <c r="I237" s="145"/>
    </row>
    <row r="238" spans="1:9" ht="12.75">
      <c r="A238" s="149">
        <v>41153</v>
      </c>
      <c r="B238" s="151">
        <v>85</v>
      </c>
      <c r="C238" s="151">
        <v>35.60</v>
      </c>
      <c r="E238" s="143"/>
      <c r="F238" s="146"/>
      <c r="G238" s="146"/>
      <c r="H238" s="145"/>
      <c r="I238" s="145"/>
    </row>
    <row r="239" spans="1:9" ht="12.75">
      <c r="A239" s="149">
        <v>41183</v>
      </c>
      <c r="B239" s="151">
        <v>242.50</v>
      </c>
      <c r="C239" s="151">
        <v>1.1000000000000001</v>
      </c>
      <c r="E239" s="143"/>
      <c r="F239" s="146"/>
      <c r="G239" s="146"/>
      <c r="H239" s="145"/>
      <c r="I239" s="145"/>
    </row>
    <row r="240" spans="1:7" ht="12.75">
      <c r="A240" s="149">
        <v>41214</v>
      </c>
      <c r="B240" s="151">
        <v>434</v>
      </c>
      <c r="C240" s="151">
        <v>0</v>
      </c>
      <c r="F240" s="32"/>
      <c r="G240" s="32"/>
    </row>
    <row r="241" spans="1:3" ht="12.75">
      <c r="A241" s="149">
        <v>41244</v>
      </c>
      <c r="B241" s="151">
        <v>533.50</v>
      </c>
      <c r="C241" s="151">
        <v>0</v>
      </c>
    </row>
    <row r="242" spans="1:3" ht="12.75">
      <c r="A242" s="149">
        <v>41275</v>
      </c>
      <c r="B242" s="32">
        <v>624.40</v>
      </c>
      <c r="C242" s="32">
        <v>0</v>
      </c>
    </row>
    <row r="243" spans="1:3" ht="12.75">
      <c r="A243" s="149">
        <v>41306</v>
      </c>
      <c r="B243" s="148">
        <v>631.50</v>
      </c>
      <c r="C243" s="32">
        <v>0</v>
      </c>
    </row>
    <row r="244" spans="1:3" ht="12.75">
      <c r="A244" s="149">
        <v>41334</v>
      </c>
      <c r="B244" s="32">
        <v>554.79999999999995</v>
      </c>
      <c r="C244" s="32">
        <v>0</v>
      </c>
    </row>
    <row r="245" spans="1:3" ht="12.75">
      <c r="A245" s="149">
        <v>41365</v>
      </c>
      <c r="B245" s="32">
        <v>358.60</v>
      </c>
      <c r="C245" s="32">
        <v>0</v>
      </c>
    </row>
    <row r="246" spans="1:3" ht="12.75">
      <c r="A246" s="149">
        <v>41395</v>
      </c>
      <c r="B246" s="32">
        <v>109.10</v>
      </c>
      <c r="C246" s="32">
        <v>23.10</v>
      </c>
    </row>
    <row r="247" spans="1:3" ht="12.75">
      <c r="A247" s="149">
        <v>41426</v>
      </c>
      <c r="B247" s="32">
        <v>33</v>
      </c>
      <c r="C247" s="32">
        <v>59.60</v>
      </c>
    </row>
    <row r="248" spans="1:3" ht="12.75">
      <c r="A248" s="149">
        <v>41456</v>
      </c>
      <c r="B248" s="32">
        <v>1.30</v>
      </c>
      <c r="C248" s="32">
        <v>120.80</v>
      </c>
    </row>
    <row r="249" spans="1:3" ht="12.75">
      <c r="A249" s="149">
        <v>41487</v>
      </c>
      <c r="B249" s="32">
        <v>4.4000000000000004</v>
      </c>
      <c r="C249" s="32">
        <v>93.80</v>
      </c>
    </row>
    <row r="250" spans="1:3" ht="12.75">
      <c r="A250" s="149">
        <v>41518</v>
      </c>
      <c r="B250" s="32">
        <v>83</v>
      </c>
      <c r="C250" s="32">
        <v>28.10</v>
      </c>
    </row>
    <row r="251" spans="1:3" ht="12.75">
      <c r="A251" s="149">
        <v>41548</v>
      </c>
      <c r="B251" s="32">
        <v>208.50</v>
      </c>
      <c r="C251" s="32">
        <v>0.40</v>
      </c>
    </row>
    <row r="252" spans="1:3" ht="12.75">
      <c r="A252" s="149">
        <v>41579</v>
      </c>
      <c r="B252" s="32">
        <v>478.20</v>
      </c>
      <c r="C252" s="32">
        <v>0</v>
      </c>
    </row>
    <row r="253" spans="1:3" ht="12.75">
      <c r="A253" s="149">
        <v>41609</v>
      </c>
      <c r="B253" s="32">
        <v>687.90</v>
      </c>
      <c r="C253" s="32">
        <v>0</v>
      </c>
    </row>
    <row r="254" spans="1:3" ht="12.75">
      <c r="A254" s="149">
        <v>41640</v>
      </c>
      <c r="B254" s="32">
        <v>825.90</v>
      </c>
      <c r="C254" s="32">
        <v>0</v>
      </c>
    </row>
    <row r="255" spans="1:3" ht="12.75">
      <c r="A255" s="149">
        <v>41671</v>
      </c>
      <c r="B255" s="32">
        <v>737.10</v>
      </c>
      <c r="C255" s="32">
        <v>0</v>
      </c>
    </row>
    <row r="256" spans="1:3" ht="12.75">
      <c r="A256" s="149">
        <v>41699</v>
      </c>
      <c r="B256" s="32">
        <v>690.60</v>
      </c>
      <c r="C256" s="32">
        <v>0</v>
      </c>
    </row>
    <row r="257" spans="1:3" ht="12.75">
      <c r="A257" s="149">
        <v>41730</v>
      </c>
      <c r="B257" s="32">
        <v>356.90</v>
      </c>
      <c r="C257" s="32">
        <v>0</v>
      </c>
    </row>
    <row r="258" spans="1:3" ht="12.75">
      <c r="A258" s="149">
        <v>41760</v>
      </c>
      <c r="B258" s="32">
        <v>132.10</v>
      </c>
      <c r="C258" s="32">
        <v>11.90</v>
      </c>
    </row>
    <row r="259" spans="1:3" ht="12.75">
      <c r="A259" s="149">
        <v>41791</v>
      </c>
      <c r="B259" s="32">
        <v>14.10</v>
      </c>
      <c r="C259" s="32">
        <v>68.099999999999994</v>
      </c>
    </row>
    <row r="260" spans="1:3" ht="12.75">
      <c r="A260" s="149">
        <v>41821</v>
      </c>
      <c r="B260" s="32">
        <v>4</v>
      </c>
      <c r="C260" s="32">
        <v>71</v>
      </c>
    </row>
    <row r="261" spans="1:3" ht="12.75">
      <c r="A261" s="149">
        <v>41852</v>
      </c>
      <c r="B261" s="32">
        <v>8.8000000000000007</v>
      </c>
      <c r="C261" s="32">
        <v>81.80</v>
      </c>
    </row>
    <row r="262" spans="1:3" ht="12.75">
      <c r="A262" s="149">
        <v>41883</v>
      </c>
      <c r="B262" s="32">
        <v>69.70</v>
      </c>
      <c r="C262" s="32">
        <v>30.10</v>
      </c>
    </row>
    <row r="263" spans="1:3" ht="12.75">
      <c r="A263" s="149">
        <v>41913</v>
      </c>
      <c r="B263" s="32">
        <v>224.30</v>
      </c>
      <c r="C263" s="32">
        <v>1.30</v>
      </c>
    </row>
    <row r="264" spans="1:3" ht="12.75">
      <c r="A264" s="149">
        <v>41944</v>
      </c>
      <c r="B264" s="32">
        <v>482.10</v>
      </c>
      <c r="C264" s="32">
        <v>0</v>
      </c>
    </row>
    <row r="265" spans="1:3" ht="12.75">
      <c r="A265" s="149">
        <v>41974</v>
      </c>
      <c r="B265" s="32">
        <v>557.29999999999995</v>
      </c>
      <c r="C265" s="32">
        <v>0</v>
      </c>
    </row>
    <row r="266" ht="12.75">
      <c r="B266">
        <f>SUM(B2:B265)</f>
        <v>81555.459999999992</v>
      </c>
    </row>
    <row r="268" spans="1:8" ht="12.75">
      <c r="A268" s="333" t="s">
        <v>134</v>
      </c>
      <c r="B268" s="333"/>
      <c r="C268" s="333"/>
      <c r="E268" s="333" t="s">
        <v>135</v>
      </c>
      <c r="F268" s="333"/>
      <c r="G268" s="333"/>
      <c r="H268" s="141"/>
    </row>
    <row r="269" spans="1:10" ht="12.75">
      <c r="A269" s="3">
        <v>42370</v>
      </c>
      <c r="B269" s="142">
        <f t="shared" si="12" ref="B269:C280">(+B26+B38+B50+B62+B74+B86+B98+B110+B122+B134+B146+B158+B170+B182+B194+B207+B218+B230+B242+B254)/20</f>
        <v>701.265</v>
      </c>
      <c r="C269" s="142">
        <f>(+C26+C38+C50+C62+C74+C86+C98+C110+C122+C134+C146+C158+C170+C182+C194+C207+C218+C230+C242+C254)/20</f>
        <v>0</v>
      </c>
      <c r="E269" s="3">
        <v>42370</v>
      </c>
      <c r="F269" s="142">
        <f t="shared" si="13" ref="F269:F280">(+B146+B158+B170+B182+B194+B207+B218+B230+B242+B254)/10</f>
        <v>685.76</v>
      </c>
      <c r="G269" s="142">
        <f t="shared" si="14" ref="G269:G280">(+C146+C158+C170+C182+C194+C207+C218+C230+C242+C254)/10</f>
        <v>0</v>
      </c>
      <c r="I269" s="142"/>
      <c r="J269" s="142"/>
    </row>
    <row r="270" spans="1:10" ht="12.75">
      <c r="A270" s="3">
        <v>42401</v>
      </c>
      <c r="B270" s="142">
        <f t="shared" si="12"/>
        <v>614.79000000000008</v>
      </c>
      <c r="C270" s="142">
        <f t="shared" si="12"/>
        <v>0</v>
      </c>
      <c r="E270" s="3">
        <v>42401</v>
      </c>
      <c r="F270" s="142">
        <f t="shared" si="13"/>
        <v>621.92000000000007</v>
      </c>
      <c r="G270" s="142">
        <f t="shared" si="14"/>
        <v>0</v>
      </c>
      <c r="I270" s="142"/>
      <c r="J270" s="142"/>
    </row>
    <row r="271" spans="1:10" ht="12.75">
      <c r="A271" s="3">
        <v>42430</v>
      </c>
      <c r="B271" s="142">
        <f t="shared" si="12"/>
        <v>528.41999999999996</v>
      </c>
      <c r="C271" s="142">
        <f t="shared" si="12"/>
        <v>0.01</v>
      </c>
      <c r="E271" s="3">
        <v>42430</v>
      </c>
      <c r="F271" s="142">
        <f t="shared" si="13"/>
        <v>520.86</v>
      </c>
      <c r="G271" s="142">
        <f t="shared" si="14"/>
        <v>0.02</v>
      </c>
      <c r="I271" s="142"/>
      <c r="J271" s="142"/>
    </row>
    <row r="272" spans="1:10" ht="12.75">
      <c r="A272" s="3">
        <v>42461</v>
      </c>
      <c r="B272" s="142">
        <f t="shared" si="12"/>
        <v>320.32</v>
      </c>
      <c r="C272" s="142">
        <f t="shared" si="12"/>
        <v>2.95</v>
      </c>
      <c r="E272" s="3">
        <v>42461</v>
      </c>
      <c r="F272" s="142">
        <f t="shared" si="13"/>
        <v>299.36</v>
      </c>
      <c r="G272" s="142">
        <f t="shared" si="14"/>
        <v>4.6900000000000004</v>
      </c>
      <c r="I272" s="142"/>
      <c r="J272" s="142"/>
    </row>
    <row r="273" spans="1:10" ht="12.75">
      <c r="A273" s="3">
        <v>42491</v>
      </c>
      <c r="B273" s="142">
        <f t="shared" si="12"/>
        <v>143.58500000000001</v>
      </c>
      <c r="C273" s="142">
        <f t="shared" si="12"/>
        <v>15.77</v>
      </c>
      <c r="E273" s="3">
        <v>42491</v>
      </c>
      <c r="F273" s="142">
        <f t="shared" si="13"/>
        <v>129.26999999999998</v>
      </c>
      <c r="G273" s="142">
        <f t="shared" si="14"/>
        <v>20.20</v>
      </c>
      <c r="I273" s="142"/>
      <c r="J273" s="142"/>
    </row>
    <row r="274" spans="1:10" ht="12.75">
      <c r="A274" s="3">
        <v>42522</v>
      </c>
      <c r="B274" s="142">
        <f t="shared" si="12"/>
        <v>26.795</v>
      </c>
      <c r="C274" s="142">
        <f t="shared" si="12"/>
        <v>75.41</v>
      </c>
      <c r="E274" s="3">
        <v>42522</v>
      </c>
      <c r="F274" s="142">
        <f t="shared" si="13"/>
        <v>20.799999999999997</v>
      </c>
      <c r="G274" s="142">
        <f t="shared" si="14"/>
        <v>87.120000000000019</v>
      </c>
      <c r="I274" s="142"/>
      <c r="J274" s="142"/>
    </row>
    <row r="275" spans="1:10" ht="12.75">
      <c r="A275" s="3">
        <v>42552</v>
      </c>
      <c r="B275" s="142">
        <f t="shared" si="12"/>
        <v>3.5050000000000003</v>
      </c>
      <c r="C275" s="142">
        <f t="shared" si="12"/>
        <v>125.77000000000001</v>
      </c>
      <c r="E275" s="3">
        <v>42552</v>
      </c>
      <c r="F275" s="142">
        <f t="shared" si="13"/>
        <v>1.78</v>
      </c>
      <c r="G275" s="142">
        <f t="shared" si="14"/>
        <v>134.13000000000002</v>
      </c>
      <c r="I275" s="142"/>
      <c r="J275" s="142"/>
    </row>
    <row r="276" spans="1:10" ht="12.75">
      <c r="A276" s="3">
        <v>42583</v>
      </c>
      <c r="B276" s="142">
        <f t="shared" si="12"/>
        <v>9.285</v>
      </c>
      <c r="C276" s="142">
        <f t="shared" si="12"/>
        <v>102.19999999999999</v>
      </c>
      <c r="E276" s="3">
        <v>42583</v>
      </c>
      <c r="F276" s="142">
        <f t="shared" si="13"/>
        <v>12.54</v>
      </c>
      <c r="G276" s="142">
        <f t="shared" si="14"/>
        <v>97.97</v>
      </c>
      <c r="I276" s="142"/>
      <c r="J276" s="142"/>
    </row>
    <row r="277" spans="1:10" ht="12.75">
      <c r="A277" s="3">
        <v>42614</v>
      </c>
      <c r="B277" s="142">
        <f t="shared" si="12"/>
        <v>59.458000000000006</v>
      </c>
      <c r="C277" s="142">
        <f t="shared" si="12"/>
        <v>33.335</v>
      </c>
      <c r="E277" s="3">
        <v>42614</v>
      </c>
      <c r="F277" s="142">
        <f t="shared" si="13"/>
        <v>56.556000000000004</v>
      </c>
      <c r="G277" s="142">
        <f t="shared" si="14"/>
        <v>29.360000000000003</v>
      </c>
      <c r="I277" s="142"/>
      <c r="J277" s="142"/>
    </row>
    <row r="278" spans="1:10" ht="12.75">
      <c r="A278" s="3">
        <v>42644</v>
      </c>
      <c r="B278" s="142">
        <f t="shared" si="12"/>
        <v>250.65</v>
      </c>
      <c r="C278" s="142">
        <f t="shared" si="12"/>
        <v>2.64</v>
      </c>
      <c r="E278" s="3">
        <v>42644</v>
      </c>
      <c r="F278" s="142">
        <f t="shared" si="13"/>
        <v>252.87000000000003</v>
      </c>
      <c r="G278" s="142">
        <f t="shared" si="14"/>
        <v>3.3699999999999997</v>
      </c>
      <c r="I278" s="142"/>
      <c r="J278" s="142"/>
    </row>
    <row r="279" spans="1:10" ht="12.75">
      <c r="A279" s="3">
        <v>42675</v>
      </c>
      <c r="B279" s="142">
        <f t="shared" si="12"/>
        <v>432.66499999999996</v>
      </c>
      <c r="C279" s="142">
        <f t="shared" si="12"/>
        <v>0</v>
      </c>
      <c r="E279" s="3">
        <v>42675</v>
      </c>
      <c r="F279" s="142">
        <f t="shared" si="13"/>
        <v>445.83000000000004</v>
      </c>
      <c r="G279" s="142">
        <f t="shared" si="14"/>
        <v>0</v>
      </c>
      <c r="I279" s="142"/>
      <c r="J279" s="142"/>
    </row>
    <row r="280" spans="1:10" ht="12.75">
      <c r="A280" s="3">
        <v>42705</v>
      </c>
      <c r="B280" s="142">
        <f t="shared" si="12"/>
        <v>611.05499999999984</v>
      </c>
      <c r="C280" s="142">
        <f t="shared" si="12"/>
        <v>0</v>
      </c>
      <c r="E280" s="3">
        <v>42705</v>
      </c>
      <c r="F280" s="142">
        <f t="shared" si="13"/>
        <v>617.04</v>
      </c>
      <c r="G280" s="142">
        <f t="shared" si="14"/>
        <v>0</v>
      </c>
      <c r="I280" s="142"/>
      <c r="J280" s="142"/>
    </row>
    <row r="281" ht="12.75">
      <c r="A281" s="3"/>
    </row>
    <row r="282" ht="12.75">
      <c r="A282" s="3"/>
    </row>
    <row r="283" ht="12.75">
      <c r="A283" s="3"/>
    </row>
    <row r="284" ht="12.75">
      <c r="A284" s="3"/>
    </row>
    <row r="285" ht="12.75">
      <c r="A285" s="3"/>
    </row>
    <row r="286" ht="12.75">
      <c r="A286" s="3"/>
    </row>
    <row r="287" ht="12.75">
      <c r="A287" s="3"/>
    </row>
    <row r="288" ht="12.75">
      <c r="A288" s="3"/>
    </row>
    <row r="289" ht="12.75">
      <c r="A289" s="3"/>
    </row>
    <row r="290" ht="12.75">
      <c r="A290" s="3"/>
    </row>
    <row r="291" ht="12.75">
      <c r="A291" s="3"/>
    </row>
    <row r="292" ht="12.75">
      <c r="A292" s="3"/>
    </row>
    <row r="293" ht="12.75">
      <c r="A293" s="3"/>
    </row>
    <row r="294" ht="12.75">
      <c r="A294" s="3"/>
    </row>
    <row r="295" ht="12.75">
      <c r="A295" s="3"/>
    </row>
  </sheetData>
  <mergeCells count="2">
    <mergeCell ref="A268:C268"/>
    <mergeCell ref="E268:G268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2"/>
  <sheetViews>
    <sheetView workbookViewId="0" topLeftCell="A52"/>
  </sheetViews>
  <sheetFormatPr defaultColWidth="9.14285714285714" defaultRowHeight="12.75"/>
  <cols>
    <col min="2" max="2" width="12.8571428571429" bestFit="1" customWidth="1"/>
    <col min="3" max="3" width="12.8571428571429" style="32" bestFit="1" customWidth="1"/>
    <col min="5" max="5" width="13.4285714285714" bestFit="1" customWidth="1"/>
  </cols>
  <sheetData>
    <row r="1" spans="2:3" ht="38.25">
      <c r="B1" s="152" t="s">
        <v>136</v>
      </c>
      <c r="C1" s="254"/>
    </row>
    <row r="2" spans="1:3" ht="12.75">
      <c r="A2" s="3">
        <v>40148</v>
      </c>
      <c r="B2" s="97">
        <v>407637.63</v>
      </c>
      <c r="C2" s="212"/>
    </row>
    <row r="3" spans="1:3" ht="12.75">
      <c r="A3" s="3">
        <v>40179</v>
      </c>
      <c r="B3" s="97">
        <v>382398.57</v>
      </c>
      <c r="C3" s="212"/>
    </row>
    <row r="4" spans="1:3" ht="12.75">
      <c r="A4" s="3">
        <v>40210</v>
      </c>
      <c r="B4" s="97">
        <v>337484.34</v>
      </c>
      <c r="C4" s="212"/>
    </row>
    <row r="5" spans="1:3" ht="12.75">
      <c r="A5" s="3">
        <v>40238</v>
      </c>
      <c r="B5" s="97">
        <v>384544.26</v>
      </c>
      <c r="C5" s="212"/>
    </row>
    <row r="6" spans="1:3" ht="12.75">
      <c r="A6" s="3">
        <v>40269</v>
      </c>
      <c r="B6" s="97">
        <v>371443.59</v>
      </c>
      <c r="C6" s="212"/>
    </row>
    <row r="7" spans="1:3" ht="12.75">
      <c r="A7" s="3">
        <v>40299</v>
      </c>
      <c r="B7" s="97">
        <v>426876.75</v>
      </c>
      <c r="C7" s="212"/>
    </row>
    <row r="8" spans="1:3" ht="12.75">
      <c r="A8" s="3">
        <v>40330</v>
      </c>
      <c r="B8" s="97">
        <v>438017.49</v>
      </c>
      <c r="C8" s="212"/>
    </row>
    <row r="9" spans="1:3" ht="12.75">
      <c r="A9" s="3">
        <v>40360</v>
      </c>
      <c r="B9" s="97">
        <v>474347.34</v>
      </c>
      <c r="C9" s="212"/>
    </row>
    <row r="10" spans="1:3" ht="12.75">
      <c r="A10" s="3">
        <v>40391</v>
      </c>
      <c r="B10" s="97">
        <v>463717.17</v>
      </c>
      <c r="C10" s="212"/>
    </row>
    <row r="11" spans="1:3" ht="12.75">
      <c r="A11" s="3">
        <v>40422</v>
      </c>
      <c r="B11" s="97">
        <v>407795.85</v>
      </c>
      <c r="C11" s="212"/>
    </row>
    <row r="12" spans="1:3" ht="12.75">
      <c r="A12" s="3">
        <v>40452</v>
      </c>
      <c r="B12" s="97">
        <v>390634.11</v>
      </c>
      <c r="C12" s="212"/>
    </row>
    <row r="13" spans="1:3" ht="12.75">
      <c r="A13" s="3">
        <v>40483</v>
      </c>
      <c r="B13" s="97">
        <v>370443.24</v>
      </c>
      <c r="C13" s="212"/>
    </row>
    <row r="14" spans="1:3" ht="12.75">
      <c r="A14" s="3">
        <v>40513</v>
      </c>
      <c r="B14" s="97">
        <v>385786.80</v>
      </c>
      <c r="C14" s="212"/>
    </row>
    <row r="15" spans="1:3" ht="12.75">
      <c r="A15" s="3">
        <v>40544</v>
      </c>
      <c r="B15" s="97">
        <v>382528.71</v>
      </c>
      <c r="C15" s="212"/>
    </row>
    <row r="16" spans="1:3" ht="12.75">
      <c r="A16" s="3">
        <v>40575</v>
      </c>
      <c r="B16" s="97">
        <v>339255</v>
      </c>
      <c r="C16" s="212"/>
    </row>
    <row r="17" spans="1:3" ht="12.75">
      <c r="A17" s="3">
        <v>40603</v>
      </c>
      <c r="B17" s="97">
        <v>382156.11</v>
      </c>
      <c r="C17" s="212"/>
    </row>
    <row r="18" spans="1:3" ht="12.75">
      <c r="A18" s="3">
        <v>40634</v>
      </c>
      <c r="B18" s="97">
        <v>371672.55</v>
      </c>
      <c r="C18" s="212"/>
    </row>
    <row r="19" spans="1:3" ht="12.75">
      <c r="A19" s="3">
        <v>40664</v>
      </c>
      <c r="B19" s="97">
        <v>411826.68</v>
      </c>
      <c r="C19" s="212"/>
    </row>
    <row r="20" spans="1:3" ht="12.75">
      <c r="A20" s="3">
        <v>40695</v>
      </c>
      <c r="B20" s="97">
        <v>424234.80</v>
      </c>
      <c r="C20" s="212"/>
    </row>
    <row r="21" spans="1:3" ht="12.75">
      <c r="A21" s="3">
        <v>40725</v>
      </c>
      <c r="B21" s="97">
        <v>479336.67</v>
      </c>
      <c r="C21" s="212"/>
    </row>
    <row r="22" spans="1:3" ht="12.75">
      <c r="A22" s="3">
        <v>40756</v>
      </c>
      <c r="B22" s="97">
        <v>455363.37</v>
      </c>
      <c r="C22" s="212"/>
    </row>
    <row r="23" spans="1:3" ht="12.75">
      <c r="A23" s="3">
        <v>40787</v>
      </c>
      <c r="B23" s="97">
        <v>410701.59</v>
      </c>
      <c r="C23" s="212"/>
    </row>
    <row r="24" spans="1:3" ht="12.75">
      <c r="A24" s="3">
        <v>40817</v>
      </c>
      <c r="B24" s="97">
        <v>385105.86</v>
      </c>
      <c r="C24" s="212"/>
    </row>
    <row r="25" spans="1:3" ht="12.75">
      <c r="A25" s="3">
        <v>40848</v>
      </c>
      <c r="B25" s="97">
        <v>357317.73</v>
      </c>
      <c r="C25" s="212"/>
    </row>
    <row r="26" spans="1:3" ht="12.75">
      <c r="A26" s="3">
        <v>40878</v>
      </c>
      <c r="B26" s="97">
        <v>364649.85</v>
      </c>
      <c r="C26" s="212"/>
    </row>
    <row r="27" spans="1:3" ht="12.75">
      <c r="A27" s="3">
        <v>40909</v>
      </c>
      <c r="B27" s="97">
        <v>364090.95</v>
      </c>
      <c r="C27" s="212"/>
    </row>
    <row r="28" spans="1:3" ht="12.75">
      <c r="A28" s="3">
        <v>40940</v>
      </c>
      <c r="B28" s="97">
        <v>320692.77</v>
      </c>
      <c r="C28" s="212"/>
    </row>
    <row r="29" spans="1:3" ht="12.75">
      <c r="A29" s="3">
        <v>40969</v>
      </c>
      <c r="B29" s="97">
        <v>357387.66</v>
      </c>
      <c r="C29" s="212"/>
    </row>
    <row r="30" spans="1:3" ht="12.75">
      <c r="A30" s="3">
        <v>41000</v>
      </c>
      <c r="B30" s="97">
        <v>338770.89</v>
      </c>
      <c r="C30" s="212"/>
    </row>
    <row r="31" spans="1:3" ht="12.75">
      <c r="A31" s="3">
        <v>41030</v>
      </c>
      <c r="B31" s="97">
        <v>387796.95</v>
      </c>
      <c r="C31" s="212"/>
    </row>
    <row r="32" spans="1:3" ht="12.75">
      <c r="A32" s="3">
        <v>41061</v>
      </c>
      <c r="B32" s="97">
        <v>404462.43</v>
      </c>
      <c r="C32" s="212"/>
    </row>
    <row r="33" spans="1:3" ht="12.75">
      <c r="A33" s="3">
        <v>41091</v>
      </c>
      <c r="B33" s="97">
        <v>380974.05</v>
      </c>
      <c r="C33" s="212"/>
    </row>
    <row r="34" spans="1:3" ht="12.75">
      <c r="A34" s="3">
        <v>41122</v>
      </c>
      <c r="B34" s="97">
        <v>508657.46</v>
      </c>
      <c r="C34" s="212"/>
    </row>
    <row r="35" spans="1:3" ht="12.75">
      <c r="A35" s="3">
        <v>41153</v>
      </c>
      <c r="B35" s="97">
        <v>378234.79</v>
      </c>
      <c r="C35" s="212"/>
    </row>
    <row r="36" spans="1:3" ht="12.75">
      <c r="A36" s="3">
        <v>41183</v>
      </c>
      <c r="B36" s="97">
        <v>365674.52</v>
      </c>
      <c r="C36" s="212"/>
    </row>
    <row r="37" spans="1:3" ht="12.75">
      <c r="A37" s="3">
        <v>41214</v>
      </c>
      <c r="B37" s="97">
        <v>352309.92</v>
      </c>
      <c r="C37" s="212"/>
    </row>
    <row r="38" spans="1:3" ht="12.75">
      <c r="A38" s="3">
        <v>41244</v>
      </c>
      <c r="B38" s="97">
        <v>385334.27</v>
      </c>
      <c r="C38" s="212"/>
    </row>
    <row r="39" spans="1:3" ht="12.75">
      <c r="A39" s="3">
        <v>41275</v>
      </c>
      <c r="B39" s="97">
        <v>377515.67</v>
      </c>
      <c r="C39" s="212"/>
    </row>
    <row r="40" spans="1:3" ht="12.75">
      <c r="A40" s="3">
        <v>41306</v>
      </c>
      <c r="B40" s="97">
        <v>327338.17</v>
      </c>
      <c r="C40" s="212"/>
    </row>
    <row r="41" spans="1:3" ht="12.75">
      <c r="A41" s="3">
        <v>41334</v>
      </c>
      <c r="B41" s="97">
        <v>362504.74</v>
      </c>
      <c r="C41" s="212"/>
    </row>
    <row r="42" spans="1:3" ht="12.75">
      <c r="A42" s="3">
        <v>41365</v>
      </c>
      <c r="B42" s="97">
        <v>359522.20</v>
      </c>
      <c r="C42" s="212"/>
    </row>
    <row r="43" spans="1:3" ht="12.75">
      <c r="A43" s="3">
        <v>41395</v>
      </c>
      <c r="B43" s="97">
        <v>397639.71</v>
      </c>
      <c r="C43" s="212"/>
    </row>
    <row r="44" spans="1:3" ht="12.75">
      <c r="A44" s="3">
        <v>41426</v>
      </c>
      <c r="B44" s="97">
        <v>407162.86</v>
      </c>
      <c r="C44" s="212"/>
    </row>
    <row r="45" spans="1:3" ht="12.75">
      <c r="A45" s="3">
        <v>41456</v>
      </c>
      <c r="B45" s="97">
        <v>444743.58</v>
      </c>
      <c r="C45" s="212"/>
    </row>
    <row r="46" spans="1:3" ht="12.75">
      <c r="A46" s="3">
        <v>41487</v>
      </c>
      <c r="B46" s="97">
        <v>434912.29</v>
      </c>
      <c r="C46" s="212"/>
    </row>
    <row r="47" spans="1:3" ht="12.75">
      <c r="A47" s="3">
        <v>41518</v>
      </c>
      <c r="B47" s="97">
        <v>391448.66</v>
      </c>
      <c r="C47" s="212"/>
    </row>
    <row r="48" spans="1:3" ht="12.75">
      <c r="A48" s="3">
        <v>41548</v>
      </c>
      <c r="B48" s="97">
        <v>377726.71</v>
      </c>
      <c r="C48" s="212"/>
    </row>
    <row r="49" spans="1:3" ht="12.75">
      <c r="A49" s="3">
        <v>41579</v>
      </c>
      <c r="B49" s="97">
        <v>354348.77</v>
      </c>
      <c r="C49" s="212"/>
    </row>
    <row r="50" spans="1:3" ht="12.75">
      <c r="A50" s="3">
        <v>41609</v>
      </c>
      <c r="B50" s="97">
        <v>370634.28</v>
      </c>
      <c r="C50" s="212"/>
    </row>
    <row r="51" spans="1:3" ht="12.75">
      <c r="A51" s="3">
        <v>41640</v>
      </c>
      <c r="B51" s="97">
        <v>366493.27</v>
      </c>
      <c r="C51" s="212"/>
    </row>
    <row r="52" spans="1:3" ht="12.75">
      <c r="A52" s="3">
        <v>41671</v>
      </c>
      <c r="B52" s="97">
        <v>323641.03999999998</v>
      </c>
      <c r="C52" s="212"/>
    </row>
    <row r="53" spans="1:3" ht="12.75">
      <c r="A53" s="3">
        <v>41699</v>
      </c>
      <c r="B53" s="97">
        <v>347275.03</v>
      </c>
      <c r="C53" s="212"/>
    </row>
    <row r="54" spans="1:3" ht="12.75">
      <c r="A54" s="3">
        <v>41730</v>
      </c>
      <c r="B54" s="97">
        <v>342098.99</v>
      </c>
      <c r="C54" s="212"/>
    </row>
    <row r="55" spans="1:3" ht="12.75">
      <c r="A55" s="3">
        <v>41760</v>
      </c>
      <c r="B55" s="97">
        <v>382958.26</v>
      </c>
      <c r="C55" s="212"/>
    </row>
    <row r="56" spans="1:3" ht="12.75">
      <c r="A56" s="3">
        <v>41791</v>
      </c>
      <c r="B56" s="97">
        <v>407919.19</v>
      </c>
      <c r="C56" s="212"/>
    </row>
    <row r="57" spans="1:3" ht="12.75">
      <c r="A57" s="3">
        <v>41821</v>
      </c>
      <c r="B57" s="97">
        <v>420622.50</v>
      </c>
      <c r="C57" s="212"/>
    </row>
    <row r="58" spans="1:3" ht="12.75">
      <c r="A58" s="3">
        <v>41852</v>
      </c>
      <c r="B58" s="97">
        <v>422321.68</v>
      </c>
      <c r="C58" s="212"/>
    </row>
    <row r="59" spans="1:3" ht="12.75">
      <c r="A59" s="3">
        <v>41883</v>
      </c>
      <c r="B59" s="97">
        <v>385077.24</v>
      </c>
      <c r="C59" s="212"/>
    </row>
    <row r="60" spans="1:3" ht="12.75">
      <c r="A60" s="3">
        <v>41913</v>
      </c>
      <c r="B60" s="97">
        <v>364394.21</v>
      </c>
      <c r="C60" s="212"/>
    </row>
    <row r="61" spans="1:5" ht="12.75">
      <c r="A61" s="3">
        <v>41944</v>
      </c>
      <c r="B61" s="97">
        <v>363670.43</v>
      </c>
      <c r="C61" s="212"/>
      <c r="E61" s="97"/>
    </row>
    <row r="62" spans="1:5" ht="12.75">
      <c r="A62" s="3">
        <v>41974</v>
      </c>
      <c r="B62" s="97">
        <v>339127.69</v>
      </c>
      <c r="C62" s="212"/>
      <c r="E62" s="97"/>
    </row>
    <row r="65" spans="1:2" ht="12.75">
      <c r="A65">
        <v>2009</v>
      </c>
      <c r="B65" s="154">
        <f>+B2</f>
        <v>407637.63</v>
      </c>
    </row>
    <row r="66" spans="1:2" ht="12.75">
      <c r="A66">
        <v>2010</v>
      </c>
      <c r="B66" s="154">
        <f>SUM(B3:B14)</f>
        <v>4833489.51</v>
      </c>
    </row>
    <row r="67" spans="1:2" ht="12.75">
      <c r="A67">
        <v>2011</v>
      </c>
      <c r="B67" s="154">
        <f>SUM(B15:B26)</f>
        <v>4764148.919999999</v>
      </c>
    </row>
    <row r="68" spans="1:2" ht="12.75">
      <c r="A68">
        <v>2012</v>
      </c>
      <c r="B68" s="154">
        <f>SUM(B27:B38)</f>
        <v>4544386.66</v>
      </c>
    </row>
    <row r="69" spans="1:2" ht="12.75">
      <c r="A69">
        <v>2013</v>
      </c>
      <c r="B69" s="154">
        <f>SUM(B39:B50)</f>
        <v>4605497.6400000006</v>
      </c>
    </row>
    <row r="70" spans="1:2" ht="12.75">
      <c r="A70">
        <v>2014</v>
      </c>
      <c r="B70" s="154">
        <f>SUM(B51:B62)</f>
        <v>4465599.53</v>
      </c>
    </row>
    <row r="72" spans="2:3" ht="12.75">
      <c r="B72" s="97"/>
      <c r="C72" s="212"/>
    </row>
    <row r="73" spans="2:3" ht="12.75">
      <c r="B73" s="97"/>
      <c r="C73" s="212"/>
    </row>
    <row r="74" spans="2:3" ht="12.75">
      <c r="B74" s="97"/>
      <c r="C74" s="212"/>
    </row>
    <row r="75" spans="2:3" ht="12.75">
      <c r="B75" s="97"/>
      <c r="C75" s="212"/>
    </row>
    <row r="76" spans="2:3" ht="12.75">
      <c r="B76" s="97"/>
      <c r="C76" s="212"/>
    </row>
    <row r="77" spans="2:3" ht="12.75">
      <c r="B77" s="97"/>
      <c r="C77" s="212"/>
    </row>
    <row r="78" spans="2:3" ht="12.75">
      <c r="B78" s="97"/>
      <c r="C78" s="212"/>
    </row>
    <row r="79" spans="2:3" ht="12.75">
      <c r="B79" s="97"/>
      <c r="C79" s="212"/>
    </row>
    <row r="80" spans="2:3" ht="12.75">
      <c r="B80" s="97"/>
      <c r="C80" s="212"/>
    </row>
    <row r="81" ht="12.75">
      <c r="C81" s="212"/>
    </row>
    <row r="82" ht="12.75">
      <c r="C82" s="212"/>
    </row>
  </sheetData>
  <pageMargins left="0.7" right="0.7" top="0.75" bottom="0.75" header="0.3" footer="0.3"/>
  <pageSetup orientation="portrait" r:id="rId1"/>
  <ignoredErrors>
    <ignoredError sqref="B66:B7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14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11" customWidth="1"/>
    <col min="2" max="2" width="17.8571428571429" customWidth="1"/>
    <col min="3" max="3" width="13.4285714285714" bestFit="1" customWidth="1"/>
    <col min="4" max="4" width="13.8571428571429" bestFit="1" customWidth="1"/>
    <col min="5" max="5" width="16" bestFit="1" customWidth="1"/>
    <col min="6" max="6" width="12.2857142857143" bestFit="1" customWidth="1"/>
    <col min="7" max="7" width="11" customWidth="1"/>
    <col min="8" max="8" width="11.4285714285714" customWidth="1"/>
    <col min="9" max="9" width="16" bestFit="1" customWidth="1"/>
  </cols>
  <sheetData>
    <row r="1" spans="1:5" ht="12.75">
      <c r="A1" s="21" t="s">
        <v>182</v>
      </c>
      <c r="B1" s="352" t="s">
        <v>183</v>
      </c>
      <c r="C1" s="352"/>
      <c r="D1" s="352"/>
      <c r="E1" s="352"/>
    </row>
    <row r="3" spans="1:3" ht="25.5">
      <c r="A3" s="192"/>
      <c r="B3" s="229" t="s">
        <v>71</v>
      </c>
      <c r="C3" s="229" t="s">
        <v>72</v>
      </c>
    </row>
    <row r="4" spans="1:3" ht="12.75">
      <c r="A4" s="192"/>
      <c r="B4" s="192"/>
      <c r="C4" s="192"/>
    </row>
    <row r="5" spans="1:3" ht="12.75">
      <c r="A5" s="192">
        <v>2003</v>
      </c>
      <c r="B5" s="230">
        <v>462324178</v>
      </c>
      <c r="C5" s="230">
        <v>460137107</v>
      </c>
    </row>
    <row r="6" spans="1:3" ht="12.75">
      <c r="A6" s="192">
        <v>2004</v>
      </c>
      <c r="B6" s="230">
        <v>468337202</v>
      </c>
      <c r="C6" s="230">
        <v>466528212</v>
      </c>
    </row>
    <row r="7" spans="1:3" ht="12.75">
      <c r="A7" s="192">
        <v>2005</v>
      </c>
      <c r="B7" s="230">
        <v>495175531</v>
      </c>
      <c r="C7" s="230">
        <v>499420216</v>
      </c>
    </row>
    <row r="8" spans="1:3" ht="12.75">
      <c r="A8" s="192">
        <v>2006</v>
      </c>
      <c r="B8" s="230">
        <v>494169384</v>
      </c>
      <c r="C8" s="230">
        <v>499631624</v>
      </c>
    </row>
    <row r="9" spans="1:3" ht="12.75">
      <c r="A9" s="192">
        <v>2007</v>
      </c>
      <c r="B9" s="230">
        <v>515246437</v>
      </c>
      <c r="C9" s="230">
        <v>514624685</v>
      </c>
    </row>
    <row r="10" spans="1:3" ht="12.75">
      <c r="A10" s="192">
        <v>2008</v>
      </c>
      <c r="B10" s="230">
        <v>511670678</v>
      </c>
      <c r="C10" s="230">
        <v>510595091</v>
      </c>
    </row>
    <row r="11" spans="1:3" ht="12.75">
      <c r="A11" s="192">
        <v>2009</v>
      </c>
      <c r="B11" s="230">
        <v>506216453</v>
      </c>
      <c r="C11" s="230">
        <v>508916895</v>
      </c>
    </row>
    <row r="12" spans="1:3" ht="12.75">
      <c r="A12" s="192">
        <v>2010</v>
      </c>
      <c r="B12" s="230">
        <v>533307177</v>
      </c>
      <c r="C12" s="230">
        <v>525784615</v>
      </c>
    </row>
    <row r="13" spans="1:3" ht="12.75">
      <c r="A13" s="192">
        <v>2011</v>
      </c>
      <c r="B13" s="230">
        <v>532890587</v>
      </c>
      <c r="C13" s="230">
        <v>529162301</v>
      </c>
    </row>
    <row r="14" spans="1:3" ht="12.75">
      <c r="A14" s="192">
        <v>2012</v>
      </c>
      <c r="B14" s="230">
        <v>527242916</v>
      </c>
      <c r="C14" s="230">
        <v>532091579</v>
      </c>
    </row>
    <row r="15" spans="1:3" ht="12.75">
      <c r="A15" s="192">
        <v>2013</v>
      </c>
      <c r="B15" s="230">
        <v>535407041</v>
      </c>
      <c r="C15" s="230">
        <v>536018141</v>
      </c>
    </row>
    <row r="16" spans="1:3" ht="12.75">
      <c r="A16" s="192">
        <v>2014</v>
      </c>
      <c r="B16" s="230">
        <v>547873684</v>
      </c>
      <c r="C16" s="230">
        <v>546950802</v>
      </c>
    </row>
    <row r="17" spans="1:3" ht="12.75">
      <c r="A17" s="192">
        <v>2015</v>
      </c>
      <c r="B17" s="192" t="s">
        <v>184</v>
      </c>
      <c r="C17" s="230">
        <v>552501212</v>
      </c>
    </row>
    <row r="18" spans="1:3" ht="12.75">
      <c r="A18" s="192">
        <v>2016</v>
      </c>
      <c r="B18" s="192" t="s">
        <v>184</v>
      </c>
      <c r="C18" s="230">
        <v>557440066</v>
      </c>
    </row>
    <row r="21" spans="1:5" ht="12.75">
      <c r="A21" s="21" t="s">
        <v>185</v>
      </c>
      <c r="B21" s="352" t="s">
        <v>186</v>
      </c>
      <c r="C21" s="352"/>
      <c r="D21" s="352"/>
      <c r="E21" s="352"/>
    </row>
    <row r="23" spans="1:9" ht="38.25">
      <c r="A23" s="93" t="s">
        <v>115</v>
      </c>
      <c r="B23" s="93" t="s">
        <v>78</v>
      </c>
      <c r="C23" s="93" t="s">
        <v>187</v>
      </c>
      <c r="D23" s="229" t="s">
        <v>188</v>
      </c>
      <c r="E23" s="229" t="s">
        <v>189</v>
      </c>
      <c r="F23" s="93" t="s">
        <v>88</v>
      </c>
      <c r="G23" s="93" t="s">
        <v>82</v>
      </c>
      <c r="H23" s="229" t="s">
        <v>190</v>
      </c>
      <c r="I23" s="93" t="s">
        <v>11</v>
      </c>
    </row>
    <row r="24" spans="1:9" ht="12.75">
      <c r="A24" s="93">
        <v>2003</v>
      </c>
      <c r="B24" s="231">
        <v>16144</v>
      </c>
      <c r="C24" s="231">
        <v>1526</v>
      </c>
      <c r="D24" s="231">
        <v>144</v>
      </c>
      <c r="E24" s="231">
        <v>8</v>
      </c>
      <c r="F24" s="230">
        <v>356</v>
      </c>
      <c r="G24" s="230">
        <v>3804</v>
      </c>
      <c r="H24" s="230">
        <v>0</v>
      </c>
      <c r="I24" s="230">
        <f>SUM(B24:H24)</f>
        <v>21982</v>
      </c>
    </row>
    <row r="25" spans="1:9" ht="12.75">
      <c r="A25" s="93">
        <v>2004</v>
      </c>
      <c r="B25" s="231">
        <v>16646</v>
      </c>
      <c r="C25" s="231">
        <v>1596</v>
      </c>
      <c r="D25" s="231">
        <v>150</v>
      </c>
      <c r="E25" s="231">
        <v>8</v>
      </c>
      <c r="F25" s="230">
        <v>327</v>
      </c>
      <c r="G25" s="230">
        <v>3945</v>
      </c>
      <c r="H25" s="230">
        <v>0</v>
      </c>
      <c r="I25" s="230">
        <f t="shared" si="0" ref="I25:I35">SUM(B25:H25)</f>
        <v>22672</v>
      </c>
    </row>
    <row r="26" spans="1:9" ht="12.75">
      <c r="A26" s="93">
        <v>2005</v>
      </c>
      <c r="B26" s="231">
        <v>17301</v>
      </c>
      <c r="C26" s="231">
        <v>1660</v>
      </c>
      <c r="D26" s="231">
        <v>154</v>
      </c>
      <c r="E26" s="231">
        <v>8</v>
      </c>
      <c r="F26" s="230">
        <v>326</v>
      </c>
      <c r="G26" s="230">
        <v>4083</v>
      </c>
      <c r="H26" s="230">
        <v>1</v>
      </c>
      <c r="I26" s="230">
        <f t="shared" si="0"/>
        <v>23533</v>
      </c>
    </row>
    <row r="27" spans="1:9" ht="12.75">
      <c r="A27" s="93">
        <v>2006</v>
      </c>
      <c r="B27" s="231">
        <v>17913</v>
      </c>
      <c r="C27" s="231">
        <v>1572</v>
      </c>
      <c r="D27" s="231">
        <v>150</v>
      </c>
      <c r="E27" s="231">
        <v>9</v>
      </c>
      <c r="F27" s="230">
        <v>366</v>
      </c>
      <c r="G27" s="230">
        <v>4217</v>
      </c>
      <c r="H27" s="230">
        <v>67</v>
      </c>
      <c r="I27" s="230">
        <f t="shared" si="0"/>
        <v>24294</v>
      </c>
    </row>
    <row r="28" spans="1:9" ht="12.75">
      <c r="A28" s="93">
        <v>2007</v>
      </c>
      <c r="B28" s="231">
        <v>18284</v>
      </c>
      <c r="C28" s="231">
        <v>1501</v>
      </c>
      <c r="D28" s="231">
        <v>152</v>
      </c>
      <c r="E28" s="231">
        <v>10</v>
      </c>
      <c r="F28" s="230">
        <v>374</v>
      </c>
      <c r="G28" s="230">
        <v>4292</v>
      </c>
      <c r="H28" s="230">
        <v>134</v>
      </c>
      <c r="I28" s="230">
        <f t="shared" si="0"/>
        <v>24747</v>
      </c>
    </row>
    <row r="29" spans="1:9" ht="12.75">
      <c r="A29" s="93">
        <v>2008</v>
      </c>
      <c r="B29" s="231">
        <v>18499</v>
      </c>
      <c r="C29" s="231">
        <v>1542</v>
      </c>
      <c r="D29" s="231">
        <v>157</v>
      </c>
      <c r="E29" s="231">
        <v>10</v>
      </c>
      <c r="F29" s="230">
        <v>325</v>
      </c>
      <c r="G29" s="230">
        <v>4312</v>
      </c>
      <c r="H29" s="230">
        <v>136</v>
      </c>
      <c r="I29" s="230">
        <f t="shared" si="0"/>
        <v>24981</v>
      </c>
    </row>
    <row r="30" spans="1:9" ht="12.75">
      <c r="A30" s="93">
        <v>2009</v>
      </c>
      <c r="B30" s="231">
        <v>18698</v>
      </c>
      <c r="C30" s="231">
        <v>1548</v>
      </c>
      <c r="D30" s="231">
        <v>161</v>
      </c>
      <c r="E30" s="231">
        <v>10</v>
      </c>
      <c r="F30" s="230">
        <v>316</v>
      </c>
      <c r="G30" s="230">
        <v>4333</v>
      </c>
      <c r="H30" s="230">
        <v>136</v>
      </c>
      <c r="I30" s="230">
        <f t="shared" si="0"/>
        <v>25202</v>
      </c>
    </row>
    <row r="31" spans="1:9" ht="12.75">
      <c r="A31" s="93">
        <v>2010</v>
      </c>
      <c r="B31" s="231">
        <v>18867</v>
      </c>
      <c r="C31" s="231">
        <v>1606</v>
      </c>
      <c r="D31" s="231">
        <v>168</v>
      </c>
      <c r="E31" s="231">
        <v>11</v>
      </c>
      <c r="F31" s="230">
        <v>328</v>
      </c>
      <c r="G31" s="230">
        <v>4362</v>
      </c>
      <c r="H31" s="230">
        <v>138</v>
      </c>
      <c r="I31" s="230">
        <f t="shared" si="0"/>
        <v>25480</v>
      </c>
    </row>
    <row r="32" spans="1:9" ht="12.75">
      <c r="A32" s="93">
        <v>2011</v>
      </c>
      <c r="B32" s="231">
        <v>19136</v>
      </c>
      <c r="C32" s="231">
        <v>1708</v>
      </c>
      <c r="D32" s="231">
        <v>156</v>
      </c>
      <c r="E32" s="231">
        <v>12</v>
      </c>
      <c r="F32" s="230">
        <v>161</v>
      </c>
      <c r="G32" s="230">
        <v>4387</v>
      </c>
      <c r="H32" s="230">
        <v>144</v>
      </c>
      <c r="I32" s="230">
        <f t="shared" si="0"/>
        <v>25704</v>
      </c>
    </row>
    <row r="33" spans="1:9" ht="12.75">
      <c r="A33" s="93">
        <v>2012</v>
      </c>
      <c r="B33" s="231">
        <v>19194</v>
      </c>
      <c r="C33" s="231">
        <v>1710</v>
      </c>
      <c r="D33" s="231">
        <v>200</v>
      </c>
      <c r="E33" s="231">
        <v>12</v>
      </c>
      <c r="F33" s="230">
        <v>153</v>
      </c>
      <c r="G33" s="230">
        <v>4417</v>
      </c>
      <c r="H33" s="230">
        <v>151</v>
      </c>
      <c r="I33" s="230">
        <f t="shared" si="0"/>
        <v>25837</v>
      </c>
    </row>
    <row r="34" spans="1:9" ht="12.75">
      <c r="A34" s="93">
        <v>2013</v>
      </c>
      <c r="B34" s="231">
        <v>19511</v>
      </c>
      <c r="C34" s="231">
        <v>1710</v>
      </c>
      <c r="D34" s="231">
        <v>207</v>
      </c>
      <c r="E34" s="231">
        <v>13</v>
      </c>
      <c r="F34" s="230">
        <v>177</v>
      </c>
      <c r="G34" s="230">
        <v>4477</v>
      </c>
      <c r="H34" s="230">
        <v>146</v>
      </c>
      <c r="I34" s="230">
        <f t="shared" si="0"/>
        <v>26241</v>
      </c>
    </row>
    <row r="35" spans="1:9" ht="12.75">
      <c r="A35" s="93">
        <v>2014</v>
      </c>
      <c r="B35" s="231">
        <v>19623</v>
      </c>
      <c r="C35" s="231">
        <v>1701</v>
      </c>
      <c r="D35" s="231">
        <v>198</v>
      </c>
      <c r="E35" s="231">
        <v>13</v>
      </c>
      <c r="F35" s="230">
        <v>170</v>
      </c>
      <c r="G35" s="230">
        <v>4477</v>
      </c>
      <c r="H35" s="230">
        <v>147</v>
      </c>
      <c r="I35" s="230">
        <f t="shared" si="0"/>
        <v>26329</v>
      </c>
    </row>
    <row r="36" spans="1:5" ht="12.75">
      <c r="A36" s="1"/>
      <c r="B36" s="1"/>
      <c r="C36" s="1"/>
      <c r="D36" s="1"/>
      <c r="E36" s="1"/>
    </row>
    <row r="37" spans="1:5" ht="12.75">
      <c r="A37" s="1"/>
      <c r="B37" s="1"/>
      <c r="C37" s="1"/>
      <c r="D37" s="1"/>
      <c r="E37" s="1"/>
    </row>
    <row r="38" spans="1:5" ht="12.75">
      <c r="A38" s="21" t="s">
        <v>191</v>
      </c>
      <c r="B38" s="352" t="s">
        <v>192</v>
      </c>
      <c r="C38" s="352"/>
      <c r="D38" s="352"/>
      <c r="E38" s="352"/>
    </row>
    <row r="40" spans="1:9" ht="38.25">
      <c r="A40" s="93" t="s">
        <v>115</v>
      </c>
      <c r="B40" s="93" t="s">
        <v>78</v>
      </c>
      <c r="C40" s="93" t="s">
        <v>187</v>
      </c>
      <c r="D40" s="229" t="s">
        <v>188</v>
      </c>
      <c r="E40" s="229" t="s">
        <v>189</v>
      </c>
      <c r="F40" s="93" t="s">
        <v>88</v>
      </c>
      <c r="G40" s="93" t="s">
        <v>82</v>
      </c>
      <c r="H40" s="229" t="s">
        <v>190</v>
      </c>
      <c r="I40" s="93" t="s">
        <v>11</v>
      </c>
    </row>
    <row r="41" spans="1:9" ht="12.75">
      <c r="A41" s="93">
        <v>2004</v>
      </c>
      <c r="B41" s="232">
        <f t="shared" si="1" ref="B41:H51">+B26/B25</f>
        <v>1.0393487925027034</v>
      </c>
      <c r="C41" s="232">
        <f t="shared" si="1"/>
        <v>1.0401002506265664</v>
      </c>
      <c r="D41" s="232">
        <f t="shared" si="1"/>
        <v>1.0266666666666666</v>
      </c>
      <c r="E41" s="232">
        <f t="shared" si="1"/>
        <v>1</v>
      </c>
      <c r="F41" s="232">
        <f t="shared" si="1"/>
        <v>0.99694189602446481</v>
      </c>
      <c r="G41" s="232">
        <f t="shared" si="1"/>
        <v>1.0349809885931558</v>
      </c>
      <c r="H41" s="232">
        <v>0</v>
      </c>
      <c r="I41" s="233">
        <f>+I26/I25</f>
        <v>1.0379763585038815</v>
      </c>
    </row>
    <row r="42" spans="1:9" ht="12.75">
      <c r="A42" s="93">
        <v>2005</v>
      </c>
      <c r="B42" s="232">
        <f t="shared" si="1"/>
        <v>1.0353736778220912</v>
      </c>
      <c r="C42" s="232">
        <f t="shared" si="1"/>
        <v>0.94698795180722894</v>
      </c>
      <c r="D42" s="232">
        <f t="shared" si="1"/>
        <v>0.97402597402597402</v>
      </c>
      <c r="E42" s="232">
        <f t="shared" si="1"/>
        <v>1.125</v>
      </c>
      <c r="F42" s="232">
        <f t="shared" si="1"/>
        <v>1.1226993865030674</v>
      </c>
      <c r="G42" s="232">
        <f t="shared" si="1"/>
        <v>1.0328190056331128</v>
      </c>
      <c r="H42" s="230">
        <v>0</v>
      </c>
      <c r="I42" s="233">
        <f t="shared" si="2" ref="I42:I51">+I27/I26</f>
        <v>1.0323375685208005</v>
      </c>
    </row>
    <row r="43" spans="1:9" ht="12.75">
      <c r="A43" s="93">
        <v>2006</v>
      </c>
      <c r="B43" s="232">
        <f t="shared" si="1"/>
        <v>1.0207112153184839</v>
      </c>
      <c r="C43" s="232">
        <f t="shared" si="1"/>
        <v>0.9548346055979644</v>
      </c>
      <c r="D43" s="232">
        <f t="shared" si="1"/>
        <v>1.0133333333333334</v>
      </c>
      <c r="E43" s="232">
        <f t="shared" si="1"/>
        <v>1.1111111111111112</v>
      </c>
      <c r="F43" s="232">
        <f t="shared" si="1"/>
        <v>1.0218579234972678</v>
      </c>
      <c r="G43" s="232">
        <f t="shared" si="1"/>
        <v>1.0177851553236899</v>
      </c>
      <c r="H43" s="233">
        <v>0</v>
      </c>
      <c r="I43" s="233">
        <f t="shared" si="2"/>
        <v>1.0186465794023216</v>
      </c>
    </row>
    <row r="44" spans="1:9" ht="12.75">
      <c r="A44" s="93">
        <v>2007</v>
      </c>
      <c r="B44" s="232">
        <f t="shared" si="1"/>
        <v>1.0117589148982717</v>
      </c>
      <c r="C44" s="232">
        <f t="shared" si="1"/>
        <v>1.0273151232511659</v>
      </c>
      <c r="D44" s="232">
        <f t="shared" si="1"/>
        <v>1.0328947368421053</v>
      </c>
      <c r="E44" s="232">
        <f t="shared" si="1"/>
        <v>1</v>
      </c>
      <c r="F44" s="232">
        <f t="shared" si="1"/>
        <v>0.86898395721925137</v>
      </c>
      <c r="G44" s="232">
        <f t="shared" si="1"/>
        <v>1.0046598322460392</v>
      </c>
      <c r="H44" s="233">
        <f>+H29/H28</f>
        <v>1.0149253731343284</v>
      </c>
      <c r="I44" s="233">
        <f t="shared" si="2"/>
        <v>1.0094556915989816</v>
      </c>
    </row>
    <row r="45" spans="1:9" ht="12.75">
      <c r="A45" s="93">
        <v>2008</v>
      </c>
      <c r="B45" s="232">
        <f t="shared" si="1"/>
        <v>1.0107573382344992</v>
      </c>
      <c r="C45" s="232">
        <f t="shared" si="1"/>
        <v>1.0038910505836576</v>
      </c>
      <c r="D45" s="232">
        <f t="shared" si="1"/>
        <v>1.0254777070063694</v>
      </c>
      <c r="E45" s="232">
        <f t="shared" si="1"/>
        <v>1</v>
      </c>
      <c r="F45" s="232">
        <f t="shared" si="1"/>
        <v>0.97230769230769232</v>
      </c>
      <c r="G45" s="232">
        <f t="shared" si="1"/>
        <v>1.0048701298701299</v>
      </c>
      <c r="H45" s="233">
        <f t="shared" si="1"/>
        <v>1</v>
      </c>
      <c r="I45" s="233">
        <f t="shared" si="2"/>
        <v>1.0088467235098675</v>
      </c>
    </row>
    <row r="46" spans="1:9" ht="12.75">
      <c r="A46" s="93">
        <v>2009</v>
      </c>
      <c r="B46" s="232">
        <f t="shared" si="1"/>
        <v>1.0090383998288588</v>
      </c>
      <c r="C46" s="232">
        <f t="shared" si="1"/>
        <v>1.0374677002583979</v>
      </c>
      <c r="D46" s="232">
        <f t="shared" si="1"/>
        <v>1.0434782608695652</v>
      </c>
      <c r="E46" s="232">
        <f t="shared" si="1"/>
        <v>1.1000000000000001</v>
      </c>
      <c r="F46" s="232">
        <f t="shared" si="1"/>
        <v>1.0379746835443038</v>
      </c>
      <c r="G46" s="232">
        <f t="shared" si="1"/>
        <v>1.0066928225248095</v>
      </c>
      <c r="H46" s="233">
        <f t="shared" si="1"/>
        <v>1.0147058823529411</v>
      </c>
      <c r="I46" s="233">
        <f t="shared" si="2"/>
        <v>1.0110308705658282</v>
      </c>
    </row>
    <row r="47" spans="1:9" ht="12.75">
      <c r="A47" s="93">
        <v>2010</v>
      </c>
      <c r="B47" s="232">
        <f t="shared" si="1"/>
        <v>1.0142576986272327</v>
      </c>
      <c r="C47" s="232">
        <f t="shared" si="1"/>
        <v>1.0635118306351183</v>
      </c>
      <c r="D47" s="232">
        <f t="shared" si="1"/>
        <v>0.9285714285714286</v>
      </c>
      <c r="E47" s="232">
        <f t="shared" si="1"/>
        <v>1.0909090909090908</v>
      </c>
      <c r="F47" s="232">
        <f t="shared" si="1"/>
        <v>0.49085365853658536</v>
      </c>
      <c r="G47" s="232">
        <f t="shared" si="1"/>
        <v>1.0057313159101329</v>
      </c>
      <c r="H47" s="233">
        <f t="shared" si="1"/>
        <v>1.0434782608695652</v>
      </c>
      <c r="I47" s="233">
        <f t="shared" si="2"/>
        <v>1.0087912087912088</v>
      </c>
    </row>
    <row r="48" spans="1:9" ht="12.75">
      <c r="A48" s="93">
        <v>2011</v>
      </c>
      <c r="B48" s="232">
        <f t="shared" si="1"/>
        <v>1.0030309364548495</v>
      </c>
      <c r="C48" s="232">
        <f t="shared" si="1"/>
        <v>1.0011709601873535</v>
      </c>
      <c r="D48" s="232">
        <f t="shared" si="1"/>
        <v>1.2820512820512822</v>
      </c>
      <c r="E48" s="232">
        <f t="shared" si="1"/>
        <v>1</v>
      </c>
      <c r="F48" s="232">
        <f t="shared" si="1"/>
        <v>0.9503105590062112</v>
      </c>
      <c r="G48" s="232">
        <f t="shared" si="1"/>
        <v>1.0068383861408707</v>
      </c>
      <c r="H48" s="233">
        <f t="shared" si="1"/>
        <v>1.0486111111111112</v>
      </c>
      <c r="I48" s="233">
        <f t="shared" si="2"/>
        <v>1.0051742919389979</v>
      </c>
    </row>
    <row r="49" spans="1:9" ht="12.75">
      <c r="A49" s="93">
        <v>2012</v>
      </c>
      <c r="B49" s="232">
        <f t="shared" si="1"/>
        <v>1.0165155777847243</v>
      </c>
      <c r="C49" s="232">
        <f t="shared" si="1"/>
        <v>1</v>
      </c>
      <c r="D49" s="232">
        <f t="shared" si="1"/>
        <v>1.0349999999999999</v>
      </c>
      <c r="E49" s="232">
        <f t="shared" si="1"/>
        <v>1.0833333333333333</v>
      </c>
      <c r="F49" s="232">
        <f t="shared" si="1"/>
        <v>1.1568627450980393</v>
      </c>
      <c r="G49" s="232">
        <f t="shared" si="1"/>
        <v>1.013583880461852</v>
      </c>
      <c r="H49" s="233">
        <f t="shared" si="1"/>
        <v>0.9668874172185431</v>
      </c>
      <c r="I49" s="233">
        <f t="shared" si="2"/>
        <v>1.015636490304602</v>
      </c>
    </row>
    <row r="50" spans="1:9" ht="12.75">
      <c r="A50" s="93">
        <v>2013</v>
      </c>
      <c r="B50" s="232">
        <f t="shared" si="1"/>
        <v>1.0057403515965353</v>
      </c>
      <c r="C50" s="232">
        <f t="shared" si="1"/>
        <v>0.99473684210526314</v>
      </c>
      <c r="D50" s="232">
        <f t="shared" si="1"/>
        <v>0.95652173913043481</v>
      </c>
      <c r="E50" s="232">
        <f t="shared" si="1"/>
        <v>1</v>
      </c>
      <c r="F50" s="232">
        <f t="shared" si="1"/>
        <v>0.96045197740112997</v>
      </c>
      <c r="G50" s="232">
        <f t="shared" si="1"/>
        <v>1</v>
      </c>
      <c r="H50" s="233">
        <f t="shared" si="1"/>
        <v>1.0068493150684932</v>
      </c>
      <c r="I50" s="233">
        <f t="shared" si="2"/>
        <v>1.0033535307343471</v>
      </c>
    </row>
    <row r="51" spans="1:9" ht="12.75">
      <c r="A51" s="93">
        <v>2014</v>
      </c>
      <c r="B51" s="232">
        <f t="shared" si="1"/>
        <v>0</v>
      </c>
      <c r="C51" s="232">
        <f t="shared" si="1"/>
        <v>0</v>
      </c>
      <c r="D51" s="232">
        <f t="shared" si="1"/>
        <v>0</v>
      </c>
      <c r="E51" s="232">
        <f t="shared" si="1"/>
        <v>0</v>
      </c>
      <c r="F51" s="232">
        <f t="shared" si="1"/>
        <v>0</v>
      </c>
      <c r="G51" s="232">
        <f t="shared" si="1"/>
        <v>0</v>
      </c>
      <c r="H51" s="233">
        <f t="shared" si="1"/>
        <v>0</v>
      </c>
      <c r="I51" s="233">
        <f t="shared" si="2"/>
        <v>0</v>
      </c>
    </row>
    <row r="54" spans="1:5" ht="12.75">
      <c r="A54" s="21" t="s">
        <v>193</v>
      </c>
      <c r="B54" s="352" t="s">
        <v>194</v>
      </c>
      <c r="C54" s="352"/>
      <c r="D54" s="352"/>
      <c r="E54" s="352"/>
    </row>
    <row r="56" spans="1:9" ht="38.25">
      <c r="A56" s="93" t="s">
        <v>115</v>
      </c>
      <c r="B56" s="93" t="s">
        <v>78</v>
      </c>
      <c r="C56" s="93" t="s">
        <v>187</v>
      </c>
      <c r="D56" s="229" t="s">
        <v>188</v>
      </c>
      <c r="E56" s="229" t="s">
        <v>189</v>
      </c>
      <c r="F56" s="93" t="s">
        <v>88</v>
      </c>
      <c r="G56" s="93" t="s">
        <v>82</v>
      </c>
      <c r="H56" s="229" t="s">
        <v>190</v>
      </c>
      <c r="I56" s="93" t="s">
        <v>11</v>
      </c>
    </row>
    <row r="57" spans="1:9" ht="12.75">
      <c r="A57" s="31">
        <v>2015</v>
      </c>
      <c r="B57" s="234">
        <v>19788.072112379785</v>
      </c>
      <c r="C57" s="234">
        <v>1698.6730477105082</v>
      </c>
      <c r="D57" s="234">
        <v>214.37726250911015</v>
      </c>
      <c r="E57" s="234">
        <v>13.529836634907774</v>
      </c>
      <c r="F57" s="234">
        <v>173.11044382291075</v>
      </c>
      <c r="G57" s="234">
        <v>4507.4084484440209</v>
      </c>
      <c r="H57" s="234">
        <v>148.63171035408885</v>
      </c>
      <c r="I57" s="234">
        <v>26543.802861855336</v>
      </c>
    </row>
    <row r="58" spans="1:9" ht="12.75">
      <c r="A58" s="31">
        <v>2016</v>
      </c>
      <c r="B58" s="235">
        <v>19954.532840276337</v>
      </c>
      <c r="C58" s="235">
        <v>1696.3492786702566</v>
      </c>
      <c r="D58" s="235">
        <v>232.10914485302993</v>
      </c>
      <c r="E58" s="235">
        <v>13.941849152116717</v>
      </c>
      <c r="F58" s="235">
        <v>176.27779859155965</v>
      </c>
      <c r="G58" s="235">
        <v>4538.0234355828761</v>
      </c>
      <c r="H58" s="235">
        <v>149.81273106457181</v>
      </c>
      <c r="I58" s="235">
        <v>26761.04707819075</v>
      </c>
    </row>
    <row r="61" spans="1:5" ht="12.75">
      <c r="A61" s="21" t="s">
        <v>195</v>
      </c>
      <c r="B61" s="352" t="s">
        <v>196</v>
      </c>
      <c r="C61" s="352"/>
      <c r="D61" s="352"/>
      <c r="E61" s="352"/>
    </row>
    <row r="63" spans="1:9" ht="38.25">
      <c r="A63" s="93" t="s">
        <v>115</v>
      </c>
      <c r="B63" s="93" t="s">
        <v>78</v>
      </c>
      <c r="C63" s="93" t="s">
        <v>187</v>
      </c>
      <c r="D63" s="229" t="s">
        <v>188</v>
      </c>
      <c r="E63" s="229" t="s">
        <v>189</v>
      </c>
      <c r="F63" s="93" t="s">
        <v>88</v>
      </c>
      <c r="G63" s="93" t="s">
        <v>82</v>
      </c>
      <c r="H63" s="229" t="s">
        <v>190</v>
      </c>
      <c r="I63" s="110"/>
    </row>
    <row r="64" spans="1:8" ht="12.75">
      <c r="A64" s="192">
        <v>2003</v>
      </c>
      <c r="B64" s="194">
        <v>11568.743616823709</v>
      </c>
      <c r="C64" s="194">
        <v>35323.852267365684</v>
      </c>
      <c r="D64" s="194">
        <v>666241.36188153329</v>
      </c>
      <c r="E64" s="194">
        <v>11718160.29125</v>
      </c>
      <c r="F64" s="194">
        <v>807.12970464135037</v>
      </c>
      <c r="G64" s="194">
        <v>620.21762061259358</v>
      </c>
      <c r="H64" s="194"/>
    </row>
    <row r="65" spans="1:8" ht="12.75">
      <c r="A65" s="192">
        <v>2004</v>
      </c>
      <c r="B65" s="194">
        <v>11269.026134206504</v>
      </c>
      <c r="C65" s="194">
        <v>32925.033966165407</v>
      </c>
      <c r="D65" s="194">
        <v>670178.73020000034</v>
      </c>
      <c r="E65" s="194">
        <v>11959473.506249998</v>
      </c>
      <c r="F65" s="194">
        <v>870.38257274119394</v>
      </c>
      <c r="G65" s="194">
        <v>620.53410646387817</v>
      </c>
      <c r="H65" s="194"/>
    </row>
    <row r="66" spans="1:8" ht="12.75">
      <c r="A66" s="192">
        <v>2005</v>
      </c>
      <c r="B66" s="194">
        <v>11794.205781746798</v>
      </c>
      <c r="C66" s="194">
        <v>32168.754415662686</v>
      </c>
      <c r="D66" s="194">
        <v>707383.30844155839</v>
      </c>
      <c r="E66" s="194">
        <v>11829695.171250001</v>
      </c>
      <c r="F66" s="194">
        <v>988.3040245775727</v>
      </c>
      <c r="G66" s="194">
        <v>603.85180749448944</v>
      </c>
      <c r="H66" s="194">
        <v>1409.7300000000003</v>
      </c>
    </row>
    <row r="67" spans="1:8" ht="12.75">
      <c r="A67" s="192">
        <v>2006</v>
      </c>
      <c r="B67" s="194">
        <v>11626.077567537614</v>
      </c>
      <c r="C67" s="194">
        <v>32814.592796691068</v>
      </c>
      <c r="D67" s="194">
        <v>742899.97039999976</v>
      </c>
      <c r="E67" s="194">
        <v>9959003.8100000005</v>
      </c>
      <c r="F67" s="194">
        <v>1004.1424076607386</v>
      </c>
      <c r="G67" s="194">
        <v>623.63805763073674</v>
      </c>
      <c r="H67" s="194">
        <v>12886.749774436088</v>
      </c>
    </row>
    <row r="68" spans="1:8" ht="12.75">
      <c r="A68" s="192">
        <v>2007</v>
      </c>
      <c r="B68" s="194">
        <v>11793.91185873064</v>
      </c>
      <c r="C68" s="194">
        <v>35772.652739507015</v>
      </c>
      <c r="D68" s="194">
        <v>757897.32633663388</v>
      </c>
      <c r="E68" s="194">
        <v>9822215.4929999989</v>
      </c>
      <c r="F68" s="194">
        <v>1267.7830522088354</v>
      </c>
      <c r="G68" s="194">
        <v>617.44724222299863</v>
      </c>
      <c r="H68" s="194">
        <v>6391.9930337078631</v>
      </c>
    </row>
    <row r="69" spans="1:8" ht="12.75">
      <c r="A69" s="192">
        <v>2008</v>
      </c>
      <c r="B69" s="194">
        <v>11674.260056317087</v>
      </c>
      <c r="C69" s="194">
        <v>35647.118936853309</v>
      </c>
      <c r="D69" s="194">
        <v>738614.6842038217</v>
      </c>
      <c r="E69" s="194">
        <v>9357734.6779999994</v>
      </c>
      <c r="F69" s="194">
        <v>1410.4519076923077</v>
      </c>
      <c r="G69" s="194">
        <v>619.31084541342909</v>
      </c>
      <c r="H69" s="194">
        <v>6308.2156617647015</v>
      </c>
    </row>
    <row r="70" spans="1:8" ht="12.75">
      <c r="A70" s="192">
        <v>2009</v>
      </c>
      <c r="B70" s="194">
        <v>11376.581655058022</v>
      </c>
      <c r="C70" s="194">
        <v>35174.711132581324</v>
      </c>
      <c r="D70" s="194">
        <v>747870.80060081067</v>
      </c>
      <c r="E70" s="194">
        <v>8843012.1568179168</v>
      </c>
      <c r="F70" s="194">
        <v>1681.7052297939783</v>
      </c>
      <c r="G70" s="194">
        <v>614.96208886324314</v>
      </c>
      <c r="H70" s="194">
        <v>6686.3280882352901</v>
      </c>
    </row>
    <row r="71" spans="1:8" ht="12.75">
      <c r="A71" s="192">
        <v>2010</v>
      </c>
      <c r="B71" s="194">
        <v>11580.479125182848</v>
      </c>
      <c r="C71" s="194">
        <v>36094.708325958411</v>
      </c>
      <c r="D71" s="194">
        <v>689431.41536268208</v>
      </c>
      <c r="E71" s="194">
        <v>9776788.7318800148</v>
      </c>
      <c r="F71" s="194">
        <v>1744.446656488549</v>
      </c>
      <c r="G71" s="194">
        <v>620.95668004127026</v>
      </c>
      <c r="H71" s="194">
        <v>6661.6471999999958</v>
      </c>
    </row>
    <row r="72" spans="1:8" ht="12.75">
      <c r="A72" s="192">
        <v>2011</v>
      </c>
      <c r="B72" s="194">
        <v>11093.869434000781</v>
      </c>
      <c r="C72" s="194">
        <v>34709.309664710905</v>
      </c>
      <c r="D72" s="194">
        <v>741525.52864023217</v>
      </c>
      <c r="E72" s="194">
        <v>9296934.3472140115</v>
      </c>
      <c r="F72" s="194">
        <v>2702.4534161490683</v>
      </c>
      <c r="G72" s="194">
        <v>625.30248461363124</v>
      </c>
      <c r="H72" s="194">
        <v>6192.395833333333</v>
      </c>
    </row>
    <row r="73" spans="1:8" ht="12.75">
      <c r="A73" s="192">
        <v>2012</v>
      </c>
      <c r="B73" s="194">
        <v>11363.735502128393</v>
      </c>
      <c r="C73" s="194">
        <v>34660.150735278512</v>
      </c>
      <c r="D73" s="194">
        <v>571186.16823065025</v>
      </c>
      <c r="E73" s="194">
        <v>9005677.284859525</v>
      </c>
      <c r="F73" s="194">
        <v>2872.1957516339871</v>
      </c>
      <c r="G73" s="194">
        <v>625.39358840842203</v>
      </c>
      <c r="H73" s="194">
        <v>5912.250596026488</v>
      </c>
    </row>
    <row r="74" spans="1:8" ht="12.75">
      <c r="A74" s="192">
        <v>2013</v>
      </c>
      <c r="B74" s="194">
        <v>10894.77697051097</v>
      </c>
      <c r="C74" s="194">
        <v>34653.438448728797</v>
      </c>
      <c r="D74" s="194">
        <v>568415.39512963733</v>
      </c>
      <c r="E74" s="194">
        <v>9109972.0771238022</v>
      </c>
      <c r="F74" s="194">
        <v>2507.5729350282486</v>
      </c>
      <c r="G74" s="194">
        <v>618.55064998883188</v>
      </c>
      <c r="H74" s="194">
        <v>6166.1972602739725</v>
      </c>
    </row>
    <row r="75" spans="1:8" ht="12.75">
      <c r="A75" s="192">
        <v>2014</v>
      </c>
      <c r="B75" s="194">
        <v>10625.25347517001</v>
      </c>
      <c r="C75" s="194">
        <v>31725.670439386417</v>
      </c>
      <c r="D75" s="194">
        <v>653722.21071626409</v>
      </c>
      <c r="E75" s="194">
        <v>9441106.1262757517</v>
      </c>
      <c r="F75" s="194">
        <v>2636.934197617647</v>
      </c>
      <c r="G75" s="194">
        <v>621.53294616930975</v>
      </c>
      <c r="H75" s="194">
        <v>6259.3991590939913</v>
      </c>
    </row>
    <row r="78" spans="1:5" ht="12.75">
      <c r="A78" s="21" t="s">
        <v>197</v>
      </c>
      <c r="B78" s="352" t="s">
        <v>198</v>
      </c>
      <c r="C78" s="352"/>
      <c r="D78" s="352"/>
      <c r="E78" s="352"/>
    </row>
    <row r="80" spans="1:8" ht="12.75">
      <c r="A80" s="192"/>
      <c r="B80" s="93" t="s">
        <v>78</v>
      </c>
      <c r="C80" s="93" t="s">
        <v>79</v>
      </c>
      <c r="D80" s="93" t="s">
        <v>92</v>
      </c>
      <c r="E80" s="93" t="s">
        <v>93</v>
      </c>
      <c r="F80" s="93" t="s">
        <v>88</v>
      </c>
      <c r="G80" s="93" t="s">
        <v>82</v>
      </c>
      <c r="H80" s="93" t="s">
        <v>80</v>
      </c>
    </row>
    <row r="81" spans="1:8" ht="12.75">
      <c r="A81" s="192">
        <v>2004</v>
      </c>
      <c r="B81" s="236">
        <v>0.97409247775347496</v>
      </c>
      <c r="C81" s="236">
        <v>0.93209069376002196</v>
      </c>
      <c r="D81" s="236">
        <v>1.0059098226915055</v>
      </c>
      <c r="E81" s="236">
        <v>1.0205930972953312</v>
      </c>
      <c r="F81" s="236">
        <v>1.0783676622680491</v>
      </c>
      <c r="G81" s="236">
        <v>1.0005102819409935</v>
      </c>
      <c r="H81" s="236"/>
    </row>
    <row r="82" spans="1:8" ht="12.75">
      <c r="A82" s="192">
        <v>2005</v>
      </c>
      <c r="B82" s="236">
        <v>1.0466038184032727</v>
      </c>
      <c r="C82" s="236">
        <v>0.97703025754567507</v>
      </c>
      <c r="D82" s="236">
        <v>1.0555144121486146</v>
      </c>
      <c r="E82" s="236">
        <v>0.98914849094885526</v>
      </c>
      <c r="F82" s="236">
        <v>1.1354823218311867</v>
      </c>
      <c r="G82" s="236">
        <v>0.97311622552956345</v>
      </c>
      <c r="H82" s="236"/>
    </row>
    <row r="83" spans="1:8" ht="12.75">
      <c r="A83" s="192">
        <v>2006</v>
      </c>
      <c r="B83" s="236">
        <v>0.98574484646779814</v>
      </c>
      <c r="C83" s="236">
        <v>1.0200765740781661</v>
      </c>
      <c r="D83" s="236">
        <v>1.050208510060392</v>
      </c>
      <c r="E83" s="236">
        <v>0.84186478737031301</v>
      </c>
      <c r="F83" s="236">
        <v>1.0160258206880577</v>
      </c>
      <c r="G83" s="236">
        <v>1.0327667316561404</v>
      </c>
      <c r="H83" s="236"/>
    </row>
    <row r="84" spans="1:8" ht="12.75">
      <c r="A84" s="192">
        <v>2007</v>
      </c>
      <c r="B84" s="236">
        <v>1.0144360202499985</v>
      </c>
      <c r="C84" s="236">
        <v>1.0901446487891275</v>
      </c>
      <c r="D84" s="236">
        <v>1.0201875845122985</v>
      </c>
      <c r="E84" s="236">
        <v>0.98626485945686149</v>
      </c>
      <c r="F84" s="236">
        <v>1.2625530428122014</v>
      </c>
      <c r="G84" s="236">
        <v>0.99007306348291568</v>
      </c>
      <c r="H84" s="236"/>
    </row>
    <row r="85" spans="1:8" ht="12.75">
      <c r="A85" s="192">
        <v>2008</v>
      </c>
      <c r="B85" s="236">
        <v>0.98985478237867452</v>
      </c>
      <c r="C85" s="236">
        <v>0.99649078854822892</v>
      </c>
      <c r="D85" s="236">
        <v>0.974557711892168</v>
      </c>
      <c r="E85" s="236">
        <v>0.95271119684443684</v>
      </c>
      <c r="F85" s="236">
        <v>1.1125341242217293</v>
      </c>
      <c r="G85" s="236">
        <v>1.0030182387465543</v>
      </c>
      <c r="H85" s="236">
        <v>0.98689338810268323</v>
      </c>
    </row>
    <row r="86" spans="1:8" ht="12.75">
      <c r="A86" s="192">
        <v>2009</v>
      </c>
      <c r="B86" s="236">
        <v>0.97450130459463358</v>
      </c>
      <c r="C86" s="236">
        <v>0.98674765820180799</v>
      </c>
      <c r="D86" s="236">
        <v>1.0125317253974804</v>
      </c>
      <c r="E86" s="236">
        <v>0.94499496524600202</v>
      </c>
      <c r="F86" s="236">
        <v>1.1923166047862477</v>
      </c>
      <c r="G86" s="236">
        <v>0.99297807137983696</v>
      </c>
      <c r="H86" s="236">
        <v>1.0599396797358087</v>
      </c>
    </row>
    <row r="87" spans="1:8" ht="12.75">
      <c r="A87" s="192">
        <v>2010</v>
      </c>
      <c r="B87" s="236">
        <v>1.0179225602476272</v>
      </c>
      <c r="C87" s="236">
        <v>1.0261550745906458</v>
      </c>
      <c r="D87" s="236">
        <v>0.92185898260611243</v>
      </c>
      <c r="E87" s="236">
        <v>1.1055948537108096</v>
      </c>
      <c r="F87" s="236">
        <v>1.0373082188144571</v>
      </c>
      <c r="G87" s="236">
        <v>1.0097479036294874</v>
      </c>
      <c r="H87" s="236">
        <v>0.99630875303909772</v>
      </c>
    </row>
    <row r="88" spans="1:8" ht="12.75">
      <c r="A88" s="192">
        <v>2011</v>
      </c>
      <c r="B88" s="236">
        <v>0.95798017630169641</v>
      </c>
      <c r="C88" s="236">
        <v>0.9616176795574447</v>
      </c>
      <c r="D88" s="236">
        <v>1.0755609798403885</v>
      </c>
      <c r="E88" s="236">
        <v>0.95091901872633278</v>
      </c>
      <c r="F88" s="236">
        <v>1.5491751531049514</v>
      </c>
      <c r="G88" s="236">
        <v>1.0069985632042353</v>
      </c>
      <c r="H88" s="236">
        <v>0.92955925875710399</v>
      </c>
    </row>
    <row r="89" spans="1:8" ht="12.75">
      <c r="A89" s="192">
        <v>2012</v>
      </c>
      <c r="B89" s="236">
        <v>1.0243256935493148</v>
      </c>
      <c r="C89" s="236">
        <v>0.99858369613491982</v>
      </c>
      <c r="D89" s="236">
        <v>0.7702852378906756</v>
      </c>
      <c r="E89" s="236">
        <v>0.96867170924555723</v>
      </c>
      <c r="F89" s="236">
        <v>1.06281045751634</v>
      </c>
      <c r="G89" s="236">
        <v>1.0001456955586017</v>
      </c>
      <c r="H89" s="236">
        <v>0.95475979817071155</v>
      </c>
    </row>
    <row r="90" spans="1:8" ht="12.75">
      <c r="A90" s="192">
        <v>2013</v>
      </c>
      <c r="B90" s="236">
        <v>0.95873200924734747</v>
      </c>
      <c r="C90" s="236">
        <v>0.99980633994926971</v>
      </c>
      <c r="D90" s="236">
        <v>0.99514908928975665</v>
      </c>
      <c r="E90" s="236">
        <v>1.0115810048445351</v>
      </c>
      <c r="F90" s="236">
        <v>0.87305084745762707</v>
      </c>
      <c r="G90" s="236">
        <v>0.98905818904059295</v>
      </c>
      <c r="H90" s="236">
        <v>1.0429526218692689</v>
      </c>
    </row>
    <row r="91" spans="1:8" ht="12.75">
      <c r="A91" s="192">
        <v>2014</v>
      </c>
      <c r="B91" s="236">
        <v>0.9752612195669097</v>
      </c>
      <c r="C91" s="236">
        <v>0.91551291472348018</v>
      </c>
      <c r="D91" s="236">
        <v>1.1500782989299068</v>
      </c>
      <c r="E91" s="236">
        <v>1.0363485251489921</v>
      </c>
      <c r="F91" s="236">
        <v>1.0515882352941177</v>
      </c>
      <c r="G91" s="236">
        <v>1.0048214259907926</v>
      </c>
      <c r="H91" s="236">
        <v>1.0151149719812691</v>
      </c>
    </row>
    <row r="92" spans="1:8" ht="12.75">
      <c r="A92" s="192"/>
      <c r="B92" s="236"/>
      <c r="C92" s="236"/>
      <c r="D92" s="236"/>
      <c r="E92" s="236"/>
      <c r="F92" s="236"/>
      <c r="G92" s="236"/>
      <c r="H92" s="236"/>
    </row>
    <row r="93" spans="1:8" ht="12.75">
      <c r="A93" s="192" t="s">
        <v>17</v>
      </c>
      <c r="B93" s="236">
        <v>0.99229588684515213</v>
      </c>
      <c r="C93" s="236">
        <v>0.99028096615249062</v>
      </c>
      <c r="D93" s="236">
        <v>0.99827698581006308</v>
      </c>
      <c r="E93" s="236">
        <v>0.98054923253305526</v>
      </c>
      <c r="F93" s="236">
        <v>1</v>
      </c>
      <c r="G93" s="236">
        <v>1.0001926097137768</v>
      </c>
      <c r="H93" s="236">
        <v>0.99700991935250738</v>
      </c>
    </row>
    <row r="96" spans="1:5" ht="12.75">
      <c r="A96" s="253" t="s">
        <v>199</v>
      </c>
      <c r="B96" s="352" t="s">
        <v>200</v>
      </c>
      <c r="C96" s="352"/>
      <c r="D96" s="352"/>
      <c r="E96" s="352"/>
    </row>
    <row r="98" spans="1:8" ht="12.75">
      <c r="A98" s="192"/>
      <c r="B98" s="93" t="s">
        <v>78</v>
      </c>
      <c r="C98" s="93" t="s">
        <v>79</v>
      </c>
      <c r="D98" s="93" t="s">
        <v>92</v>
      </c>
      <c r="E98" s="93" t="s">
        <v>93</v>
      </c>
      <c r="F98" s="93" t="s">
        <v>88</v>
      </c>
      <c r="G98" s="93" t="s">
        <v>82</v>
      </c>
      <c r="H98" s="93" t="s">
        <v>80</v>
      </c>
    </row>
    <row r="99" spans="1:8" ht="12.75">
      <c r="A99" s="194">
        <v>2015</v>
      </c>
      <c r="B99" s="194">
        <v>10543.39532009836</v>
      </c>
      <c r="C99" s="194">
        <v>31417.327574551091</v>
      </c>
      <c r="D99" s="194">
        <v>652595.838070923</v>
      </c>
      <c r="E99" s="194">
        <v>9257469.3663828149</v>
      </c>
      <c r="F99" s="194">
        <v>2636.934197617647</v>
      </c>
      <c r="G99" s="194">
        <v>621.65265945217425</v>
      </c>
      <c r="H99" s="194">
        <v>6240.6830508034527</v>
      </c>
    </row>
    <row r="100" spans="1:8" ht="12.75">
      <c r="A100" s="194">
        <v>2016</v>
      </c>
      <c r="B100" s="194">
        <v>10462.167809516028</v>
      </c>
      <c r="C100" s="194">
        <v>31111.98150445574</v>
      </c>
      <c r="D100" s="194">
        <v>651471.40618163301</v>
      </c>
      <c r="E100" s="194">
        <v>9077404.482404938</v>
      </c>
      <c r="F100" s="194">
        <v>2636.934197617647</v>
      </c>
      <c r="G100" s="194">
        <v>621.77239579297986</v>
      </c>
      <c r="H100" s="194">
        <v>6222.0229051861097</v>
      </c>
    </row>
    <row r="103" spans="1:5" ht="12.75">
      <c r="A103" s="21" t="s">
        <v>201</v>
      </c>
      <c r="B103" s="352" t="s">
        <v>202</v>
      </c>
      <c r="C103" s="352"/>
      <c r="D103" s="352"/>
      <c r="E103" s="352"/>
    </row>
    <row r="105" spans="1:9" ht="12.75">
      <c r="A105" s="194"/>
      <c r="B105" s="237" t="s">
        <v>78</v>
      </c>
      <c r="C105" s="237" t="s">
        <v>79</v>
      </c>
      <c r="D105" s="237" t="s">
        <v>92</v>
      </c>
      <c r="E105" s="237" t="s">
        <v>93</v>
      </c>
      <c r="F105" s="237" t="s">
        <v>88</v>
      </c>
      <c r="G105" s="237" t="s">
        <v>82</v>
      </c>
      <c r="H105" s="237" t="s">
        <v>80</v>
      </c>
      <c r="I105" s="237" t="s">
        <v>11</v>
      </c>
    </row>
    <row r="106" spans="1:9" ht="12.75">
      <c r="A106" s="238">
        <v>2015</v>
      </c>
      <c r="B106" s="194">
        <v>208633466.90343389</v>
      </c>
      <c r="C106" s="194">
        <v>53367767.581982091</v>
      </c>
      <c r="D106" s="194">
        <v>139901709.290483</v>
      </c>
      <c r="E106" s="194">
        <v>125252048.17982267</v>
      </c>
      <c r="F106" s="194">
        <v>456480.8492814019</v>
      </c>
      <c r="G106" s="194">
        <v>2802042.449212424</v>
      </c>
      <c r="H106" s="194">
        <v>927563.39561869029</v>
      </c>
      <c r="I106" s="194">
        <v>531341078.64983422</v>
      </c>
    </row>
    <row r="107" spans="1:9" ht="12.75">
      <c r="A107" s="238">
        <v>2016</v>
      </c>
      <c r="B107" s="194">
        <v>208767671.13546953</v>
      </c>
      <c r="C107" s="194">
        <v>52776787.383085862</v>
      </c>
      <c r="D107" s="194">
        <v>151212470.98501974</v>
      </c>
      <c r="E107" s="194">
        <v>126555803.98643777</v>
      </c>
      <c r="F107" s="194">
        <v>464832.95538683952</v>
      </c>
      <c r="G107" s="194">
        <v>2821617.7037070543</v>
      </c>
      <c r="H107" s="194">
        <v>932138.24417225237</v>
      </c>
      <c r="I107" s="194">
        <v>543531322.39327908</v>
      </c>
    </row>
    <row r="110" spans="1:5" ht="12.75">
      <c r="A110" s="21" t="s">
        <v>203</v>
      </c>
      <c r="B110" s="352" t="s">
        <v>204</v>
      </c>
      <c r="C110" s="352"/>
      <c r="D110" s="352"/>
      <c r="E110" s="352"/>
    </row>
    <row r="112" spans="1:9" ht="12.75">
      <c r="A112" s="192"/>
      <c r="B112" s="239">
        <v>0.80</v>
      </c>
      <c r="C112" s="239">
        <v>0.80</v>
      </c>
      <c r="D112" s="239">
        <v>0.60</v>
      </c>
      <c r="E112" s="239">
        <v>0.15140000000000001</v>
      </c>
      <c r="F112" s="239">
        <v>0</v>
      </c>
      <c r="G112" s="239">
        <v>0</v>
      </c>
      <c r="H112" s="239">
        <v>0</v>
      </c>
      <c r="I112" s="93"/>
    </row>
    <row r="113" spans="1:9" ht="12.75">
      <c r="A113" s="192"/>
      <c r="B113" s="192"/>
      <c r="C113" s="192"/>
      <c r="D113" s="192"/>
      <c r="E113" s="192"/>
      <c r="F113" s="192"/>
      <c r="G113" s="192"/>
      <c r="H113" s="192"/>
      <c r="I113" s="192"/>
    </row>
    <row r="114" spans="1:9" ht="12.75">
      <c r="A114" s="192"/>
      <c r="B114" s="93" t="s">
        <v>78</v>
      </c>
      <c r="C114" s="93" t="s">
        <v>79</v>
      </c>
      <c r="D114" s="93" t="s">
        <v>92</v>
      </c>
      <c r="E114" s="93" t="s">
        <v>93</v>
      </c>
      <c r="F114" s="93" t="s">
        <v>88</v>
      </c>
      <c r="G114" s="93" t="s">
        <v>82</v>
      </c>
      <c r="H114" s="93" t="s">
        <v>80</v>
      </c>
      <c r="I114" s="93" t="s">
        <v>25</v>
      </c>
    </row>
    <row r="115" spans="1:9" ht="12.75">
      <c r="A115" s="192">
        <v>2015</v>
      </c>
      <c r="B115" s="194">
        <v>166906773.52274713</v>
      </c>
      <c r="C115" s="194">
        <v>42694214.065585673</v>
      </c>
      <c r="D115" s="194">
        <v>83941025.574289799</v>
      </c>
      <c r="E115" s="194">
        <v>18963160.094425153</v>
      </c>
      <c r="F115" s="194">
        <v>0</v>
      </c>
      <c r="G115" s="194">
        <v>0</v>
      </c>
      <c r="H115" s="194">
        <v>0</v>
      </c>
      <c r="I115" s="194">
        <v>312505173.25704771</v>
      </c>
    </row>
    <row r="116" spans="1:9" ht="12.75">
      <c r="A116" s="192">
        <v>2016</v>
      </c>
      <c r="B116" s="194">
        <v>167014136.90837562</v>
      </c>
      <c r="C116" s="194">
        <v>42221429.906468689</v>
      </c>
      <c r="D116" s="194">
        <v>90727482.591011837</v>
      </c>
      <c r="E116" s="194">
        <v>19160548.72354668</v>
      </c>
      <c r="F116" s="194">
        <v>0</v>
      </c>
      <c r="G116" s="194">
        <v>0</v>
      </c>
      <c r="H116" s="194">
        <v>0</v>
      </c>
      <c r="I116" s="194">
        <v>319123598.12940282</v>
      </c>
    </row>
    <row r="119" spans="1:5" ht="12.75">
      <c r="A119" s="21" t="s">
        <v>205</v>
      </c>
      <c r="B119" s="352" t="s">
        <v>206</v>
      </c>
      <c r="C119" s="352"/>
      <c r="D119" s="352"/>
      <c r="E119" s="352"/>
    </row>
    <row r="121" spans="1:9" ht="12.75">
      <c r="A121" s="192"/>
      <c r="B121" s="93" t="s">
        <v>78</v>
      </c>
      <c r="C121" s="93" t="s">
        <v>79</v>
      </c>
      <c r="D121" s="93" t="s">
        <v>92</v>
      </c>
      <c r="E121" s="93" t="s">
        <v>93</v>
      </c>
      <c r="F121" s="93" t="s">
        <v>88</v>
      </c>
      <c r="G121" s="93" t="s">
        <v>82</v>
      </c>
      <c r="H121" s="93" t="s">
        <v>80</v>
      </c>
      <c r="I121" s="93" t="s">
        <v>25</v>
      </c>
    </row>
    <row r="122" spans="1:9" ht="12.75">
      <c r="A122" s="192">
        <v>2015</v>
      </c>
      <c r="B122" s="194">
        <v>203658189.94987321</v>
      </c>
      <c r="C122" s="194">
        <v>52095107.792282514</v>
      </c>
      <c r="D122" s="194">
        <v>137399534.92581531</v>
      </c>
      <c r="E122" s="194">
        <v>124686780.68711893</v>
      </c>
      <c r="F122" s="194">
        <v>456480.8492814019</v>
      </c>
      <c r="G122" s="194">
        <v>2802042.449212424</v>
      </c>
      <c r="H122" s="194">
        <v>927563.39561869029</v>
      </c>
      <c r="I122" s="194">
        <v>522025700.0492025</v>
      </c>
    </row>
    <row r="123" spans="1:9" ht="12.75">
      <c r="A123" s="192">
        <v>2016</v>
      </c>
      <c r="B123" s="194">
        <v>199954837.80577099</v>
      </c>
      <c r="C123" s="194">
        <v>50548889.603921287</v>
      </c>
      <c r="D123" s="194">
        <v>146425054.79799148</v>
      </c>
      <c r="E123" s="194">
        <v>125544759.49923474</v>
      </c>
      <c r="F123" s="194">
        <v>464832.95538683952</v>
      </c>
      <c r="G123" s="194">
        <v>2821617.7037070543</v>
      </c>
      <c r="H123" s="194">
        <v>932138.24417225237</v>
      </c>
      <c r="I123" s="194">
        <v>526692130.61018467</v>
      </c>
    </row>
    <row r="126" spans="1:5" ht="12.75">
      <c r="A126" s="21" t="s">
        <v>222</v>
      </c>
      <c r="B126" s="352" t="s">
        <v>210</v>
      </c>
      <c r="C126" s="352"/>
      <c r="D126" s="352"/>
      <c r="E126" s="95" t="s">
        <v>223</v>
      </c>
    </row>
    <row r="127" ht="13.5" thickBot="1"/>
    <row r="128" spans="1:6" ht="12.75">
      <c r="A128" s="340" t="s">
        <v>99</v>
      </c>
      <c r="B128" s="341"/>
      <c r="C128" s="341"/>
      <c r="D128" s="341"/>
      <c r="E128" s="341"/>
      <c r="F128" s="342"/>
    </row>
    <row r="129" spans="1:6" ht="13.5" thickBot="1">
      <c r="A129" s="343">
        <f>22.48*1000000</f>
        <v>22480000</v>
      </c>
      <c r="B129" s="344"/>
      <c r="C129" s="344"/>
      <c r="D129" s="344"/>
      <c r="E129" s="344"/>
      <c r="F129" s="345"/>
    </row>
    <row r="130" ht="13.5" thickBot="1"/>
    <row r="131" spans="1:6" ht="12.75">
      <c r="A131" s="334" t="s">
        <v>114</v>
      </c>
      <c r="B131" s="335"/>
      <c r="C131" s="335"/>
      <c r="D131" s="335"/>
      <c r="E131" s="335"/>
      <c r="F131" s="336"/>
    </row>
    <row r="132" spans="1:6" ht="13.5" thickBot="1">
      <c r="A132" s="337"/>
      <c r="B132" s="338"/>
      <c r="C132" s="338"/>
      <c r="D132" s="338"/>
      <c r="E132" s="338"/>
      <c r="F132" s="339"/>
    </row>
    <row r="133" spans="1:6" ht="12.75">
      <c r="A133" s="246" t="s">
        <v>207</v>
      </c>
      <c r="B133" s="227">
        <v>2011</v>
      </c>
      <c r="C133" s="227">
        <v>2012</v>
      </c>
      <c r="D133" s="227">
        <v>2013</v>
      </c>
      <c r="E133" s="227">
        <v>2014</v>
      </c>
      <c r="F133" s="228" t="s">
        <v>11</v>
      </c>
    </row>
    <row r="134" spans="1:6" ht="12.75">
      <c r="A134" s="121" t="s">
        <v>123</v>
      </c>
      <c r="B134" s="240">
        <v>0.091309845076240251</v>
      </c>
      <c r="C134" s="241">
        <v>0.091236335435408489</v>
      </c>
      <c r="D134" s="241">
        <v>0.091191470525673377</v>
      </c>
      <c r="E134" s="241">
        <v>0.090082926312591086</v>
      </c>
      <c r="F134" s="242">
        <f>SUM(B134:E134)</f>
        <v>0.36382057734991319</v>
      </c>
    </row>
    <row r="135" spans="1:6" ht="12.75">
      <c r="A135" s="121" t="s">
        <v>124</v>
      </c>
      <c r="B135" s="241"/>
      <c r="C135" s="241">
        <f>(100%-F134)/6</f>
        <v>0.10602990377501446</v>
      </c>
      <c r="D135" s="241">
        <f>C135</f>
        <v>0.10602990377501446</v>
      </c>
      <c r="E135" s="241">
        <f>D135</f>
        <v>0.10602990377501446</v>
      </c>
      <c r="F135" s="242">
        <f>SUM(B135:E135)</f>
        <v>0.31808971132504338</v>
      </c>
    </row>
    <row r="136" spans="1:6" ht="12.75">
      <c r="A136" s="121" t="s">
        <v>125</v>
      </c>
      <c r="B136" s="241"/>
      <c r="C136" s="241"/>
      <c r="D136" s="243">
        <f>(100%-SUM(B134:E135))/3</f>
        <v>0.10602990377501449</v>
      </c>
      <c r="E136" s="241">
        <f>+D136</f>
        <v>0.10602990377501449</v>
      </c>
      <c r="F136" s="242">
        <f>SUM(B136:E136)</f>
        <v>0.21205980755002898</v>
      </c>
    </row>
    <row r="137" spans="1:6" ht="13.5" thickBot="1">
      <c r="A137" s="121" t="s">
        <v>126</v>
      </c>
      <c r="B137" s="241"/>
      <c r="C137" s="241"/>
      <c r="D137" s="241"/>
      <c r="E137" s="241">
        <f>+E136</f>
        <v>0.10602990377501449</v>
      </c>
      <c r="F137" s="242">
        <f>SUM(B137:E137)</f>
        <v>0.10602990377501449</v>
      </c>
    </row>
    <row r="138" spans="1:6" ht="13.5" thickBot="1">
      <c r="A138" s="122" t="s">
        <v>127</v>
      </c>
      <c r="B138" s="244">
        <f>SUM(B134:B137)</f>
        <v>0.091309845076240251</v>
      </c>
      <c r="C138" s="244">
        <f>SUM(C134:C137)</f>
        <v>0.19726623921042297</v>
      </c>
      <c r="D138" s="244">
        <f>SUM(D134:D137)</f>
        <v>0.30325127807570235</v>
      </c>
      <c r="E138" s="244">
        <f>SUM(E134:E137)</f>
        <v>0.40817263763763451</v>
      </c>
      <c r="F138" s="245">
        <f>SUM(F134:F137)</f>
        <v>1</v>
      </c>
    </row>
    <row r="139" spans="1:6" ht="12.75">
      <c r="A139" s="247" t="s">
        <v>208</v>
      </c>
      <c r="B139" s="115"/>
      <c r="C139" s="115"/>
      <c r="D139" s="115"/>
      <c r="E139" s="115"/>
      <c r="F139" s="119"/>
    </row>
    <row r="140" spans="1:6" ht="12.75">
      <c r="A140" s="121" t="s">
        <v>123</v>
      </c>
      <c r="B140" s="116">
        <v>1893374</v>
      </c>
      <c r="C140" s="116">
        <v>1893374</v>
      </c>
      <c r="D140" s="116">
        <v>1893374</v>
      </c>
      <c r="E140" s="116">
        <f>1.8*1000000</f>
        <v>1800000</v>
      </c>
      <c r="F140" s="120">
        <f>SUM(B140:E140)</f>
        <v>7480122</v>
      </c>
    </row>
    <row r="141" spans="1:6" ht="12.75">
      <c r="A141" s="121" t="s">
        <v>124</v>
      </c>
      <c r="B141" s="160"/>
      <c r="C141" s="116">
        <v>2111280</v>
      </c>
      <c r="D141" s="116">
        <f>+C141</f>
        <v>2111280</v>
      </c>
      <c r="E141" s="116">
        <f>+D141</f>
        <v>2111280</v>
      </c>
      <c r="F141" s="120">
        <f>SUM(B141:E141)</f>
        <v>6333840</v>
      </c>
    </row>
    <row r="142" spans="1:6" ht="12.75">
      <c r="A142" s="121" t="s">
        <v>125</v>
      </c>
      <c r="B142" s="116"/>
      <c r="C142" s="116"/>
      <c r="D142" s="116">
        <v>1235579</v>
      </c>
      <c r="E142" s="116">
        <f>+D142-50869</f>
        <v>1184710</v>
      </c>
      <c r="F142" s="120">
        <f>SUM(B142:E142)</f>
        <v>2420289</v>
      </c>
    </row>
    <row r="143" spans="1:6" ht="13.5" thickBot="1">
      <c r="A143" s="121" t="s">
        <v>126</v>
      </c>
      <c r="B143" s="116"/>
      <c r="C143" s="116"/>
      <c r="D143" s="116"/>
      <c r="E143" s="116">
        <v>2247532</v>
      </c>
      <c r="F143" s="120">
        <f>SUM(B143:E143)</f>
        <v>2247532</v>
      </c>
    </row>
    <row r="144" spans="1:6" ht="13.5" thickBot="1">
      <c r="A144" s="122" t="s">
        <v>127</v>
      </c>
      <c r="B144" s="123">
        <f>SUM(B140:B143)</f>
        <v>1893374</v>
      </c>
      <c r="C144" s="123">
        <f>SUM(C140:C143)</f>
        <v>4004654</v>
      </c>
      <c r="D144" s="123">
        <f>SUM(D140:D143)</f>
        <v>5240233</v>
      </c>
      <c r="E144" s="123">
        <f>SUM(E140:E143)</f>
        <v>7343522</v>
      </c>
      <c r="F144" s="124">
        <f>SUM(B144:E144)</f>
        <v>18481783</v>
      </c>
    </row>
    <row r="147" spans="1:6" ht="12.75">
      <c r="A147" s="255" t="s">
        <v>209</v>
      </c>
      <c r="B147" s="353" t="s">
        <v>211</v>
      </c>
      <c r="C147" s="353"/>
      <c r="D147" s="353"/>
      <c r="E147" s="256"/>
      <c r="F147" s="256"/>
    </row>
    <row r="148" spans="1:6" ht="13.5" thickBot="1">
      <c r="A148" s="255"/>
      <c r="B148" s="257"/>
      <c r="C148" s="257"/>
      <c r="D148" s="257"/>
      <c r="E148" s="256"/>
      <c r="F148" s="256"/>
    </row>
    <row r="149" spans="1:6" ht="15">
      <c r="A149" s="258" t="s">
        <v>213</v>
      </c>
      <c r="B149" s="259"/>
      <c r="C149" s="259"/>
      <c r="D149" s="259"/>
      <c r="E149" s="260" t="s">
        <v>8</v>
      </c>
      <c r="F149" s="261" t="s">
        <v>81</v>
      </c>
    </row>
    <row r="150" spans="1:6" ht="12.75">
      <c r="A150" s="262" t="s">
        <v>214</v>
      </c>
      <c r="B150" s="263"/>
      <c r="C150" s="263"/>
      <c r="D150" s="263"/>
      <c r="E150" s="264">
        <f>+Summary!$R$5/1000</f>
        <v>565451.05731606251</v>
      </c>
      <c r="F150" s="265">
        <f>+Summary!R8/1000</f>
        <v>534214.27237453428</v>
      </c>
    </row>
    <row r="151" spans="1:6" ht="12.75">
      <c r="A151" s="348" t="s">
        <v>215</v>
      </c>
      <c r="B151" s="349"/>
      <c r="C151" s="263"/>
      <c r="D151" s="263"/>
      <c r="E151" s="264"/>
      <c r="F151" s="265"/>
    </row>
    <row r="152" spans="1:6" ht="12.75">
      <c r="A152" s="262"/>
      <c r="B152" s="263" t="s">
        <v>216</v>
      </c>
      <c r="C152" s="263"/>
      <c r="D152" s="263"/>
      <c r="E152" s="264">
        <f>+F152*1.056</f>
        <v>5471.6073216575815</v>
      </c>
      <c r="F152" s="265">
        <v>5181.4463273272549</v>
      </c>
    </row>
    <row r="153" spans="1:6" ht="12.75">
      <c r="A153" s="262"/>
      <c r="B153" s="263" t="s">
        <v>217</v>
      </c>
      <c r="C153" s="263"/>
      <c r="D153" s="263"/>
      <c r="E153" s="264">
        <f>+F153*1.056</f>
        <v>7754.7169920000006</v>
      </c>
      <c r="F153" s="265">
        <v>7343.482</v>
      </c>
    </row>
    <row r="154" spans="1:6" ht="12.75">
      <c r="A154" s="266"/>
      <c r="B154" s="267" t="s">
        <v>218</v>
      </c>
      <c r="C154" s="267"/>
      <c r="D154" s="267"/>
      <c r="E154" s="268">
        <f>SUM(E152:E153)</f>
        <v>13226.324313657582</v>
      </c>
      <c r="F154" s="269">
        <f>SUM(F152:F153)</f>
        <v>12524.928327327256</v>
      </c>
    </row>
    <row r="155" spans="1:6" ht="12.75">
      <c r="A155" s="262" t="s">
        <v>219</v>
      </c>
      <c r="B155" s="263"/>
      <c r="C155" s="263"/>
      <c r="D155" s="263"/>
      <c r="E155" s="264">
        <f>+F155*1.056</f>
        <v>3111.6798239999998</v>
      </c>
      <c r="F155" s="265">
        <v>2946.6664999999998</v>
      </c>
    </row>
    <row r="156" spans="1:6" ht="12.75">
      <c r="A156" s="262"/>
      <c r="B156" s="263" t="s">
        <v>11</v>
      </c>
      <c r="C156" s="270"/>
      <c r="D156" s="270"/>
      <c r="E156" s="264">
        <f>+E154+E155</f>
        <v>16338.004137657583</v>
      </c>
      <c r="F156" s="265">
        <f>SUM(F154:F155)</f>
        <v>15471.594827327255</v>
      </c>
    </row>
    <row r="157" spans="1:6" ht="13.5" thickBot="1">
      <c r="A157" s="271" t="s">
        <v>220</v>
      </c>
      <c r="B157" s="272"/>
      <c r="C157" s="273"/>
      <c r="D157" s="273"/>
      <c r="E157" s="274">
        <f>+E150-E156</f>
        <v>549113.05317840492</v>
      </c>
      <c r="F157" s="275">
        <f>+F150-F156</f>
        <v>518742.67754720704</v>
      </c>
    </row>
    <row r="158" spans="1:6" ht="12.75">
      <c r="A158" s="256"/>
      <c r="B158" s="256"/>
      <c r="C158" s="256"/>
      <c r="D158" s="256"/>
      <c r="E158" s="256"/>
      <c r="F158" s="256"/>
    </row>
    <row r="159" spans="1:6" ht="12.75">
      <c r="A159" s="276" t="s">
        <v>226</v>
      </c>
      <c r="B159" s="256"/>
      <c r="C159" s="256"/>
      <c r="D159" s="256"/>
      <c r="E159" s="277"/>
      <c r="F159" s="277"/>
    </row>
    <row r="160" spans="1:6" ht="13.5" thickBot="1">
      <c r="A160" s="256"/>
      <c r="B160" s="256"/>
      <c r="C160" s="256"/>
      <c r="D160" s="256"/>
      <c r="E160" s="277"/>
      <c r="F160" s="277"/>
    </row>
    <row r="161" spans="1:6" ht="15">
      <c r="A161" s="258" t="s">
        <v>221</v>
      </c>
      <c r="B161" s="259"/>
      <c r="C161" s="278" t="s">
        <v>224</v>
      </c>
      <c r="D161" s="279" t="s">
        <v>225</v>
      </c>
      <c r="E161" s="256"/>
      <c r="F161" s="256"/>
    </row>
    <row r="162" spans="1:6" ht="12.75">
      <c r="A162" s="348" t="s">
        <v>151</v>
      </c>
      <c r="B162" s="349"/>
      <c r="C162" s="280">
        <v>853241.42130607553</v>
      </c>
      <c r="D162" s="281"/>
      <c r="E162" s="256"/>
      <c r="F162" s="256"/>
    </row>
    <row r="163" spans="1:6" ht="12.75">
      <c r="A163" s="348" t="s">
        <v>152</v>
      </c>
      <c r="B163" s="349"/>
      <c r="C163" s="280">
        <v>92450.372735016397</v>
      </c>
      <c r="D163" s="281"/>
      <c r="E163" s="256"/>
      <c r="F163" s="256"/>
    </row>
    <row r="164" spans="1:6" ht="12.75">
      <c r="A164" s="348" t="s">
        <v>153</v>
      </c>
      <c r="B164" s="349"/>
      <c r="C164" s="280">
        <v>1074160.2937178696</v>
      </c>
      <c r="D164" s="265">
        <f>+C164*'Rate Class Load Model'!B37</f>
        <v>2847.5393478497072</v>
      </c>
      <c r="E164" s="256"/>
      <c r="F164" s="256"/>
    </row>
    <row r="165" spans="1:6" ht="12.75">
      <c r="A165" s="350" t="s">
        <v>154</v>
      </c>
      <c r="B165" s="351"/>
      <c r="C165" s="282">
        <v>926814.74557437142</v>
      </c>
      <c r="D165" s="283">
        <f>+C165*'Rate Class Load Model'!C37</f>
        <v>2500.543341075781</v>
      </c>
      <c r="E165" s="256"/>
      <c r="F165" s="256"/>
    </row>
    <row r="166" spans="1:6" ht="13.5" thickBot="1">
      <c r="A166" s="284" t="s">
        <v>155</v>
      </c>
      <c r="B166" s="273"/>
      <c r="C166" s="285">
        <f>SUM(C162:C165)</f>
        <v>2946666.833333333</v>
      </c>
      <c r="D166" s="286">
        <f>SUM(D162:D165)</f>
        <v>5348.0826889254877</v>
      </c>
      <c r="E166" s="256"/>
      <c r="F166" s="256"/>
    </row>
    <row r="169" spans="1:4" ht="12.75">
      <c r="A169" s="276" t="s">
        <v>227</v>
      </c>
      <c r="B169" s="256"/>
      <c r="C169" s="256"/>
      <c r="D169" s="256"/>
    </row>
    <row r="170" spans="1:4" ht="13.5" thickBot="1">
      <c r="A170" s="256"/>
      <c r="B170" s="256"/>
      <c r="C170" s="256"/>
      <c r="D170" s="256"/>
    </row>
    <row r="171" spans="1:4" ht="15">
      <c r="A171" s="258" t="s">
        <v>221</v>
      </c>
      <c r="B171" s="259"/>
      <c r="C171" s="278" t="s">
        <v>224</v>
      </c>
      <c r="D171" s="279" t="s">
        <v>225</v>
      </c>
    </row>
    <row r="172" spans="1:4" ht="12.75">
      <c r="A172" s="348" t="s">
        <v>151</v>
      </c>
      <c r="B172" s="349"/>
      <c r="C172" s="280">
        <v>1279862.0595687253</v>
      </c>
      <c r="D172" s="281"/>
    </row>
    <row r="173" spans="1:4" ht="12.75">
      <c r="A173" s="348" t="s">
        <v>152</v>
      </c>
      <c r="B173" s="349"/>
      <c r="C173" s="280">
        <v>138675.55125888481</v>
      </c>
      <c r="D173" s="281"/>
    </row>
    <row r="174" spans="1:4" ht="12.75">
      <c r="A174" s="348" t="s">
        <v>153</v>
      </c>
      <c r="B174" s="349"/>
      <c r="C174" s="280">
        <v>1611240.3494433004</v>
      </c>
      <c r="D174" s="265">
        <f>+C174*'Rate Class Load Model'!B37</f>
        <v>4271.3087801846978</v>
      </c>
    </row>
    <row r="175" spans="1:4" ht="12.75">
      <c r="A175" s="350" t="s">
        <v>154</v>
      </c>
      <c r="B175" s="351"/>
      <c r="C175" s="282">
        <v>1390222.0397290888</v>
      </c>
      <c r="D175" s="283">
        <f>+C175*'Rate Class Load Model'!C37</f>
        <v>3750.8147994635128</v>
      </c>
    </row>
    <row r="176" spans="1:4" ht="13.5" thickBot="1">
      <c r="A176" s="284" t="s">
        <v>155</v>
      </c>
      <c r="B176" s="273"/>
      <c r="C176" s="285">
        <f>SUM(C172:C175)</f>
        <v>4419999.9999999991</v>
      </c>
      <c r="D176" s="286">
        <f>SUM(D172:D175)</f>
        <v>8022.1235796482106</v>
      </c>
    </row>
    <row r="177" spans="1:4" ht="12.75">
      <c r="A177" s="256"/>
      <c r="B177" s="256"/>
      <c r="C177" s="256"/>
      <c r="D177" s="256"/>
    </row>
    <row r="179" ht="12.75">
      <c r="A179" s="95" t="s">
        <v>228</v>
      </c>
    </row>
    <row r="181" spans="1:6" ht="25.5">
      <c r="A181" s="192"/>
      <c r="B181" s="229" t="s">
        <v>92</v>
      </c>
      <c r="C181" s="229" t="s">
        <v>93</v>
      </c>
      <c r="D181" s="229" t="s">
        <v>88</v>
      </c>
      <c r="E181" s="229" t="s">
        <v>82</v>
      </c>
      <c r="F181" s="229" t="s">
        <v>11</v>
      </c>
    </row>
    <row r="182" spans="1:6" ht="12.75">
      <c r="A182" s="192">
        <v>2003</v>
      </c>
      <c r="B182" s="194">
        <v>292864.41000000003</v>
      </c>
      <c r="C182" s="194">
        <v>235859</v>
      </c>
      <c r="D182" s="194">
        <v>1090.8200000000006</v>
      </c>
      <c r="E182" s="194">
        <v>6764</v>
      </c>
      <c r="F182" s="194">
        <v>536578.23</v>
      </c>
    </row>
    <row r="183" spans="1:6" ht="12.75">
      <c r="A183" s="192">
        <v>2004</v>
      </c>
      <c r="B183" s="194">
        <v>298046.73</v>
      </c>
      <c r="C183" s="194">
        <v>236202.55</v>
      </c>
      <c r="D183" s="194">
        <v>1155.1400000000012</v>
      </c>
      <c r="E183" s="194">
        <v>6796</v>
      </c>
      <c r="F183" s="194">
        <v>542200.42000000004</v>
      </c>
    </row>
    <row r="184" spans="1:6" ht="12.75">
      <c r="A184" s="192">
        <v>2005</v>
      </c>
      <c r="B184" s="194">
        <v>276911.94999999995</v>
      </c>
      <c r="C184" s="194">
        <v>235749.59</v>
      </c>
      <c r="D184" s="194">
        <v>806.75000000000068</v>
      </c>
      <c r="E184" s="194">
        <v>6855.37</v>
      </c>
      <c r="F184" s="194">
        <v>520323.65999999992</v>
      </c>
    </row>
    <row r="185" spans="1:6" ht="12.75">
      <c r="A185" s="192">
        <v>2006</v>
      </c>
      <c r="B185" s="194">
        <v>299829.52599999995</v>
      </c>
      <c r="C185" s="194">
        <v>250935.3768</v>
      </c>
      <c r="D185" s="194">
        <v>643.70999999999981</v>
      </c>
      <c r="E185" s="194">
        <v>7431.4600000000009</v>
      </c>
      <c r="F185" s="194">
        <v>558840.07279999985</v>
      </c>
    </row>
    <row r="186" spans="1:6" ht="12.75">
      <c r="A186" s="192">
        <v>2007</v>
      </c>
      <c r="B186" s="194">
        <v>322163.37</v>
      </c>
      <c r="C186" s="194">
        <v>282975.62</v>
      </c>
      <c r="D186" s="194">
        <v>635.96999999999991</v>
      </c>
      <c r="E186" s="194">
        <v>7477.1900000000014</v>
      </c>
      <c r="F186" s="194">
        <v>613252.14999999991</v>
      </c>
    </row>
    <row r="187" spans="1:6" ht="12.75">
      <c r="A187" s="192">
        <v>2008</v>
      </c>
      <c r="B187" s="194">
        <v>322746.80000000005</v>
      </c>
      <c r="C187" s="194">
        <v>265624.51</v>
      </c>
      <c r="D187" s="194">
        <v>627.91999999999996</v>
      </c>
      <c r="E187" s="194">
        <v>7513.5100000000011</v>
      </c>
      <c r="F187" s="194">
        <v>596512.74000000011</v>
      </c>
    </row>
    <row r="188" spans="1:6" ht="12.75">
      <c r="A188" s="192">
        <v>2009</v>
      </c>
      <c r="B188" s="194">
        <v>330063.74999999994</v>
      </c>
      <c r="C188" s="194">
        <v>257988.30</v>
      </c>
      <c r="D188" s="194">
        <v>615.68000000000006</v>
      </c>
      <c r="E188" s="194">
        <v>7542.3500000000013</v>
      </c>
      <c r="F188" s="194">
        <v>596210.07999999996</v>
      </c>
    </row>
    <row r="189" spans="1:6" ht="12.75">
      <c r="A189" s="192">
        <v>2010</v>
      </c>
      <c r="B189" s="194">
        <v>320892.79120000004</v>
      </c>
      <c r="C189" s="194">
        <v>285634.91000000003</v>
      </c>
      <c r="D189" s="194">
        <v>585.82999999999993</v>
      </c>
      <c r="E189" s="194">
        <v>7569.3000000000011</v>
      </c>
      <c r="F189" s="194">
        <v>614682.83120000002</v>
      </c>
    </row>
    <row r="190" spans="1:6" ht="12.75">
      <c r="A190" s="192">
        <v>2011</v>
      </c>
      <c r="B190" s="194">
        <v>318710.76</v>
      </c>
      <c r="C190" s="194">
        <v>294618.27999999997</v>
      </c>
      <c r="D190" s="194">
        <v>530.20999999999992</v>
      </c>
      <c r="E190" s="194">
        <v>7634.1600000000008</v>
      </c>
      <c r="F190" s="194">
        <v>621493.41</v>
      </c>
    </row>
    <row r="191" spans="1:6" ht="12.75">
      <c r="A191" s="192">
        <v>2012</v>
      </c>
      <c r="B191" s="194">
        <v>313359.68</v>
      </c>
      <c r="C191" s="194">
        <v>289208.77999999997</v>
      </c>
      <c r="D191" s="194">
        <v>649.59999999999991</v>
      </c>
      <c r="E191" s="194">
        <v>7680.7800000000007</v>
      </c>
      <c r="F191" s="194">
        <v>610898.84</v>
      </c>
    </row>
    <row r="192" spans="1:6" ht="12.75">
      <c r="A192" s="192">
        <v>2013</v>
      </c>
      <c r="B192" s="194">
        <v>321135.30999999994</v>
      </c>
      <c r="C192" s="194">
        <v>296491.61</v>
      </c>
      <c r="D192" s="194">
        <v>675.93</v>
      </c>
      <c r="E192" s="194">
        <v>7730.8799999999992</v>
      </c>
      <c r="F192" s="194">
        <v>626033.73</v>
      </c>
    </row>
    <row r="193" spans="1:6" ht="12.75">
      <c r="A193" s="192">
        <v>2014</v>
      </c>
      <c r="B193" s="194">
        <v>362945.97000000003</v>
      </c>
      <c r="C193" s="194">
        <v>307814.96999999991</v>
      </c>
      <c r="D193" s="194">
        <v>703.32722429187197</v>
      </c>
      <c r="E193" s="194">
        <v>7764.2099999999982</v>
      </c>
      <c r="F193" s="194">
        <v>679228.47722429177</v>
      </c>
    </row>
    <row r="194" spans="1:6" ht="12.75">
      <c r="A194" s="145"/>
      <c r="B194" s="252"/>
      <c r="C194" s="252"/>
      <c r="D194" s="252"/>
      <c r="E194" s="252"/>
      <c r="F194" s="252"/>
    </row>
    <row r="195" spans="1:6" ht="12.75">
      <c r="A195" s="145"/>
      <c r="B195" s="252"/>
      <c r="C195" s="252"/>
      <c r="D195" s="252"/>
      <c r="E195" s="252"/>
      <c r="F195" s="252"/>
    </row>
    <row r="198" ht="12.75">
      <c r="A198" s="95" t="s">
        <v>229</v>
      </c>
    </row>
    <row r="200" spans="1:5" ht="25.5">
      <c r="A200" s="93"/>
      <c r="B200" s="229" t="s">
        <v>92</v>
      </c>
      <c r="C200" s="229" t="s">
        <v>93</v>
      </c>
      <c r="D200" s="229" t="s">
        <v>88</v>
      </c>
      <c r="E200" s="229" t="s">
        <v>82</v>
      </c>
    </row>
    <row r="201" spans="1:5" ht="12.75">
      <c r="A201" s="192">
        <v>2003</v>
      </c>
      <c r="B201" s="251">
        <v>0.0030632546782708003</v>
      </c>
      <c r="C201" s="251">
        <v>0.0025159559407985413</v>
      </c>
      <c r="D201" s="251">
        <v>0.0038016327134603959</v>
      </c>
      <c r="E201" s="251">
        <v>0.0028673194308979667</v>
      </c>
    </row>
    <row r="202" spans="1:5" ht="12.75">
      <c r="A202" s="192">
        <v>2004</v>
      </c>
      <c r="B202" s="251">
        <v>0.0029648481971473939</v>
      </c>
      <c r="C202" s="251">
        <v>0.0024687808150225111</v>
      </c>
      <c r="D202" s="251">
        <v>0.0040648193603833628</v>
      </c>
      <c r="E202" s="251">
        <v>0.0027761357958507515</v>
      </c>
    </row>
    <row r="203" spans="1:5" ht="12.75">
      <c r="A203" s="192">
        <v>2005</v>
      </c>
      <c r="B203" s="251">
        <v>0.0025419451151823444</v>
      </c>
      <c r="C203" s="251">
        <v>0.0024910784532824232</v>
      </c>
      <c r="D203" s="251">
        <v>0.0025078260960389081</v>
      </c>
      <c r="E203" s="251">
        <v>0.0027804887939309594</v>
      </c>
    </row>
    <row r="204" spans="1:5" ht="12.75">
      <c r="A204" s="192">
        <v>2006</v>
      </c>
      <c r="B204" s="251">
        <v>0.0026906226764155305</v>
      </c>
      <c r="C204" s="251">
        <v>0.002799648344881328</v>
      </c>
      <c r="D204" s="251">
        <v>0.0017539110559936324</v>
      </c>
      <c r="E204" s="251">
        <v>0.002826112393811388</v>
      </c>
    </row>
    <row r="205" spans="1:5" ht="12.75">
      <c r="A205" s="192">
        <v>2007</v>
      </c>
      <c r="B205" s="251">
        <v>0.002805777005927304</v>
      </c>
      <c r="C205" s="251">
        <v>0.0028809754805488468</v>
      </c>
      <c r="D205" s="251">
        <v>0.0013430775247611506</v>
      </c>
      <c r="E205" s="251">
        <v>0.002821820891015782</v>
      </c>
    </row>
    <row r="206" spans="1:5" ht="12.75">
      <c r="A206" s="192">
        <v>2008</v>
      </c>
      <c r="B206" s="251">
        <v>0.002783199611211022</v>
      </c>
      <c r="C206" s="251">
        <v>0.0028385556883171979</v>
      </c>
      <c r="D206" s="251">
        <v>0.001369817381170164</v>
      </c>
      <c r="E206" s="251">
        <v>0.0028138814265463645</v>
      </c>
    </row>
    <row r="207" spans="1:5" ht="12.75">
      <c r="A207" s="192">
        <v>2009</v>
      </c>
      <c r="B207" s="251">
        <v>0.0027497690255652856</v>
      </c>
      <c r="C207" s="251">
        <v>0.0029174255946385003</v>
      </c>
      <c r="D207" s="251">
        <v>0.0011603948901009844</v>
      </c>
      <c r="E207" s="251">
        <v>0.0028308689645672692</v>
      </c>
    </row>
    <row r="208" spans="1:5" ht="12.75">
      <c r="A208" s="192">
        <v>2010</v>
      </c>
      <c r="B208" s="251">
        <v>0.0027705092856704608</v>
      </c>
      <c r="C208" s="251">
        <v>0.0026559651345771443</v>
      </c>
      <c r="D208" s="251">
        <v>0.0010254219505516373</v>
      </c>
      <c r="E208" s="251">
        <v>0.0027948502179165687</v>
      </c>
    </row>
    <row r="209" spans="1:5" ht="12.75">
      <c r="A209" s="192">
        <v>2011</v>
      </c>
      <c r="B209" s="251">
        <v>0.0027551548981112808</v>
      </c>
      <c r="C209" s="251">
        <v>0.0026408192654055499</v>
      </c>
      <c r="D209" s="251">
        <v>0.0012186074305611417</v>
      </c>
      <c r="E209" s="251">
        <v>0.0027829376035742176</v>
      </c>
    </row>
    <row r="210" spans="1:5" ht="12.75">
      <c r="A210" s="192">
        <v>2012</v>
      </c>
      <c r="B210" s="251">
        <v>0.002743060821751749</v>
      </c>
      <c r="C210" s="251">
        <v>0.0026761709202244195</v>
      </c>
      <c r="D210" s="251">
        <v>0.0014782250240331033</v>
      </c>
      <c r="E210" s="251">
        <v>0.0027805102607278897</v>
      </c>
    </row>
    <row r="211" spans="1:5" ht="12.75">
      <c r="A211" s="192">
        <v>2013</v>
      </c>
      <c r="B211" s="251">
        <v>0.0027293038198321915</v>
      </c>
      <c r="C211" s="251">
        <v>0.0025035254477176793</v>
      </c>
      <c r="D211" s="251">
        <v>0.0015229122574969144</v>
      </c>
      <c r="E211" s="251">
        <v>0.0027916860097411309</v>
      </c>
    </row>
    <row r="212" spans="1:5" ht="12.75">
      <c r="A212" s="192">
        <v>2014</v>
      </c>
      <c r="B212" s="251">
        <v>0.0028039863470678919</v>
      </c>
      <c r="C212" s="251">
        <v>0.0024831058707269573</v>
      </c>
      <c r="D212" s="251">
        <v>0.0015689504008710455</v>
      </c>
      <c r="E212" s="251">
        <v>0.0027902686800812039</v>
      </c>
    </row>
    <row r="213" spans="1:5" ht="12.75">
      <c r="A213" s="192"/>
      <c r="B213" s="192"/>
      <c r="C213" s="192"/>
      <c r="D213" s="192"/>
      <c r="E213" s="192"/>
    </row>
    <row r="214" spans="1:5" ht="12.75">
      <c r="A214" s="93" t="s">
        <v>16</v>
      </c>
      <c r="B214" s="251">
        <v>0.0027962406994237674</v>
      </c>
      <c r="C214" s="251">
        <v>0.0026960481815083114</v>
      </c>
      <c r="D214" s="251">
        <v>0.0021283626215575294</v>
      </c>
      <c r="E214" s="251">
        <v>0.0028139347393171315</v>
      </c>
    </row>
  </sheetData>
  <mergeCells count="24">
    <mergeCell ref="B119:E119"/>
    <mergeCell ref="B147:D147"/>
    <mergeCell ref="A151:B151"/>
    <mergeCell ref="B1:E1"/>
    <mergeCell ref="B21:E21"/>
    <mergeCell ref="B38:E38"/>
    <mergeCell ref="B54:E54"/>
    <mergeCell ref="B61:E61"/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</mergeCells>
  <pageMargins left="0.7" right="0.7" top="0.75" bottom="0.75" header="0.3" footer="0.3"/>
  <pageSetup orientation="portrait" r:id="rId1"/>
  <ignoredErrors>
    <ignoredError sqref="E154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workbookViewId="0" topLeftCell="A1">
      <pane xSplit="1" ySplit="3" topLeftCell="H25" activePane="bottomRight" state="frozen"/>
      <selection pane="topLeft" activeCell="A1" sqref="A1"/>
      <selection pane="bottomLeft" activeCell="A4" sqref="A4"/>
      <selection pane="topRight" activeCell="B1" sqref="B1"/>
      <selection pane="bottomRight" activeCell="Q35" sqref="Q35"/>
    </sheetView>
  </sheetViews>
  <sheetFormatPr defaultColWidth="9.14285714285714" defaultRowHeight="12.75"/>
  <cols>
    <col min="1" max="1" width="32.7142857142857" customWidth="1"/>
    <col min="2" max="2" width="13.8571428571429" style="1" hidden="1" customWidth="1"/>
    <col min="3" max="3" width="13.1428571428571" style="1" hidden="1" customWidth="1"/>
    <col min="4" max="4" width="13" style="1" hidden="1" customWidth="1"/>
    <col min="5" max="5" width="12.5714285714286" style="1" customWidth="1"/>
    <col min="6" max="6" width="12.7142857142857" style="1" customWidth="1"/>
    <col min="7" max="7" width="13.5714285714286" style="1" customWidth="1"/>
    <col min="8" max="8" width="12.7142857142857" style="1" customWidth="1"/>
    <col min="9" max="9" width="13" style="1" customWidth="1"/>
    <col min="10" max="10" width="12.7142857142857" style="1" customWidth="1"/>
    <col min="11" max="16" width="12.8571428571429" style="1" customWidth="1"/>
    <col min="17" max="17" width="16.4285714285714" style="24" bestFit="1" customWidth="1"/>
    <col min="18" max="18" width="17" style="1" customWidth="1"/>
  </cols>
  <sheetData>
    <row r="1" spans="1:18" ht="36" customHeight="1">
      <c r="A1" s="328" t="s">
        <v>178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</row>
    <row r="2" ht="13.5" thickBot="1"/>
    <row r="3" spans="1:18" ht="30">
      <c r="A3" s="295"/>
      <c r="B3" s="296" t="s">
        <v>61</v>
      </c>
      <c r="C3" s="296" t="s">
        <v>62</v>
      </c>
      <c r="D3" s="296" t="s">
        <v>63</v>
      </c>
      <c r="E3" s="297" t="s">
        <v>64</v>
      </c>
      <c r="F3" s="297" t="s">
        <v>65</v>
      </c>
      <c r="G3" s="297" t="s">
        <v>66</v>
      </c>
      <c r="H3" s="297" t="s">
        <v>67</v>
      </c>
      <c r="I3" s="297" t="s">
        <v>68</v>
      </c>
      <c r="J3" s="297" t="s">
        <v>76</v>
      </c>
      <c r="K3" s="297" t="s">
        <v>83</v>
      </c>
      <c r="L3" s="297" t="s">
        <v>89</v>
      </c>
      <c r="M3" s="297" t="s">
        <v>128</v>
      </c>
      <c r="N3" s="297" t="s">
        <v>129</v>
      </c>
      <c r="O3" s="297" t="s">
        <v>130</v>
      </c>
      <c r="P3" s="297" t="s">
        <v>131</v>
      </c>
      <c r="Q3" s="297" t="s">
        <v>158</v>
      </c>
      <c r="R3" s="298" t="s">
        <v>159</v>
      </c>
    </row>
    <row r="4" spans="1:19" ht="15">
      <c r="A4" s="299" t="s">
        <v>71</v>
      </c>
      <c r="B4" s="300">
        <f>'Purchased Power Model '!B177</f>
        <v>0</v>
      </c>
      <c r="C4" s="300">
        <f>'Purchased Power Model '!B178</f>
        <v>0</v>
      </c>
      <c r="D4" s="301">
        <f>'Purchased Power Model '!B179</f>
        <v>0</v>
      </c>
      <c r="E4" s="300">
        <f>+'Power Purchases'!B150</f>
        <v>462324178</v>
      </c>
      <c r="F4" s="300">
        <f>+'Power Purchases'!B151</f>
        <v>468337202</v>
      </c>
      <c r="G4" s="300">
        <f>+'Power Purchases'!B152</f>
        <v>495175531</v>
      </c>
      <c r="H4" s="300">
        <f>+'Power Purchases'!B153</f>
        <v>493166269</v>
      </c>
      <c r="I4" s="300">
        <f>+'Power Purchases'!B154</f>
        <v>512386673</v>
      </c>
      <c r="J4" s="300">
        <f>+'Power Purchases'!B155</f>
        <v>507787443</v>
      </c>
      <c r="K4" s="300">
        <f>+'Power Purchases'!B156+'Power Purchases'!C156</f>
        <v>500230551.24112391</v>
      </c>
      <c r="L4" s="300">
        <f>+'Power Purchases'!B157+'Power Purchases'!C157</f>
        <v>525655151.0705086</v>
      </c>
      <c r="M4" s="300">
        <f>+'Power Purchases'!B158+'Power Purchases'!C158</f>
        <v>524288829.45429748</v>
      </c>
      <c r="N4" s="300">
        <f>+'Power Purchases'!B159+'Power Purchases'!C159</f>
        <v>516827035.51975787</v>
      </c>
      <c r="O4" s="300">
        <f>+'Power Purchases'!B160+'Power Purchases'!C160</f>
        <v>523333727.773485</v>
      </c>
      <c r="P4" s="300">
        <f>+'Power Purchases'!B161+'Power Purchases'!C161</f>
        <v>534204473.0134539</v>
      </c>
      <c r="Q4" s="302"/>
      <c r="R4" s="303"/>
      <c r="S4" s="32"/>
    </row>
    <row r="5" spans="1:19" ht="15">
      <c r="A5" s="299" t="s">
        <v>72</v>
      </c>
      <c r="B5" s="300">
        <f>'Purchased Power Model '!O177</f>
        <v>0</v>
      </c>
      <c r="C5" s="300">
        <f>'Purchased Power Model '!O178</f>
        <v>0</v>
      </c>
      <c r="D5" s="300">
        <f>'Purchased Power Model '!O179</f>
        <v>0</v>
      </c>
      <c r="E5" s="300">
        <f>'Purchased Power Model '!O180</f>
        <v>460075503.94144708</v>
      </c>
      <c r="F5" s="300">
        <f>'Purchased Power Model '!O181</f>
        <v>466722845.60357416</v>
      </c>
      <c r="G5" s="300">
        <f>'Purchased Power Model '!O182</f>
        <v>499338857.06327397</v>
      </c>
      <c r="H5" s="300">
        <f>'Purchased Power Model '!O183-'Power Purchases'!E153</f>
        <v>498516728.70015061</v>
      </c>
      <c r="I5" s="300">
        <f>'Purchased Power Model '!O184-'Power Purchases'!E154</f>
        <v>511672820.35749847</v>
      </c>
      <c r="J5" s="300">
        <f>'Purchased Power Model '!O185-'Power Purchases'!E155</f>
        <v>506633664.95589143</v>
      </c>
      <c r="K5" s="300">
        <f>'Purchased Power Model '!O186-'Power Purchases'!E156</f>
        <v>503115690.46837449</v>
      </c>
      <c r="L5" s="300">
        <f>'Purchased Power Model '!$O187-'Power Purchases'!E157</f>
        <v>518316891.04688561</v>
      </c>
      <c r="M5" s="300">
        <f>'Purchased Power Model '!$O188-'Power Purchases'!E158</f>
        <v>520588618.47739691</v>
      </c>
      <c r="N5" s="300">
        <f>'Purchased Power Model '!$O189-'Power Purchases'!E159</f>
        <v>521649031.38461393</v>
      </c>
      <c r="O5" s="300">
        <f>'Purchased Power Model '!$O190-'Power Purchases'!E160</f>
        <v>524020770.27682906</v>
      </c>
      <c r="P5" s="300">
        <f>'Purchased Power Model '!$O191-'Power Purchases'!E161</f>
        <v>533065641.79669166</v>
      </c>
      <c r="Q5" s="304">
        <f>'Purchased Power Model '!O192-('CDM By Program'!K8*1.056)</f>
        <v>539315067.67502666</v>
      </c>
      <c r="R5" s="305">
        <f>'Purchased Power Model '!O193-('CDM By Program'!L8*1.056)</f>
        <v>546431631.4024049</v>
      </c>
      <c r="S5" s="32"/>
    </row>
    <row r="6" spans="1:21" ht="15">
      <c r="A6" s="299" t="s">
        <v>10</v>
      </c>
      <c r="B6" s="306" t="e">
        <f t="shared" si="0" ref="B6:P6">(B5-B4)/B4</f>
        <v>#DIV/0!</v>
      </c>
      <c r="C6" s="306" t="e">
        <f t="shared" si="0"/>
        <v>#DIV/0!</v>
      </c>
      <c r="D6" s="306" t="e">
        <f t="shared" si="0"/>
        <v>#DIV/0!</v>
      </c>
      <c r="E6" s="306">
        <f t="shared" si="0"/>
        <v>-0.0048638469834751336</v>
      </c>
      <c r="F6" s="306">
        <f t="shared" si="0"/>
        <v>-0.0034469958601021904</v>
      </c>
      <c r="G6" s="306">
        <f t="shared" si="0"/>
        <v>0.0084077782576739771</v>
      </c>
      <c r="H6" s="306">
        <f t="shared" si="0"/>
        <v>0.010849200434976645</v>
      </c>
      <c r="I6" s="306">
        <f t="shared" si="0"/>
        <v>-0.0013931912754911427</v>
      </c>
      <c r="J6" s="306">
        <f t="shared" si="0"/>
        <v>-0.00227216734090955</v>
      </c>
      <c r="K6" s="306">
        <f t="shared" si="0"/>
        <v>0.0057676189910677109</v>
      </c>
      <c r="L6" s="306">
        <f t="shared" si="0"/>
        <v>-0.013960217090384175</v>
      </c>
      <c r="M6" s="306">
        <f t="shared" si="0"/>
        <v>-0.0070575811824026792</v>
      </c>
      <c r="N6" s="306">
        <f t="shared" si="0"/>
        <v>0.009329999271432703</v>
      </c>
      <c r="O6" s="306">
        <f t="shared" si="0"/>
        <v>0.0013128190806028694</v>
      </c>
      <c r="P6" s="306">
        <f t="shared" si="0"/>
        <v>-0.0021318264340582623</v>
      </c>
      <c r="Q6" s="307"/>
      <c r="R6" s="308"/>
      <c r="S6" s="50"/>
      <c r="T6" s="32"/>
      <c r="U6" s="32"/>
    </row>
    <row r="7" spans="1:18" ht="15">
      <c r="A7" s="299"/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2"/>
      <c r="R7" s="310"/>
    </row>
    <row r="8" spans="1:18" ht="15">
      <c r="A8" s="299" t="s">
        <v>74</v>
      </c>
      <c r="B8" s="300" t="e">
        <f>#REF!</f>
        <v>#REF!</v>
      </c>
      <c r="C8" s="300" t="e">
        <f>#REF!</f>
        <v>#REF!</v>
      </c>
      <c r="D8" s="300" t="e">
        <f>#REF!</f>
        <v>#REF!</v>
      </c>
      <c r="E8" s="300">
        <f>'Rate Class Energy Model'!G5</f>
        <v>432666845.60000199</v>
      </c>
      <c r="F8" s="300">
        <f>'Rate Class Energy Model'!G6</f>
        <v>439067347.78000152</v>
      </c>
      <c r="G8" s="300">
        <f>'Rate Class Energy Model'!G7</f>
        <v>463814907.0500015</v>
      </c>
      <c r="H8" s="300">
        <f>+'CDM By Program'!I14</f>
        <v>462856925.89000183</v>
      </c>
      <c r="I8" s="300">
        <f>+'CDM By Program'!I15</f>
        <v>482846075.67000264</v>
      </c>
      <c r="J8" s="300">
        <f>+'CDM By Program'!I16</f>
        <v>480192790.10000205</v>
      </c>
      <c r="K8" s="300">
        <f>+'CDM By Program'!I17+WMP!B65</f>
        <v>472679647.81000334</v>
      </c>
      <c r="L8" s="300">
        <f>+'CDM By Program'!I18+WMP!B66</f>
        <v>496594894.14080316</v>
      </c>
      <c r="M8" s="300">
        <f>+'CDM By Program'!I19+WMP!B67</f>
        <v>494135980.92000002</v>
      </c>
      <c r="N8" s="300">
        <f>+'CDM By Program'!I20+WMP!B68</f>
        <v>493078699.99000198</v>
      </c>
      <c r="O8" s="300">
        <f>+'CDM By Program'!I21+WMP!B69</f>
        <v>500125974.60950488</v>
      </c>
      <c r="P8" s="300">
        <f>+'CDM By Program'!I22+WMP!B70</f>
        <v>506282929.34359497</v>
      </c>
      <c r="Q8" s="304">
        <f>'Rate Class Energy Model'!G17-'CDM By Program'!K8-'Summary Power Purchases'!E36</f>
        <v>509482773.96827197</v>
      </c>
      <c r="R8" s="311">
        <f>'Rate Class Energy Model'!G18-'CDM By Program'!L8-'Summary Power Purchases'!E37</f>
        <v>516203452.38054037</v>
      </c>
    </row>
    <row r="9" spans="1:18" ht="15">
      <c r="A9" s="299"/>
      <c r="B9" s="309"/>
      <c r="C9" s="309"/>
      <c r="D9" s="309"/>
      <c r="E9" s="309"/>
      <c r="F9" s="309"/>
      <c r="G9" s="309"/>
      <c r="H9" s="309"/>
      <c r="I9" s="309"/>
      <c r="J9" s="312"/>
      <c r="K9" s="313"/>
      <c r="L9" s="313"/>
      <c r="M9" s="313"/>
      <c r="N9" s="313"/>
      <c r="O9" s="313"/>
      <c r="P9" s="313"/>
      <c r="Q9" s="313"/>
      <c r="R9" s="303"/>
    </row>
    <row r="10" spans="1:18" ht="15">
      <c r="A10" s="299" t="s">
        <v>73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3"/>
      <c r="R10" s="303"/>
    </row>
    <row r="11" spans="1:18" ht="15">
      <c r="A11" s="314" t="str">
        <f>'Rate Class Energy Model'!H2</f>
        <v>Residential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3"/>
      <c r="R11" s="310"/>
    </row>
    <row r="12" spans="1:18" ht="15">
      <c r="A12" s="315" t="s">
        <v>58</v>
      </c>
      <c r="B12" s="301" t="e">
        <f>#REF!</f>
        <v>#REF!</v>
      </c>
      <c r="C12" s="301" t="e">
        <f>#REF!</f>
        <v>#REF!</v>
      </c>
      <c r="D12" s="301" t="e">
        <f>#REF!</f>
        <v>#REF!</v>
      </c>
      <c r="E12" s="301">
        <f>'Rate Class Customer Model'!B3</f>
        <v>16143.999999999996</v>
      </c>
      <c r="F12" s="301">
        <f>'Rate Class Customer Model'!B4</f>
        <v>16646</v>
      </c>
      <c r="G12" s="301">
        <f>'Rate Class Customer Model'!B5</f>
        <v>17301.000000000007</v>
      </c>
      <c r="H12" s="301">
        <f>'Rate Class Customer Model'!B6</f>
        <v>17912.50</v>
      </c>
      <c r="I12" s="301">
        <f>'Rate Class Customer Model'!B7</f>
        <v>18284.000000000007</v>
      </c>
      <c r="J12" s="301">
        <f>'Rate Class Customer Model'!B8</f>
        <v>18498.499999999993</v>
      </c>
      <c r="K12" s="301">
        <f>'Rate Class Customer Model'!B9</f>
        <v>18697.499999999993</v>
      </c>
      <c r="L12" s="301">
        <f>'Rate Class Customer Model'!$B$10</f>
        <v>18866.499999999993</v>
      </c>
      <c r="M12" s="301">
        <f>'Rate Class Customer Model'!$B$11</f>
        <v>19136</v>
      </c>
      <c r="N12" s="301">
        <f>'Rate Class Customer Model'!$B$12</f>
        <v>19194</v>
      </c>
      <c r="O12" s="301">
        <f>'Rate Class Customer Model'!$B$13</f>
        <v>19511</v>
      </c>
      <c r="P12" s="301">
        <f>'Rate Class Customer Model'!$B$14</f>
        <v>19623</v>
      </c>
      <c r="Q12" s="316">
        <f>'Rate Class Customer Model'!B15</f>
        <v>19801</v>
      </c>
      <c r="R12" s="317">
        <f>'Rate Class Customer Model'!B16</f>
        <v>19970.829969943254</v>
      </c>
    </row>
    <row r="13" spans="1:18" ht="15">
      <c r="A13" s="315" t="s">
        <v>59</v>
      </c>
      <c r="B13" s="301" t="e">
        <f>#REF!</f>
        <v>#REF!</v>
      </c>
      <c r="C13" s="301" t="e">
        <f>#REF!</f>
        <v>#REF!</v>
      </c>
      <c r="D13" s="301" t="e">
        <f>#REF!</f>
        <v>#REF!</v>
      </c>
      <c r="E13" s="301">
        <f>'Rate Class Energy Model'!H5</f>
        <v>186765796.95000193</v>
      </c>
      <c r="F13" s="301">
        <f>'Rate Class Energy Model'!H6</f>
        <v>187584209.03000146</v>
      </c>
      <c r="G13" s="301">
        <f>'Rate Class Energy Model'!H7</f>
        <v>204051554.23000142</v>
      </c>
      <c r="H13" s="301">
        <f>+'CDM By Program'!B14</f>
        <v>206369210.68000183</v>
      </c>
      <c r="I13" s="301">
        <f>+'CDM By Program'!B15</f>
        <v>212135360.2700026</v>
      </c>
      <c r="J13" s="301">
        <f>+'CDM By Program'!B16</f>
        <v>211957790.24000198</v>
      </c>
      <c r="K13" s="301">
        <f>+'CDM By Program'!B17</f>
        <v>208364709.05000329</v>
      </c>
      <c r="L13" s="301">
        <f>+'CDM By Program'!B18</f>
        <v>215023348.72000325</v>
      </c>
      <c r="M13" s="301">
        <f>+'CDM By Program'!B19</f>
        <v>208222717</v>
      </c>
      <c r="N13" s="301">
        <f>+'CDM By Program'!B20</f>
        <v>213770411.52000195</v>
      </c>
      <c r="O13" s="301">
        <f>+'CDM By Program'!B21</f>
        <v>207797230.02000487</v>
      </c>
      <c r="P13" s="301">
        <f>+'CDM By Program'!B22</f>
        <v>203392794</v>
      </c>
      <c r="Q13" s="316">
        <f>'Rate Class Energy Model'!H66-'CDM By Program'!K3</f>
        <v>205941722.96014345</v>
      </c>
      <c r="R13" s="317">
        <f>'Rate Class Energy Model'!H67-'CDM By Program'!L3</f>
        <v>205578737.37607244</v>
      </c>
    </row>
    <row r="14" spans="1:18" ht="15">
      <c r="A14" s="315"/>
      <c r="B14" s="312"/>
      <c r="C14" s="312"/>
      <c r="D14" s="312"/>
      <c r="E14" s="312"/>
      <c r="F14" s="312"/>
      <c r="G14" s="312"/>
      <c r="H14" s="312"/>
      <c r="I14" s="312"/>
      <c r="J14" s="318"/>
      <c r="K14" s="313"/>
      <c r="L14" s="313"/>
      <c r="M14" s="313"/>
      <c r="N14" s="313"/>
      <c r="O14" s="313"/>
      <c r="P14" s="313"/>
      <c r="Q14" s="313"/>
      <c r="R14" s="319"/>
    </row>
    <row r="15" spans="1:18" ht="15">
      <c r="A15" s="314" t="str">
        <f>'Rate Class Energy Model'!I2</f>
        <v>GS&lt;50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3"/>
      <c r="R15" s="310"/>
    </row>
    <row r="16" spans="1:18" ht="15">
      <c r="A16" s="315" t="s">
        <v>58</v>
      </c>
      <c r="B16" s="301" t="e">
        <f>#REF!</f>
        <v>#REF!</v>
      </c>
      <c r="C16" s="301" t="e">
        <f>#REF!</f>
        <v>#REF!</v>
      </c>
      <c r="D16" s="301" t="e">
        <f>#REF!</f>
        <v>#REF!</v>
      </c>
      <c r="E16" s="301">
        <f>'Rate Class Customer Model'!C3</f>
        <v>1526</v>
      </c>
      <c r="F16" s="301">
        <f>'Rate Class Customer Model'!C4</f>
        <v>1596.0000000000005</v>
      </c>
      <c r="G16" s="301">
        <f>'Rate Class Customer Model'!C5</f>
        <v>1660</v>
      </c>
      <c r="H16" s="301">
        <f>'Rate Class Customer Model'!C6</f>
        <v>1571.50</v>
      </c>
      <c r="I16" s="301">
        <f>'Rate Class Customer Model'!C7</f>
        <v>1501</v>
      </c>
      <c r="J16" s="301">
        <f>'Rate Class Customer Model'!C8</f>
        <v>1541.9999999999996</v>
      </c>
      <c r="K16" s="301">
        <f>'Rate Class Customer Model'!C9</f>
        <v>1548.0000000000005</v>
      </c>
      <c r="L16" s="301">
        <f>'Rate Class Customer Model'!$C$10</f>
        <v>1605.5000000000005</v>
      </c>
      <c r="M16" s="301">
        <f>'Rate Class Customer Model'!$C$11</f>
        <v>1708</v>
      </c>
      <c r="N16" s="301">
        <f>'Rate Class Customer Model'!$C$12</f>
        <v>1710</v>
      </c>
      <c r="O16" s="301">
        <f>'Rate Class Customer Model'!$C$13</f>
        <v>1710</v>
      </c>
      <c r="P16" s="301">
        <f>'Rate Class Customer Model'!$C$14</f>
        <v>1701</v>
      </c>
      <c r="Q16" s="316">
        <f>'Rate Class Customer Model'!C15</f>
        <v>1912</v>
      </c>
      <c r="R16" s="317">
        <f>'Rate Class Customer Model'!C16</f>
        <v>1966.6989835948466</v>
      </c>
    </row>
    <row r="17" spans="1:18" ht="15">
      <c r="A17" s="315" t="s">
        <v>59</v>
      </c>
      <c r="B17" s="301" t="e">
        <f>#REF!</f>
        <v>#REF!</v>
      </c>
      <c r="C17" s="301" t="e">
        <f>#REF!</f>
        <v>#REF!</v>
      </c>
      <c r="D17" s="301" t="e">
        <f>#REF!</f>
        <v>#REF!</v>
      </c>
      <c r="E17" s="301">
        <f>'Rate Class Energy Model'!I5</f>
        <v>53904198.56000004</v>
      </c>
      <c r="F17" s="301">
        <f>'Rate Class Energy Model'!I6</f>
        <v>52548354.210000001</v>
      </c>
      <c r="G17" s="301">
        <f>'Rate Class Energy Model'!I7</f>
        <v>53400132.330000058</v>
      </c>
      <c r="H17" s="301">
        <f>+'CDM By Program'!C14</f>
        <v>51568132.580000013</v>
      </c>
      <c r="I17" s="301">
        <f>+'CDM By Program'!C15</f>
        <v>53690492.650000028</v>
      </c>
      <c r="J17" s="301">
        <f>+'CDM By Program'!C16</f>
        <v>54708674.750000045</v>
      </c>
      <c r="K17" s="301">
        <f>+'CDM By Program'!C17</f>
        <v>52384258.120000035</v>
      </c>
      <c r="L17" s="301">
        <f>+'CDM By Program'!C18</f>
        <v>54778252.31000001</v>
      </c>
      <c r="M17" s="301">
        <f>+'CDM By Program'!C19</f>
        <v>56992328</v>
      </c>
      <c r="N17" s="301">
        <f>+'CDM By Program'!C20</f>
        <v>56941927.850000031</v>
      </c>
      <c r="O17" s="301">
        <f>+'CDM By Program'!C21</f>
        <v>56899094.840000011</v>
      </c>
      <c r="P17" s="301">
        <f>+'CDM By Program'!C22</f>
        <v>51541092</v>
      </c>
      <c r="Q17" s="301">
        <f>'Rate Class Energy Model'!I66-'CDM By Program'!K4</f>
        <v>58070228.948614277</v>
      </c>
      <c r="R17" s="317">
        <f>'Rate Class Energy Model'!I67-'CDM By Program'!L4</f>
        <v>58991538.289036095</v>
      </c>
    </row>
    <row r="18" spans="1:18" ht="15">
      <c r="A18" s="315"/>
      <c r="B18" s="312"/>
      <c r="C18" s="312"/>
      <c r="D18" s="312"/>
      <c r="E18" s="312"/>
      <c r="F18" s="312"/>
      <c r="G18" s="312"/>
      <c r="H18" s="312"/>
      <c r="I18" s="312"/>
      <c r="J18" s="318"/>
      <c r="K18" s="313"/>
      <c r="L18" s="313"/>
      <c r="M18" s="313"/>
      <c r="N18" s="313"/>
      <c r="O18" s="313"/>
      <c r="P18" s="313"/>
      <c r="Q18" s="313"/>
      <c r="R18" s="319"/>
    </row>
    <row r="19" spans="1:18" ht="15">
      <c r="A19" s="314" t="str">
        <f>'Rate Class Energy Model'!J2</f>
        <v>GS&gt;50 to 999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3"/>
      <c r="R19" s="317"/>
    </row>
    <row r="20" spans="1:18" ht="15">
      <c r="A20" s="315" t="s">
        <v>58</v>
      </c>
      <c r="B20" s="301" t="e">
        <f>#REF!</f>
        <v>#REF!</v>
      </c>
      <c r="C20" s="301" t="e">
        <f>#REF!</f>
        <v>#REF!</v>
      </c>
      <c r="D20" s="301" t="e">
        <f>#REF!</f>
        <v>#REF!</v>
      </c>
      <c r="E20" s="301">
        <f>'Rate Class Customer Model'!D3</f>
        <v>143.49999999999994</v>
      </c>
      <c r="F20" s="301">
        <f>'Rate Class Customer Model'!D4</f>
        <v>149.99999999999994</v>
      </c>
      <c r="G20" s="301">
        <f>'Rate Class Customer Model'!D5</f>
        <v>154</v>
      </c>
      <c r="H20" s="301">
        <f>'Rate Class Customer Model'!D6</f>
        <v>150.00000000000006</v>
      </c>
      <c r="I20" s="301">
        <f>'Rate Class Customer Model'!D7</f>
        <v>151.49999999999994</v>
      </c>
      <c r="J20" s="301">
        <f>'Rate Class Customer Model'!D8</f>
        <v>157</v>
      </c>
      <c r="K20" s="301">
        <f>'Rate Class Customer Model'!D9</f>
        <v>160.50000000000006</v>
      </c>
      <c r="L20" s="301">
        <f>'Rate Class Customer Model'!$D$10</f>
        <v>167.99999999999994</v>
      </c>
      <c r="M20" s="301">
        <f>'Rate Class Customer Model'!$D$11</f>
        <v>156</v>
      </c>
      <c r="N20" s="301">
        <f>'Rate Class Customer Model'!$D$12</f>
        <v>200</v>
      </c>
      <c r="O20" s="301">
        <f>'Rate Class Customer Model'!$D$13</f>
        <v>207</v>
      </c>
      <c r="P20" s="301">
        <f>'Rate Class Customer Model'!$D$14</f>
        <v>198</v>
      </c>
      <c r="Q20" s="316">
        <f>'Rate Class Customer Model'!D15</f>
        <v>195</v>
      </c>
      <c r="R20" s="317">
        <f>'Rate Class Customer Model'!D16</f>
        <v>206.18739637090999</v>
      </c>
    </row>
    <row r="21" spans="1:18" ht="15">
      <c r="A21" s="315" t="s">
        <v>59</v>
      </c>
      <c r="B21" s="301" t="e">
        <f>#REF!</f>
        <v>#REF!</v>
      </c>
      <c r="C21" s="301" t="e">
        <f>#REF!</f>
        <v>#REF!</v>
      </c>
      <c r="D21" s="301" t="e">
        <f>#REF!</f>
        <v>#REF!</v>
      </c>
      <c r="E21" s="301">
        <f>'Rate Class Energy Model'!J5</f>
        <v>95605635.429999992</v>
      </c>
      <c r="F21" s="301">
        <f>'Rate Class Energy Model'!J6</f>
        <v>100526809.53000002</v>
      </c>
      <c r="G21" s="301">
        <f>'Rate Class Energy Model'!J7</f>
        <v>108937029.5</v>
      </c>
      <c r="H21" s="301">
        <f>+'CDM By Program'!D14</f>
        <v>111434995.56</v>
      </c>
      <c r="I21" s="301">
        <f>+'CDM By Program'!D15</f>
        <v>114821444.94</v>
      </c>
      <c r="J21" s="301">
        <f>+'CDM By Program'!D16</f>
        <v>115962505.42</v>
      </c>
      <c r="K21" s="301">
        <f>+'CDM By Program'!D17+WMP!B65</f>
        <v>120187129.07000002</v>
      </c>
      <c r="L21" s="301">
        <f>+'CDM By Program'!D18+WMP!B66</f>
        <v>120350598.5508</v>
      </c>
      <c r="M21" s="301">
        <f>+'CDM By Program'!D19+WMP!B67</f>
        <v>119598301.92</v>
      </c>
      <c r="N21" s="301">
        <f>+'CDM By Program'!D20+WMP!B68</f>
        <v>116558151.83000001</v>
      </c>
      <c r="O21" s="301">
        <f>+'CDM By Program'!D21+WMP!B69</f>
        <v>119703998.86</v>
      </c>
      <c r="P21" s="301">
        <f>+'CDM By Program'!D22+WMP!B70</f>
        <v>130517150.53</v>
      </c>
      <c r="Q21" s="301">
        <f>'Rate Class Energy Model'!J66-'CDM By Program'!K5</f>
        <v>129181093.49475637</v>
      </c>
      <c r="R21" s="317">
        <f>'Rate Class Energy Model'!J67-'CDM By Program'!L5</f>
        <v>136566740.34609804</v>
      </c>
    </row>
    <row r="22" spans="1:18" ht="15">
      <c r="A22" s="315" t="s">
        <v>60</v>
      </c>
      <c r="B22" s="301" t="e">
        <f>#REF!</f>
        <v>#REF!</v>
      </c>
      <c r="C22" s="301" t="e">
        <f>#REF!</f>
        <v>#REF!</v>
      </c>
      <c r="D22" s="301" t="e">
        <f>#REF!</f>
        <v>#REF!</v>
      </c>
      <c r="E22" s="301">
        <f>'Rate Class Load Model'!B2</f>
        <v>292864.41000000003</v>
      </c>
      <c r="F22" s="301">
        <f>'Rate Class Load Model'!B3</f>
        <v>298046.73</v>
      </c>
      <c r="G22" s="301">
        <f>'Rate Class Load Model'!B4</f>
        <v>276911.94999999995</v>
      </c>
      <c r="H22" s="301">
        <f>'Rate Class Load Model'!B5</f>
        <v>299829.52599999995</v>
      </c>
      <c r="I22" s="301">
        <f>'Rate Class Load Model'!B6</f>
        <v>322163.37</v>
      </c>
      <c r="J22" s="301">
        <f>'Rate Class Load Model'!B7</f>
        <v>322746.80000000005</v>
      </c>
      <c r="K22" s="301">
        <f>'Rate Class Load Model'!B8</f>
        <v>330063.74999999994</v>
      </c>
      <c r="L22" s="316">
        <f>'Rate Class Load Model'!$B$9</f>
        <v>320892.79120000004</v>
      </c>
      <c r="M22" s="316">
        <f>'Rate Class Load Model'!$B$10</f>
        <v>318710.76</v>
      </c>
      <c r="N22" s="316">
        <f>'Rate Class Load Model'!$B$11</f>
        <v>313359.68</v>
      </c>
      <c r="O22" s="316">
        <f>'Rate Class Load Model'!$B$12</f>
        <v>321135.30999999994</v>
      </c>
      <c r="P22" s="316">
        <f>'Rate Class Load Model'!$B$13</f>
        <v>362945.97000000003</v>
      </c>
      <c r="Q22" s="301">
        <f>+Q21*'Rate Class Load Model'!$B$37</f>
        <v>342451.91232248873</v>
      </c>
      <c r="R22" s="317">
        <f>+R21*'Rate Class Load Model'!$B$37</f>
        <v>362030.85239457584</v>
      </c>
    </row>
    <row r="23" spans="1:18" ht="15">
      <c r="A23" s="315"/>
      <c r="B23" s="312"/>
      <c r="C23" s="312"/>
      <c r="D23" s="312"/>
      <c r="E23" s="312"/>
      <c r="F23" s="312"/>
      <c r="G23" s="312"/>
      <c r="H23" s="312"/>
      <c r="I23" s="312"/>
      <c r="J23" s="318"/>
      <c r="K23" s="313"/>
      <c r="L23" s="313"/>
      <c r="M23" s="313"/>
      <c r="N23" s="313"/>
      <c r="O23" s="313"/>
      <c r="P23" s="313"/>
      <c r="Q23" s="313"/>
      <c r="R23" s="319"/>
    </row>
    <row r="24" spans="1:18" ht="15">
      <c r="A24" s="314" t="str">
        <f>'Rate Class Energy Model'!K2</f>
        <v>GS&gt; 1000 to 4999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3"/>
      <c r="R24" s="317"/>
    </row>
    <row r="25" spans="1:18" ht="15">
      <c r="A25" s="315" t="s">
        <v>58</v>
      </c>
      <c r="B25" s="301" t="e">
        <f>#REF!</f>
        <v>#REF!</v>
      </c>
      <c r="C25" s="301" t="e">
        <f>#REF!</f>
        <v>#REF!</v>
      </c>
      <c r="D25" s="301" t="e">
        <f>#REF!</f>
        <v>#REF!</v>
      </c>
      <c r="E25" s="301">
        <f>'Rate Class Customer Model'!E3</f>
        <v>8</v>
      </c>
      <c r="F25" s="301">
        <f>'Rate Class Customer Model'!E4</f>
        <v>8</v>
      </c>
      <c r="G25" s="301">
        <f>'Rate Class Customer Model'!E5</f>
        <v>8</v>
      </c>
      <c r="H25" s="301">
        <f>'Rate Class Customer Model'!E6</f>
        <v>8.9999999999999964</v>
      </c>
      <c r="I25" s="301">
        <f>'Rate Class Customer Model'!E7</f>
        <v>10</v>
      </c>
      <c r="J25" s="301">
        <f>'Rate Class Customer Model'!E8</f>
        <v>10</v>
      </c>
      <c r="K25" s="301">
        <f>'Rate Class Customer Model'!E9</f>
        <v>10</v>
      </c>
      <c r="L25" s="301">
        <f>'Rate Class Customer Model'!$E$10</f>
        <v>10.999999999999996</v>
      </c>
      <c r="M25" s="301">
        <f>'Rate Class Customer Model'!$E$11</f>
        <v>12</v>
      </c>
      <c r="N25" s="301">
        <f>'Rate Class Customer Model'!$E$12</f>
        <v>12</v>
      </c>
      <c r="O25" s="301">
        <f>'Rate Class Customer Model'!$E$13</f>
        <v>13</v>
      </c>
      <c r="P25" s="301">
        <f>'Rate Class Customer Model'!$E$14</f>
        <v>13.13</v>
      </c>
      <c r="Q25" s="316">
        <f>'Rate Class Customer Model'!E15</f>
        <v>13</v>
      </c>
      <c r="R25" s="317">
        <f>'Rate Class Customer Model'!E16</f>
        <v>13.262759024987531</v>
      </c>
    </row>
    <row r="26" spans="1:18" ht="15">
      <c r="A26" s="315" t="s">
        <v>59</v>
      </c>
      <c r="B26" s="301" t="e">
        <f>#REF!</f>
        <v>#REF!</v>
      </c>
      <c r="C26" s="301" t="e">
        <f>#REF!</f>
        <v>#REF!</v>
      </c>
      <c r="D26" s="301" t="e">
        <f>#REF!</f>
        <v>#REF!</v>
      </c>
      <c r="E26" s="301">
        <f>'Rate Class Energy Model'!K5</f>
        <v>93745282.329999998</v>
      </c>
      <c r="F26" s="301">
        <f>'Rate Class Energy Model'!K6</f>
        <v>95675788.049999982</v>
      </c>
      <c r="G26" s="301">
        <f>'Rate Class Energy Model'!K7</f>
        <v>94637561.370000005</v>
      </c>
      <c r="H26" s="301">
        <f>+'CDM By Program'!E14</f>
        <v>89631034.289999977</v>
      </c>
      <c r="I26" s="301">
        <f>+'CDM By Program'!E15</f>
        <v>98222154.929999992</v>
      </c>
      <c r="J26" s="301">
        <f>+'CDM By Program'!E16</f>
        <v>93577346.780000001</v>
      </c>
      <c r="K26" s="301">
        <f>+'CDM By Program'!E17</f>
        <v>87639309.699999988</v>
      </c>
      <c r="L26" s="301">
        <f>+'CDM By Program'!E18</f>
        <v>102247109.22999999</v>
      </c>
      <c r="M26" s="301">
        <f>+'CDM By Program'!E19</f>
        <v>105252631</v>
      </c>
      <c r="N26" s="301">
        <f>+'CDM By Program'!E20</f>
        <v>101713649.52</v>
      </c>
      <c r="O26" s="301">
        <f>+'CDM By Program'!E21</f>
        <v>111612294.22000001</v>
      </c>
      <c r="P26" s="316">
        <f>+'CDM By Program'!E22</f>
        <v>116678000</v>
      </c>
      <c r="Q26" s="316">
        <f>'Rate Class Energy Model'!K66-'CDM By Program'!K6</f>
        <v>112755094.75081009</v>
      </c>
      <c r="R26" s="320">
        <f>'Rate Class Energy Model'!K67-'CDM By Program'!L6</f>
        <v>112173675.36949776</v>
      </c>
    </row>
    <row r="27" spans="1:18" ht="15">
      <c r="A27" s="315" t="s">
        <v>60</v>
      </c>
      <c r="B27" s="301" t="e">
        <f>#REF!</f>
        <v>#REF!</v>
      </c>
      <c r="C27" s="301" t="e">
        <f>#REF!</f>
        <v>#REF!</v>
      </c>
      <c r="D27" s="301" t="e">
        <f>#REF!</f>
        <v>#REF!</v>
      </c>
      <c r="E27" s="301">
        <f>'Rate Class Load Model'!C2</f>
        <v>235859</v>
      </c>
      <c r="F27" s="301">
        <f>'Rate Class Load Model'!C3</f>
        <v>236202.55</v>
      </c>
      <c r="G27" s="301">
        <f>'Rate Class Load Model'!C4</f>
        <v>235749.59</v>
      </c>
      <c r="H27" s="301">
        <f>'Rate Class Load Model'!C5</f>
        <v>250935.3768</v>
      </c>
      <c r="I27" s="301">
        <f>'Rate Class Load Model'!C6</f>
        <v>282975.62</v>
      </c>
      <c r="J27" s="301">
        <f>'Rate Class Load Model'!C7</f>
        <v>265624.51</v>
      </c>
      <c r="K27" s="301">
        <f>'Rate Class Load Model'!C8</f>
        <v>257988.30</v>
      </c>
      <c r="L27" s="316">
        <f>'Rate Class Load Model'!$C$9</f>
        <v>285634.91000000003</v>
      </c>
      <c r="M27" s="316">
        <f>'Rate Class Load Model'!$C$10</f>
        <v>294618.27999999997</v>
      </c>
      <c r="N27" s="316">
        <f>'Rate Class Load Model'!$C$11</f>
        <v>289208.77999999997</v>
      </c>
      <c r="O27" s="316">
        <f>'Rate Class Load Model'!$C$12</f>
        <v>296491.61</v>
      </c>
      <c r="P27" s="316">
        <f>'Rate Class Load Model'!$C$13</f>
        <v>307814.96999999991</v>
      </c>
      <c r="Q27" s="316">
        <f>+Q26*'Rate Class Load Model'!$C$37</f>
        <v>304212.89982473868</v>
      </c>
      <c r="R27" s="320">
        <f>+R26*'Rate Class Load Model'!$C$37</f>
        <v>302644.23211713554</v>
      </c>
    </row>
    <row r="28" spans="1:18" ht="15">
      <c r="A28" s="315"/>
      <c r="B28" s="312"/>
      <c r="C28" s="312"/>
      <c r="D28" s="312"/>
      <c r="E28" s="312"/>
      <c r="F28" s="312"/>
      <c r="G28" s="312"/>
      <c r="H28" s="312"/>
      <c r="I28" s="312"/>
      <c r="J28" s="318"/>
      <c r="K28" s="313"/>
      <c r="L28" s="313"/>
      <c r="M28" s="313"/>
      <c r="N28" s="313"/>
      <c r="O28" s="313"/>
      <c r="P28" s="313"/>
      <c r="Q28" s="313"/>
      <c r="R28" s="308"/>
    </row>
    <row r="29" spans="1:18" ht="15">
      <c r="A29" s="314" t="str">
        <f>'Rate Class Energy Model'!L2</f>
        <v>Sentinels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3"/>
      <c r="Q29" s="316"/>
      <c r="R29" s="320"/>
    </row>
    <row r="30" spans="1:18" ht="15">
      <c r="A30" s="315" t="s">
        <v>84</v>
      </c>
      <c r="B30" s="301" t="e">
        <f>#REF!</f>
        <v>#REF!</v>
      </c>
      <c r="C30" s="301" t="e">
        <f>#REF!</f>
        <v>#REF!</v>
      </c>
      <c r="D30" s="301" t="e">
        <f>#REF!</f>
        <v>#REF!</v>
      </c>
      <c r="E30" s="301">
        <f>'Rate Class Customer Model'!F3</f>
        <v>355.50</v>
      </c>
      <c r="F30" s="301">
        <f>'Rate Class Customer Model'!F4</f>
        <v>326.50000000000011</v>
      </c>
      <c r="G30" s="301">
        <f>'Rate Class Customer Model'!F5</f>
        <v>325.50000000000011</v>
      </c>
      <c r="H30" s="301">
        <f>'Rate Class Customer Model'!F6</f>
        <v>365.50</v>
      </c>
      <c r="I30" s="301">
        <f>'Rate Class Customer Model'!F7</f>
        <v>373.49999999999989</v>
      </c>
      <c r="J30" s="301">
        <f>'Rate Class Customer Model'!F8</f>
        <v>324.99999999999989</v>
      </c>
      <c r="K30" s="301">
        <f>'Rate Class Customer Model'!F9</f>
        <v>315.49999999999989</v>
      </c>
      <c r="L30" s="316">
        <f>'Rate Class Customer Model'!$F$10</f>
        <v>327.50000000000011</v>
      </c>
      <c r="M30" s="316">
        <f>'Rate Class Customer Model'!$F$11</f>
        <v>161</v>
      </c>
      <c r="N30" s="316">
        <f>'Rate Class Customer Model'!$F$12</f>
        <v>153</v>
      </c>
      <c r="O30" s="316">
        <f>'Rate Class Customer Model'!$F$13</f>
        <v>177</v>
      </c>
      <c r="P30" s="316">
        <f>'Rate Class Customer Model'!$F$14</f>
        <v>170</v>
      </c>
      <c r="Q30" s="316">
        <f>'Rate Class Customer Model'!F15</f>
        <v>172</v>
      </c>
      <c r="R30" s="320">
        <f>'Rate Class Customer Model'!F16</f>
        <v>174.86548212493437</v>
      </c>
    </row>
    <row r="31" spans="1:18" ht="15">
      <c r="A31" s="315" t="s">
        <v>59</v>
      </c>
      <c r="B31" s="301" t="e">
        <f>#REF!</f>
        <v>#REF!</v>
      </c>
      <c r="C31" s="301" t="e">
        <f>#REF!</f>
        <v>#REF!</v>
      </c>
      <c r="D31" s="301" t="e">
        <f>#REF!</f>
        <v>#REF!</v>
      </c>
      <c r="E31" s="301">
        <f>'Rate Class Energy Model'!L5</f>
        <v>286934.61000000004</v>
      </c>
      <c r="F31" s="301">
        <f>'Rate Class Energy Model'!L6</f>
        <v>284179.90999999992</v>
      </c>
      <c r="G31" s="301">
        <f>'Rate Class Energy Model'!L7</f>
        <v>321692.96000000002</v>
      </c>
      <c r="H31" s="301">
        <f>'Rate Class Energy Model'!L8</f>
        <v>367014.05</v>
      </c>
      <c r="I31" s="301">
        <f>'Rate Class Energy Model'!L9</f>
        <v>473516.96999999991</v>
      </c>
      <c r="J31" s="301">
        <f>'Rate Class Energy Model'!L10</f>
        <v>458396.86999999988</v>
      </c>
      <c r="K31" s="301">
        <f>'Rate Class Energy Model'!L11</f>
        <v>530578</v>
      </c>
      <c r="L31" s="301">
        <f>'Rate Class Energy Model'!$L$12</f>
        <v>571306.28</v>
      </c>
      <c r="M31" s="301">
        <f>'Rate Class Energy Model'!$L$13</f>
        <v>435095</v>
      </c>
      <c r="N31" s="301">
        <f>'Rate Class Energy Model'!$L$14</f>
        <v>439445.95</v>
      </c>
      <c r="O31" s="301">
        <f>'Rate Class Energy Model'!$L$15</f>
        <v>443840.40950000001</v>
      </c>
      <c r="P31" s="301">
        <f>'Rate Class Energy Model'!$L$16</f>
        <v>448278.81359500001</v>
      </c>
      <c r="Q31" s="301">
        <f>'Rate Class Energy Model'!L66</f>
        <v>453552.68199023529</v>
      </c>
      <c r="R31" s="317">
        <f>'Rate Class Energy Model'!L63</f>
        <v>461108.76979813684</v>
      </c>
    </row>
    <row r="32" spans="1:18" ht="15">
      <c r="A32" s="315" t="s">
        <v>60</v>
      </c>
      <c r="B32" s="301" t="e">
        <f>#REF!</f>
        <v>#REF!</v>
      </c>
      <c r="C32" s="301" t="e">
        <f>#REF!</f>
        <v>#REF!</v>
      </c>
      <c r="D32" s="301" t="e">
        <f>#REF!</f>
        <v>#REF!</v>
      </c>
      <c r="E32" s="301">
        <f>'Rate Class Load Model'!D2</f>
        <v>1090.8200000000006</v>
      </c>
      <c r="F32" s="301">
        <f>'Rate Class Load Model'!D3</f>
        <v>1155.1400000000012</v>
      </c>
      <c r="G32" s="301">
        <f>'Rate Class Load Model'!D4</f>
        <v>806.75000000000068</v>
      </c>
      <c r="H32" s="301">
        <f>'Rate Class Load Model'!D5</f>
        <v>643.70999999999981</v>
      </c>
      <c r="I32" s="301">
        <f>'Rate Class Load Model'!D6</f>
        <v>635.96999999999991</v>
      </c>
      <c r="J32" s="301">
        <f>'Rate Class Load Model'!D7</f>
        <v>627.91999999999996</v>
      </c>
      <c r="K32" s="301">
        <f>'Rate Class Load Model'!D8</f>
        <v>615.68000000000006</v>
      </c>
      <c r="L32" s="316">
        <f>'Rate Class Load Model'!$D$9</f>
        <v>585.82999999999993</v>
      </c>
      <c r="M32" s="316">
        <f>'Rate Class Load Model'!$D$10</f>
        <v>530.20999999999992</v>
      </c>
      <c r="N32" s="316">
        <f>'Rate Class Load Model'!$D$11</f>
        <v>649.59999999999991</v>
      </c>
      <c r="O32" s="316">
        <f>'Rate Class Load Model'!$D$12</f>
        <v>675.93</v>
      </c>
      <c r="P32" s="316">
        <f>'Rate Class Load Model'!$D$13</f>
        <v>703.32722429187197</v>
      </c>
      <c r="Q32" s="301">
        <f>'Rate Class Load Model'!D14</f>
        <v>618.11221391042602</v>
      </c>
      <c r="R32" s="317">
        <f>'Rate Class Load Model'!D15</f>
        <v>628.40982728347217</v>
      </c>
    </row>
    <row r="33" spans="1:18" ht="15">
      <c r="A33" s="315"/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16"/>
      <c r="R33" s="317"/>
    </row>
    <row r="34" spans="1:18" ht="15">
      <c r="A34" s="314" t="str">
        <f>'Rate Class Energy Model'!M2</f>
        <v>Streetlights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3"/>
      <c r="R34" s="317"/>
    </row>
    <row r="35" spans="1:18" ht="15">
      <c r="A35" s="315" t="s">
        <v>84</v>
      </c>
      <c r="B35" s="301" t="e">
        <f>#REF!</f>
        <v>#REF!</v>
      </c>
      <c r="C35" s="301" t="e">
        <f>#REF!</f>
        <v>#REF!</v>
      </c>
      <c r="D35" s="301" t="e">
        <f>#REF!</f>
        <v>#REF!</v>
      </c>
      <c r="E35" s="301">
        <f>'Rate Class Customer Model'!G3</f>
        <v>3803.50</v>
      </c>
      <c r="F35" s="301">
        <f>'Rate Class Customer Model'!G4</f>
        <v>3945.0000000000009</v>
      </c>
      <c r="G35" s="301">
        <f>'Rate Class Customer Model'!G5</f>
        <v>4082.9999999999991</v>
      </c>
      <c r="H35" s="301">
        <f>'Rate Class Customer Model'!G6</f>
        <v>4216.4999999999982</v>
      </c>
      <c r="I35" s="301">
        <f>'Rate Class Customer Model'!G7</f>
        <v>4291.5000000000018</v>
      </c>
      <c r="J35" s="301">
        <f>'Rate Class Customer Model'!G8</f>
        <v>4311.5000000000018</v>
      </c>
      <c r="K35" s="301">
        <f>'Rate Class Customer Model'!G9</f>
        <v>4332.4999999999982</v>
      </c>
      <c r="L35" s="316">
        <f>'Rate Class Customer Model'!$G$10</f>
        <v>4361.50</v>
      </c>
      <c r="M35" s="316">
        <f>'Rate Class Customer Model'!$G$11</f>
        <v>4387</v>
      </c>
      <c r="N35" s="316">
        <f>'Rate Class Customer Model'!$G$12</f>
        <v>4417</v>
      </c>
      <c r="O35" s="316">
        <f>'Rate Class Customer Model'!$G$13</f>
        <v>4477</v>
      </c>
      <c r="P35" s="316">
        <f>'Rate Class Customer Model'!$G$14</f>
        <v>4477</v>
      </c>
      <c r="Q35" s="301">
        <f>'Rate Class Customer Model'!G15</f>
        <v>4595</v>
      </c>
      <c r="R35" s="317">
        <f>'Rate Class Customer Model'!G16</f>
        <v>4648.5230208224757</v>
      </c>
    </row>
    <row r="36" spans="1:18" ht="15">
      <c r="A36" s="315" t="s">
        <v>59</v>
      </c>
      <c r="B36" s="301" t="e">
        <f>#REF!</f>
        <v>#REF!</v>
      </c>
      <c r="C36" s="301" t="e">
        <f>#REF!</f>
        <v>#REF!</v>
      </c>
      <c r="D36" s="301" t="e">
        <f>#REF!</f>
        <v>#REF!</v>
      </c>
      <c r="E36" s="301">
        <f>'Rate Class Energy Model'!M5</f>
        <v>2358997.7199999997</v>
      </c>
      <c r="F36" s="301">
        <f>'Rate Class Energy Model'!M6</f>
        <v>2448007.0499999998</v>
      </c>
      <c r="G36" s="301">
        <f>'Rate Class Energy Model'!M7</f>
        <v>2465526.9299999997</v>
      </c>
      <c r="H36" s="301">
        <f>'Rate Class Energy Model'!M8</f>
        <v>2629569.87</v>
      </c>
      <c r="I36" s="301">
        <f>'Rate Class Energy Model'!M9</f>
        <v>2649774.84</v>
      </c>
      <c r="J36" s="301">
        <f>'Rate Class Energy Model'!M10</f>
        <v>2670158.7100000004</v>
      </c>
      <c r="K36" s="301">
        <f>'Rate Class Energy Model'!M11</f>
        <v>2664323.25</v>
      </c>
      <c r="L36" s="301">
        <f>'Rate Class Energy Model'!$M$12</f>
        <v>2708302.56</v>
      </c>
      <c r="M36" s="301">
        <f>'Rate Class Energy Model'!$M$13</f>
        <v>2743202</v>
      </c>
      <c r="N36" s="301">
        <f>'Rate Class Energy Model'!$M$14</f>
        <v>2762363.48</v>
      </c>
      <c r="O36" s="301">
        <f>'Rate Class Energy Model'!$M$15</f>
        <v>2769251.2600000002</v>
      </c>
      <c r="P36" s="301">
        <f>'Rate Class Energy Model'!$M$16</f>
        <v>2782603</v>
      </c>
      <c r="Q36" s="301">
        <f>'Rate Class Energy Model'!M66-'CDM By Program'!K7</f>
        <v>2182422.7726419629</v>
      </c>
      <c r="R36" s="321">
        <f>'Rate Class Energy Model'!M67-'CDM By Program'!L7</f>
        <v>1535680.9316911195</v>
      </c>
    </row>
    <row r="37" spans="1:18" ht="15">
      <c r="A37" s="315" t="s">
        <v>60</v>
      </c>
      <c r="B37" s="301" t="e">
        <f>#REF!</f>
        <v>#REF!</v>
      </c>
      <c r="C37" s="301" t="e">
        <f>#REF!</f>
        <v>#REF!</v>
      </c>
      <c r="D37" s="301" t="e">
        <f>#REF!</f>
        <v>#REF!</v>
      </c>
      <c r="E37" s="301">
        <f>'Rate Class Load Model'!E2</f>
        <v>6764</v>
      </c>
      <c r="F37" s="301">
        <f>'Rate Class Load Model'!E3</f>
        <v>6796</v>
      </c>
      <c r="G37" s="301">
        <f>'Rate Class Load Model'!E4</f>
        <v>6855.37</v>
      </c>
      <c r="H37" s="301">
        <f>'Rate Class Load Model'!E5</f>
        <v>7431.4600000000009</v>
      </c>
      <c r="I37" s="301">
        <f>'Rate Class Load Model'!E6</f>
        <v>7477.1900000000014</v>
      </c>
      <c r="J37" s="301">
        <f>'Rate Class Load Model'!E7</f>
        <v>7513.5100000000011</v>
      </c>
      <c r="K37" s="301">
        <f>'Rate Class Load Model'!E8</f>
        <v>7542.3500000000013</v>
      </c>
      <c r="L37" s="316">
        <f>'Rate Class Load Model'!$E$9</f>
        <v>7569.3000000000011</v>
      </c>
      <c r="M37" s="316">
        <f>'Rate Class Load Model'!$E$10</f>
        <v>7634.1600000000008</v>
      </c>
      <c r="N37" s="316">
        <f>'Rate Class Load Model'!$E$11</f>
        <v>7680.7800000000007</v>
      </c>
      <c r="O37" s="316">
        <f>'Rate Class Load Model'!$E$12</f>
        <v>7730.8799999999992</v>
      </c>
      <c r="P37" s="316">
        <f>'Rate Class Load Model'!$E$13</f>
        <v>7764.2099999999982</v>
      </c>
      <c r="Q37" s="301">
        <f>+Q36*'Rate Class Load Model'!E37</f>
        <v>6084.7050212175109</v>
      </c>
      <c r="R37" s="317">
        <f>+R36*'Rate Class Load Model'!E37</f>
        <v>4281.5560729955305</v>
      </c>
    </row>
    <row r="38" spans="1:18" ht="15">
      <c r="A38" s="315"/>
      <c r="B38" s="312"/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3"/>
      <c r="R38" s="310"/>
    </row>
    <row r="39" spans="1:18" ht="15">
      <c r="A39" s="314" t="str">
        <f>'Rate Class Energy Model'!N2</f>
        <v>USL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3"/>
      <c r="R39" s="310"/>
    </row>
    <row r="40" spans="1:18" ht="15">
      <c r="A40" s="315" t="s">
        <v>84</v>
      </c>
      <c r="B40" s="301" t="e">
        <f>#REF!</f>
        <v>#REF!</v>
      </c>
      <c r="C40" s="301" t="e">
        <f>#REF!</f>
        <v>#REF!</v>
      </c>
      <c r="D40" s="301" t="e">
        <f>#REF!</f>
        <v>#REF!</v>
      </c>
      <c r="E40" s="301">
        <f>'Rate Class Customer Model'!H3</f>
        <v>0</v>
      </c>
      <c r="F40" s="301">
        <f>'Rate Class Customer Model'!H4</f>
        <v>0</v>
      </c>
      <c r="G40" s="301">
        <f>'Rate Class Customer Model'!H5</f>
        <v>0.99999999999999989</v>
      </c>
      <c r="H40" s="301">
        <f>'Rate Class Customer Model'!H6</f>
        <v>66.50</v>
      </c>
      <c r="I40" s="301">
        <f>'Rate Class Customer Model'!H7</f>
        <v>133.49999999999994</v>
      </c>
      <c r="J40" s="301">
        <f>'Rate Class Customer Model'!H8</f>
        <v>136</v>
      </c>
      <c r="K40" s="301">
        <f>'Rate Class Customer Model'!H9</f>
        <v>136</v>
      </c>
      <c r="L40" s="316">
        <f>'Rate Class Customer Model'!$H$10</f>
        <v>137.50</v>
      </c>
      <c r="M40" s="316">
        <f>'Rate Class Customer Model'!$H$11</f>
        <v>144</v>
      </c>
      <c r="N40" s="316">
        <f>'Rate Class Customer Model'!$H$12</f>
        <v>151</v>
      </c>
      <c r="O40" s="316">
        <f>'Rate Class Customer Model'!$H$13</f>
        <v>146</v>
      </c>
      <c r="P40" s="316">
        <f>'Rate Class Customer Model'!$H$14</f>
        <v>147.46</v>
      </c>
      <c r="Q40" s="301">
        <f>'Rate Class Customer Model'!H15</f>
        <v>144</v>
      </c>
      <c r="R40" s="317">
        <f>'Rate Class Customer Model'!H16</f>
        <v>144</v>
      </c>
    </row>
    <row r="41" spans="1:18" ht="15">
      <c r="A41" s="315" t="s">
        <v>59</v>
      </c>
      <c r="B41" s="301" t="e">
        <f>#REF!</f>
        <v>#REF!</v>
      </c>
      <c r="C41" s="301" t="e">
        <f>#REF!</f>
        <v>#REF!</v>
      </c>
      <c r="D41" s="301" t="e">
        <f>#REF!</f>
        <v>#REF!</v>
      </c>
      <c r="E41" s="301">
        <f>'Rate Class Energy Model'!N5</f>
        <v>0</v>
      </c>
      <c r="F41" s="301">
        <f>'Rate Class Energy Model'!N6</f>
        <v>0</v>
      </c>
      <c r="G41" s="301">
        <f>'Rate Class Energy Model'!N7</f>
        <v>1409.73</v>
      </c>
      <c r="H41" s="301">
        <f>'Rate Class Energy Model'!N8</f>
        <v>856968.85999999987</v>
      </c>
      <c r="I41" s="301">
        <f>'Rate Class Energy Model'!N9</f>
        <v>853331.06999999937</v>
      </c>
      <c r="J41" s="301">
        <f>'Rate Class Energy Model'!N10</f>
        <v>857917.32999999938</v>
      </c>
      <c r="K41" s="301">
        <f>'Rate Class Energy Model'!N11</f>
        <v>909340.61999999941</v>
      </c>
      <c r="L41" s="301">
        <f>'Rate Class Energy Model'!$N$12</f>
        <v>915976.48999999941</v>
      </c>
      <c r="M41" s="301">
        <f>'Rate Class Energy Model'!$N$13</f>
        <v>891705</v>
      </c>
      <c r="N41" s="301">
        <f>'Rate Class Energy Model'!$N$14</f>
        <v>892749.83999999973</v>
      </c>
      <c r="O41" s="301">
        <f>'Rate Class Energy Model'!$N$15</f>
        <v>900264.79999999993</v>
      </c>
      <c r="P41" s="301">
        <f>'Rate Class Energy Model'!$N$16</f>
        <v>923011</v>
      </c>
      <c r="Q41" s="301">
        <f>'Rate Class Energy Model'!N66</f>
        <v>898658.35931569722</v>
      </c>
      <c r="R41" s="317">
        <f>'Rate Class Energy Model'!N67</f>
        <v>895971.2983467998</v>
      </c>
    </row>
    <row r="42" spans="1:18" ht="15">
      <c r="A42" s="315"/>
      <c r="B42" s="312"/>
      <c r="C42" s="312"/>
      <c r="D42" s="312"/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3"/>
      <c r="R42" s="317"/>
    </row>
    <row r="43" spans="1:18" ht="15">
      <c r="A43" s="314" t="s">
        <v>85</v>
      </c>
      <c r="B43" s="301"/>
      <c r="C43" s="301"/>
      <c r="D43" s="301"/>
      <c r="E43" s="301"/>
      <c r="F43" s="301"/>
      <c r="G43" s="301"/>
      <c r="H43" s="301"/>
      <c r="I43" s="312"/>
      <c r="J43" s="301"/>
      <c r="K43" s="301"/>
      <c r="L43" s="301"/>
      <c r="M43" s="301"/>
      <c r="N43" s="301"/>
      <c r="O43" s="301"/>
      <c r="P43" s="301"/>
      <c r="Q43" s="316"/>
      <c r="R43" s="310"/>
    </row>
    <row r="44" spans="1:18" ht="15">
      <c r="A44" s="315" t="s">
        <v>70</v>
      </c>
      <c r="B44" s="301" t="e">
        <f>#REF!</f>
        <v>#REF!</v>
      </c>
      <c r="C44" s="301" t="e">
        <f>#REF!</f>
        <v>#REF!</v>
      </c>
      <c r="D44" s="301" t="e">
        <f>#REF!</f>
        <v>#REF!</v>
      </c>
      <c r="E44" s="301">
        <f>E12+E16+E20+E25+E30+E35+E40</f>
        <v>21980.499999999996</v>
      </c>
      <c r="F44" s="301">
        <f t="shared" si="1" ref="F44:R45">F12+F16+F20+F25+F30+F35+F40</f>
        <v>22671.50</v>
      </c>
      <c r="G44" s="301">
        <f t="shared" si="1"/>
        <v>23532.500000000007</v>
      </c>
      <c r="H44" s="301">
        <f t="shared" si="1"/>
        <v>24291.50</v>
      </c>
      <c r="I44" s="301">
        <f t="shared" si="1"/>
        <v>24745.000000000007</v>
      </c>
      <c r="J44" s="301">
        <f t="shared" si="1"/>
        <v>24979.999999999993</v>
      </c>
      <c r="K44" s="301">
        <f t="shared" si="1"/>
        <v>25199.999999999993</v>
      </c>
      <c r="L44" s="301">
        <f t="shared" si="1"/>
        <v>25477.499999999993</v>
      </c>
      <c r="M44" s="301">
        <f t="shared" si="1"/>
        <v>25704</v>
      </c>
      <c r="N44" s="301">
        <f t="shared" si="1"/>
        <v>25837</v>
      </c>
      <c r="O44" s="301">
        <f t="shared" si="1"/>
        <v>26241</v>
      </c>
      <c r="P44" s="301">
        <f t="shared" si="1"/>
        <v>26329.59</v>
      </c>
      <c r="Q44" s="301">
        <f t="shared" si="1"/>
        <v>26832</v>
      </c>
      <c r="R44" s="317">
        <f t="shared" si="1"/>
        <v>27124.367611881407</v>
      </c>
    </row>
    <row r="45" spans="1:18" ht="15">
      <c r="A45" s="315" t="s">
        <v>59</v>
      </c>
      <c r="B45" s="301" t="e">
        <f>#REF!</f>
        <v>#REF!</v>
      </c>
      <c r="C45" s="301" t="e">
        <f>#REF!</f>
        <v>#REF!</v>
      </c>
      <c r="D45" s="301" t="e">
        <f>#REF!</f>
        <v>#REF!</v>
      </c>
      <c r="E45" s="301">
        <f>E13+E17+E21+E26+E31+E36+E41</f>
        <v>432666845.60000199</v>
      </c>
      <c r="F45" s="301">
        <f t="shared" si="1"/>
        <v>439067347.78000152</v>
      </c>
      <c r="G45" s="301">
        <f t="shared" si="1"/>
        <v>463814907.0500015</v>
      </c>
      <c r="H45" s="301">
        <f t="shared" si="1"/>
        <v>462856925.89000183</v>
      </c>
      <c r="I45" s="301">
        <f t="shared" si="1"/>
        <v>482846075.67000264</v>
      </c>
      <c r="J45" s="301">
        <f t="shared" si="1"/>
        <v>480192790.10000205</v>
      </c>
      <c r="K45" s="301">
        <f t="shared" si="1"/>
        <v>472679647.81000334</v>
      </c>
      <c r="L45" s="301">
        <f t="shared" si="1"/>
        <v>496594894.14080328</v>
      </c>
      <c r="M45" s="301">
        <f t="shared" si="1"/>
        <v>494135979.92000002</v>
      </c>
      <c r="N45" s="301">
        <f t="shared" si="1"/>
        <v>493078699.99000192</v>
      </c>
      <c r="O45" s="301">
        <f t="shared" si="1"/>
        <v>500125974.40950489</v>
      </c>
      <c r="P45" s="301">
        <f t="shared" si="1"/>
        <v>506282929.34359497</v>
      </c>
      <c r="Q45" s="301">
        <f>Q13+Q17+Q21+Q26+Q31+Q36+Q41</f>
        <v>509482773.96827203</v>
      </c>
      <c r="R45" s="317">
        <f>R13+R17+R21+R26+R31+R36+R41</f>
        <v>516203452.38054043</v>
      </c>
    </row>
    <row r="46" spans="1:18" ht="15.75" thickBot="1">
      <c r="A46" s="322" t="s">
        <v>69</v>
      </c>
      <c r="B46" s="323" t="e">
        <f>#REF!</f>
        <v>#REF!</v>
      </c>
      <c r="C46" s="323" t="e">
        <f>#REF!</f>
        <v>#REF!</v>
      </c>
      <c r="D46" s="323" t="e">
        <f>#REF!</f>
        <v>#REF!</v>
      </c>
      <c r="E46" s="323">
        <f>E22+E27+E32+E37</f>
        <v>536578.23</v>
      </c>
      <c r="F46" s="323">
        <f t="shared" si="2" ref="F46:R46">F22+F27+F32+F37</f>
        <v>542200.42000000004</v>
      </c>
      <c r="G46" s="323">
        <f t="shared" si="2"/>
        <v>520323.65999999992</v>
      </c>
      <c r="H46" s="323">
        <f t="shared" si="2"/>
        <v>558840.07279999985</v>
      </c>
      <c r="I46" s="323">
        <f t="shared" si="2"/>
        <v>613252.14999999991</v>
      </c>
      <c r="J46" s="323">
        <f t="shared" si="2"/>
        <v>596512.74000000011</v>
      </c>
      <c r="K46" s="323">
        <f t="shared" si="2"/>
        <v>596210.07999999996</v>
      </c>
      <c r="L46" s="323">
        <f t="shared" si="2"/>
        <v>614682.83120000002</v>
      </c>
      <c r="M46" s="323">
        <f t="shared" si="2"/>
        <v>621493.41</v>
      </c>
      <c r="N46" s="323">
        <f t="shared" si="2"/>
        <v>610898.84</v>
      </c>
      <c r="O46" s="323">
        <f t="shared" si="2"/>
        <v>626033.73</v>
      </c>
      <c r="P46" s="323">
        <f t="shared" si="2"/>
        <v>679228.47722429177</v>
      </c>
      <c r="Q46" s="323">
        <f t="shared" si="2"/>
        <v>653367.62938235526</v>
      </c>
      <c r="R46" s="324">
        <f t="shared" si="2"/>
        <v>669585.05041199038</v>
      </c>
    </row>
    <row r="47" spans="1:18" ht="15">
      <c r="A47" s="293"/>
      <c r="B47" s="291"/>
      <c r="C47" s="291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291"/>
      <c r="P47" s="291"/>
      <c r="Q47" s="290"/>
      <c r="R47" s="291"/>
    </row>
    <row r="48" spans="1:18" ht="15">
      <c r="A48" s="292" t="s">
        <v>86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0"/>
      <c r="R48" s="289"/>
    </row>
    <row r="49" spans="1:18" ht="15">
      <c r="A49" s="293" t="s">
        <v>70</v>
      </c>
      <c r="B49" s="289"/>
      <c r="C49" s="289"/>
      <c r="D49" s="289"/>
      <c r="E49" s="289">
        <f>'Rate Class Customer Model'!I3</f>
        <v>21980.499999999996</v>
      </c>
      <c r="F49" s="289">
        <f>'Rate Class Customer Model'!I4</f>
        <v>22671.50</v>
      </c>
      <c r="G49" s="289">
        <f>'Rate Class Customer Model'!I5</f>
        <v>23532.500000000007</v>
      </c>
      <c r="H49" s="289">
        <f>'Rate Class Customer Model'!I6</f>
        <v>24291.50</v>
      </c>
      <c r="I49" s="289">
        <f>'Rate Class Customer Model'!I7</f>
        <v>24745.000000000007</v>
      </c>
      <c r="J49" s="289">
        <f>'Rate Class Customer Model'!I8</f>
        <v>24979.999999999993</v>
      </c>
      <c r="K49" s="289">
        <f>'Rate Class Customer Model'!I9</f>
        <v>25199.999999999993</v>
      </c>
      <c r="L49" s="289">
        <f>'Rate Class Customer Model'!$I$10</f>
        <v>25477.499999999993</v>
      </c>
      <c r="M49" s="289">
        <f>'Rate Class Customer Model'!$I$11</f>
        <v>25704</v>
      </c>
      <c r="N49" s="289">
        <f>'Rate Class Customer Model'!$I$12</f>
        <v>25837</v>
      </c>
      <c r="O49" s="289">
        <f>'Rate Class Customer Model'!$I$13</f>
        <v>26241</v>
      </c>
      <c r="P49" s="289">
        <f>'Rate Class Customer Model'!$I$14</f>
        <v>26329.59</v>
      </c>
      <c r="Q49" s="289">
        <f>'Rate Class Customer Model'!I15</f>
        <v>26832</v>
      </c>
      <c r="R49" s="289">
        <f>'Rate Class Customer Model'!I16</f>
        <v>27124.367611881407</v>
      </c>
    </row>
    <row r="50" spans="1:18" ht="15">
      <c r="A50" s="293" t="s">
        <v>59</v>
      </c>
      <c r="B50" s="289"/>
      <c r="C50" s="289"/>
      <c r="D50" s="289"/>
      <c r="E50" s="289">
        <f>'Rate Class Energy Model'!G5</f>
        <v>432666845.60000199</v>
      </c>
      <c r="F50" s="289">
        <f>'Rate Class Energy Model'!G6</f>
        <v>439067347.78000152</v>
      </c>
      <c r="G50" s="289">
        <f>'Rate Class Energy Model'!G7</f>
        <v>463814907.0500015</v>
      </c>
      <c r="H50" s="289">
        <f>+'CDM By Program'!I14</f>
        <v>462856925.89000183</v>
      </c>
      <c r="I50" s="289">
        <f>+'CDM By Program'!I15</f>
        <v>482846075.67000264</v>
      </c>
      <c r="J50" s="289">
        <f>+'CDM By Program'!I16</f>
        <v>480192790.10000205</v>
      </c>
      <c r="K50" s="289">
        <f>+'CDM By Program'!I17+WMP!B65</f>
        <v>472679647.81000334</v>
      </c>
      <c r="L50" s="289">
        <f>+'CDM By Program'!I18+WMP!B66</f>
        <v>496594894.14080316</v>
      </c>
      <c r="M50" s="289">
        <f>+'CDM By Program'!I19-1+WMP!B67</f>
        <v>494135979.92000002</v>
      </c>
      <c r="N50" s="289">
        <f>+'CDM By Program'!I20+WMP!B68</f>
        <v>493078699.99000198</v>
      </c>
      <c r="O50" s="289">
        <f>+'CDM By Program'!I21+WMP!B69</f>
        <v>500125974.60950488</v>
      </c>
      <c r="P50" s="289">
        <f>+'CDM By Program'!I22+WMP!B70</f>
        <v>506282929.34359497</v>
      </c>
      <c r="Q50" s="294">
        <f>'Rate Class Energy Model'!G17-'CDM By Program'!K8-'Summary Power Purchases'!E36</f>
        <v>509482773.96827197</v>
      </c>
      <c r="R50" s="289">
        <f>'Rate Class Energy Model'!G18-'CDM By Program'!L8-'Summary Power Purchases'!E37</f>
        <v>516203452.38054037</v>
      </c>
    </row>
    <row r="51" spans="1:18" ht="15">
      <c r="A51" s="293" t="s">
        <v>69</v>
      </c>
      <c r="B51" s="289"/>
      <c r="C51" s="289"/>
      <c r="D51" s="289"/>
      <c r="E51" s="289">
        <f>'Rate Class Load Model'!F2</f>
        <v>536578.23</v>
      </c>
      <c r="F51" s="289">
        <f>'Rate Class Load Model'!F3</f>
        <v>542200.42000000004</v>
      </c>
      <c r="G51" s="289">
        <f>'Rate Class Load Model'!F4</f>
        <v>520323.65999999992</v>
      </c>
      <c r="H51" s="289">
        <f>'Rate Class Load Model'!F5</f>
        <v>558840.07279999985</v>
      </c>
      <c r="I51" s="289">
        <f>'Rate Class Load Model'!F6</f>
        <v>613252.14999999991</v>
      </c>
      <c r="J51" s="289">
        <f>'Rate Class Load Model'!F7</f>
        <v>596512.74000000011</v>
      </c>
      <c r="K51" s="289">
        <f>'Rate Class Load Model'!F8</f>
        <v>596210.07999999996</v>
      </c>
      <c r="L51" s="294">
        <f>'Rate Class Load Model'!$F$9</f>
        <v>614682.83120000002</v>
      </c>
      <c r="M51" s="294">
        <f>'Rate Class Load Model'!$F$10</f>
        <v>621493.41</v>
      </c>
      <c r="N51" s="294">
        <f>'Rate Class Load Model'!$F$11</f>
        <v>610898.84</v>
      </c>
      <c r="O51" s="294">
        <f>'Rate Class Load Model'!$F$12</f>
        <v>626033.73</v>
      </c>
      <c r="P51" s="294">
        <f>'Rate Class Load Model'!$F$13</f>
        <v>679228.47722429177</v>
      </c>
      <c r="Q51" s="289">
        <f>+Q22+Q27+'Rate Class Load Model'!D14+Q37</f>
        <v>653367.62938235526</v>
      </c>
      <c r="R51" s="289">
        <f>+R22+R27+'Rate Class Load Model'!D15+R37</f>
        <v>669585.05041199038</v>
      </c>
    </row>
    <row r="52" spans="1:18" ht="15">
      <c r="A52" s="293"/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  <c r="O52" s="291"/>
      <c r="P52" s="291"/>
      <c r="Q52" s="290"/>
      <c r="R52" s="291"/>
    </row>
    <row r="53" spans="1:18" ht="15">
      <c r="A53" s="292" t="s">
        <v>87</v>
      </c>
      <c r="B53" s="291"/>
      <c r="C53" s="291"/>
      <c r="D53" s="291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</row>
    <row r="54" spans="1:18" ht="15">
      <c r="A54" s="293" t="s">
        <v>70</v>
      </c>
      <c r="B54" s="289" t="e">
        <f>B44-B49</f>
        <v>#REF!</v>
      </c>
      <c r="C54" s="289" t="e">
        <f>C44-C49</f>
        <v>#REF!</v>
      </c>
      <c r="D54" s="289" t="e">
        <f>D44-D49</f>
        <v>#REF!</v>
      </c>
      <c r="E54" s="289">
        <f>E44-E49</f>
        <v>0</v>
      </c>
      <c r="F54" s="289">
        <f t="shared" si="3" ref="F54:R56">F44-F49</f>
        <v>0</v>
      </c>
      <c r="G54" s="289">
        <f t="shared" si="3"/>
        <v>0</v>
      </c>
      <c r="H54" s="289">
        <f t="shared" si="3"/>
        <v>0</v>
      </c>
      <c r="I54" s="289">
        <f t="shared" si="3"/>
        <v>0</v>
      </c>
      <c r="J54" s="289">
        <f t="shared" si="3"/>
        <v>0</v>
      </c>
      <c r="K54" s="289">
        <f t="shared" si="3"/>
        <v>0</v>
      </c>
      <c r="L54" s="289">
        <f t="shared" si="3"/>
        <v>0</v>
      </c>
      <c r="M54" s="289">
        <f t="shared" si="3"/>
        <v>0</v>
      </c>
      <c r="N54" s="289">
        <f t="shared" si="3"/>
        <v>0</v>
      </c>
      <c r="O54" s="289">
        <f t="shared" si="3"/>
        <v>0</v>
      </c>
      <c r="P54" s="289">
        <f t="shared" si="3"/>
        <v>0</v>
      </c>
      <c r="Q54" s="289">
        <f t="shared" si="3"/>
        <v>0</v>
      </c>
      <c r="R54" s="289">
        <f t="shared" si="3"/>
        <v>0</v>
      </c>
    </row>
    <row r="55" spans="1:18" ht="15">
      <c r="A55" s="293" t="s">
        <v>59</v>
      </c>
      <c r="B55" s="289" t="e">
        <f t="shared" si="4" ref="B55:Q56">B45-B50</f>
        <v>#REF!</v>
      </c>
      <c r="C55" s="289" t="e">
        <f t="shared" si="4"/>
        <v>#REF!</v>
      </c>
      <c r="D55" s="289" t="e">
        <f t="shared" si="4"/>
        <v>#REF!</v>
      </c>
      <c r="E55" s="289">
        <f t="shared" si="4"/>
        <v>0</v>
      </c>
      <c r="F55" s="289">
        <f t="shared" si="4"/>
        <v>0</v>
      </c>
      <c r="G55" s="289">
        <f t="shared" si="4"/>
        <v>0</v>
      </c>
      <c r="H55" s="289">
        <f t="shared" si="4"/>
        <v>0</v>
      </c>
      <c r="I55" s="289">
        <f t="shared" si="4"/>
        <v>0</v>
      </c>
      <c r="J55" s="289">
        <f t="shared" si="4"/>
        <v>0</v>
      </c>
      <c r="K55" s="289">
        <f t="shared" si="4"/>
        <v>0</v>
      </c>
      <c r="L55" s="289">
        <f t="shared" si="4"/>
        <v>0</v>
      </c>
      <c r="M55" s="289">
        <f t="shared" si="3"/>
        <v>0</v>
      </c>
      <c r="N55" s="289">
        <f t="shared" si="3"/>
        <v>0</v>
      </c>
      <c r="O55" s="289">
        <f t="shared" si="3"/>
        <v>-0.19999998807907105</v>
      </c>
      <c r="P55" s="289">
        <f>P45-P50</f>
        <v>0</v>
      </c>
      <c r="Q55" s="289">
        <f t="shared" si="4"/>
        <v>0</v>
      </c>
      <c r="R55" s="289">
        <f>R45-R50</f>
        <v>0</v>
      </c>
    </row>
    <row r="56" spans="1:18" ht="15">
      <c r="A56" s="293" t="s">
        <v>69</v>
      </c>
      <c r="B56" s="289" t="e">
        <f t="shared" si="4"/>
        <v>#REF!</v>
      </c>
      <c r="C56" s="289" t="e">
        <f t="shared" si="4"/>
        <v>#REF!</v>
      </c>
      <c r="D56" s="289" t="e">
        <f t="shared" si="4"/>
        <v>#REF!</v>
      </c>
      <c r="E56" s="289">
        <f t="shared" si="4"/>
        <v>0</v>
      </c>
      <c r="F56" s="289">
        <f t="shared" si="4"/>
        <v>0</v>
      </c>
      <c r="G56" s="289">
        <f t="shared" si="4"/>
        <v>0</v>
      </c>
      <c r="H56" s="289">
        <f t="shared" si="4"/>
        <v>0</v>
      </c>
      <c r="I56" s="289">
        <f t="shared" si="4"/>
        <v>0</v>
      </c>
      <c r="J56" s="289">
        <f t="shared" si="4"/>
        <v>0</v>
      </c>
      <c r="K56" s="289">
        <f t="shared" si="4"/>
        <v>0</v>
      </c>
      <c r="L56" s="289">
        <f t="shared" si="4"/>
        <v>0</v>
      </c>
      <c r="M56" s="289">
        <f t="shared" si="3"/>
        <v>0</v>
      </c>
      <c r="N56" s="289">
        <f t="shared" si="3"/>
        <v>0</v>
      </c>
      <c r="O56" s="289">
        <f t="shared" si="3"/>
        <v>0</v>
      </c>
      <c r="P56" s="289">
        <f t="shared" si="3"/>
        <v>0</v>
      </c>
      <c r="Q56" s="289">
        <f t="shared" si="4"/>
        <v>0</v>
      </c>
      <c r="R56" s="289">
        <f t="shared" si="5" ref="R56">R46-R51</f>
        <v>0</v>
      </c>
    </row>
    <row r="61" ht="12.75">
      <c r="R61" s="6"/>
    </row>
  </sheetData>
  <mergeCells count="1">
    <mergeCell ref="A1:R1"/>
  </mergeCells>
  <pageMargins left="0.38" right="0.75" top="0.73" bottom="0.74" header="0.5" footer="0.5"/>
  <pageSetup horizontalDpi="300" verticalDpi="300" orientation="landscape" scale="58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1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12.8571428571429" customWidth="1"/>
    <col min="2" max="2" width="17.2857142857143" customWidth="1"/>
    <col min="3" max="3" width="16.4285714285714" bestFit="1" customWidth="1"/>
    <col min="4" max="4" width="12.2857142857143" bestFit="1" customWidth="1"/>
    <col min="5" max="5" width="16.2857142857143" customWidth="1"/>
    <col min="6" max="6" width="15" bestFit="1" customWidth="1"/>
    <col min="7" max="7" width="11.1428571428571" bestFit="1" customWidth="1"/>
    <col min="8" max="8" width="11.2857142857143" bestFit="1" customWidth="1"/>
  </cols>
  <sheetData>
    <row r="1" spans="1:6" ht="15.75">
      <c r="A1" s="327" t="s">
        <v>168</v>
      </c>
      <c r="B1" s="327"/>
      <c r="C1" s="327"/>
      <c r="D1" s="327"/>
      <c r="E1" s="327"/>
      <c r="F1" s="327"/>
    </row>
    <row r="3" spans="1:6" ht="38.25">
      <c r="A3" s="197" t="s">
        <v>142</v>
      </c>
      <c r="B3" s="197" t="s">
        <v>142</v>
      </c>
      <c r="C3" s="197" t="s">
        <v>136</v>
      </c>
      <c r="D3" s="197" t="s">
        <v>167</v>
      </c>
      <c r="E3" s="197" t="s">
        <v>143</v>
      </c>
      <c r="F3" s="197" t="s">
        <v>163</v>
      </c>
    </row>
    <row r="4" spans="1:6" ht="12.75">
      <c r="A4" s="93">
        <v>2003</v>
      </c>
      <c r="B4" s="193">
        <f>+'Power Purchases'!B150</f>
        <v>462324178</v>
      </c>
      <c r="C4" s="198">
        <f>+'Power Purchases'!C150</f>
        <v>0</v>
      </c>
      <c r="D4" s="194">
        <f>+'Power Purchases'!E150</f>
        <v>0</v>
      </c>
      <c r="E4" s="195">
        <f>+B4+C4+D4</f>
        <v>462324178</v>
      </c>
      <c r="F4" s="192"/>
    </row>
    <row r="5" spans="1:8" ht="12.75">
      <c r="A5" s="93">
        <v>2004</v>
      </c>
      <c r="B5" s="193">
        <f>+'Power Purchases'!B151</f>
        <v>468337202</v>
      </c>
      <c r="C5" s="198">
        <f>+'Power Purchases'!C151</f>
        <v>0</v>
      </c>
      <c r="D5" s="194">
        <f>+'Power Purchases'!E151</f>
        <v>0</v>
      </c>
      <c r="E5" s="195">
        <f t="shared" si="0" ref="E5:E15">+B5+C5+D5</f>
        <v>468337202</v>
      </c>
      <c r="F5" s="196">
        <f>+E5/E4</f>
        <v>1.0130060773070795</v>
      </c>
      <c r="H5" s="154"/>
    </row>
    <row r="6" spans="1:8" ht="12.75">
      <c r="A6" s="93">
        <v>2005</v>
      </c>
      <c r="B6" s="193">
        <f>+'Power Purchases'!B152</f>
        <v>495175531</v>
      </c>
      <c r="C6" s="198">
        <f>+'Power Purchases'!C152</f>
        <v>0</v>
      </c>
      <c r="D6" s="194">
        <f>+'Power Purchases'!E152</f>
        <v>0</v>
      </c>
      <c r="E6" s="195">
        <f t="shared" si="0"/>
        <v>495175531</v>
      </c>
      <c r="F6" s="196">
        <f t="shared" si="1" ref="F6:F15">+E6/E5</f>
        <v>1.0573055671968592</v>
      </c>
      <c r="H6" s="154"/>
    </row>
    <row r="7" spans="1:8" ht="12.75">
      <c r="A7" s="93">
        <v>2006</v>
      </c>
      <c r="B7" s="193">
        <f>+'Power Purchases'!B153</f>
        <v>493166269</v>
      </c>
      <c r="C7" s="198">
        <f>+'Power Purchases'!C153</f>
        <v>0</v>
      </c>
      <c r="D7" s="194">
        <f>+'Power Purchases'!E153</f>
        <v>1001067.1280426557</v>
      </c>
      <c r="E7" s="195">
        <f t="shared" si="0"/>
        <v>494167336.12804264</v>
      </c>
      <c r="F7" s="196">
        <f t="shared" si="1"/>
        <v>0.9979639646774926</v>
      </c>
      <c r="H7" s="154"/>
    </row>
    <row r="8" spans="1:8" ht="12.75">
      <c r="A8" s="93">
        <v>2007</v>
      </c>
      <c r="B8" s="193">
        <f>+'Power Purchases'!B154</f>
        <v>512386673</v>
      </c>
      <c r="C8" s="198">
        <f>+'Power Purchases'!C154</f>
        <v>0</v>
      </c>
      <c r="D8" s="194">
        <f>+'Power Purchases'!E154</f>
        <v>2855984.5354400463</v>
      </c>
      <c r="E8" s="195">
        <f t="shared" si="0"/>
        <v>515242657.53544003</v>
      </c>
      <c r="F8" s="196">
        <f t="shared" si="1"/>
        <v>1.0426481474322629</v>
      </c>
      <c r="H8" s="154"/>
    </row>
    <row r="9" spans="1:8" ht="12.75">
      <c r="A9" s="93">
        <v>2008</v>
      </c>
      <c r="B9" s="193">
        <f>+'Power Purchases'!B155</f>
        <v>507787443</v>
      </c>
      <c r="C9" s="198">
        <f>+'Power Purchases'!C155</f>
        <v>0</v>
      </c>
      <c r="D9" s="194">
        <f>+'Power Purchases'!E155</f>
        <v>4101425.3436478577</v>
      </c>
      <c r="E9" s="195">
        <f t="shared" si="0"/>
        <v>511888868.34364784</v>
      </c>
      <c r="F9" s="196">
        <f t="shared" si="1"/>
        <v>0.99349085495398548</v>
      </c>
      <c r="H9" s="154"/>
    </row>
    <row r="10" spans="1:8" ht="12.75">
      <c r="A10" s="93">
        <v>2009</v>
      </c>
      <c r="B10" s="193">
        <f>+'Power Purchases'!B156</f>
        <v>499800409</v>
      </c>
      <c r="C10" s="193">
        <f>+'Power Purchases'!C156</f>
        <v>430142.24112391949</v>
      </c>
      <c r="D10" s="194">
        <f>+'Power Purchases'!E156</f>
        <v>5967071.1864526086</v>
      </c>
      <c r="E10" s="195">
        <f t="shared" si="0"/>
        <v>506197622.42757654</v>
      </c>
      <c r="F10" s="196">
        <f t="shared" si="1"/>
        <v>0.98888187208585565</v>
      </c>
      <c r="H10" s="154"/>
    </row>
    <row r="11" spans="1:8" ht="12.75">
      <c r="A11" s="93">
        <v>2010</v>
      </c>
      <c r="B11" s="193">
        <f>+'Power Purchases'!B157</f>
        <v>520540576.92307693</v>
      </c>
      <c r="C11" s="193">
        <f>+'Power Purchases'!C157</f>
        <v>5114574.1474316586</v>
      </c>
      <c r="D11" s="194">
        <f>+'Power Purchases'!E157</f>
        <v>7647847.2037747763</v>
      </c>
      <c r="E11" s="195">
        <f t="shared" si="0"/>
        <v>533302998.27428335</v>
      </c>
      <c r="F11" s="196">
        <f t="shared" si="1"/>
        <v>1.0535470232292228</v>
      </c>
      <c r="H11" s="154"/>
    </row>
    <row r="12" spans="1:8" ht="12.75">
      <c r="A12" s="93">
        <v>2011</v>
      </c>
      <c r="B12" s="193">
        <f>+'Power Purchases'!B158</f>
        <v>519240438.46153849</v>
      </c>
      <c r="C12" s="193">
        <f>+'Power Purchases'!C158</f>
        <v>5048390.9927589791</v>
      </c>
      <c r="D12" s="194">
        <f>+'Power Purchases'!E158</f>
        <v>8765537.9494381472</v>
      </c>
      <c r="E12" s="195">
        <f t="shared" si="0"/>
        <v>533054367.40373564</v>
      </c>
      <c r="F12" s="196">
        <f t="shared" si="1"/>
        <v>0.99953379060055492</v>
      </c>
      <c r="H12" s="154"/>
    </row>
    <row r="13" spans="1:8" ht="12.75">
      <c r="A13" s="93">
        <v>2012</v>
      </c>
      <c r="B13" s="193">
        <f>+'Power Purchases'!B159</f>
        <v>512071040.55944055</v>
      </c>
      <c r="C13" s="193">
        <f>+'Power Purchases'!C159</f>
        <v>4755994.9603173342</v>
      </c>
      <c r="D13" s="194">
        <f>+'Power Purchases'!E159</f>
        <v>10589467.258256143</v>
      </c>
      <c r="E13" s="195">
        <f t="shared" si="0"/>
        <v>527416502.778014</v>
      </c>
      <c r="F13" s="196">
        <f t="shared" si="1"/>
        <v>0.98942347165603184</v>
      </c>
      <c r="H13" s="154"/>
    </row>
    <row r="14" spans="1:8" ht="12.75">
      <c r="A14" s="93">
        <v>2013</v>
      </c>
      <c r="B14" s="193">
        <f>+'Power Purchases'!B160</f>
        <v>518517966.66666669</v>
      </c>
      <c r="C14" s="193">
        <f>+'Power Purchases'!C160</f>
        <v>4815761.1068183025</v>
      </c>
      <c r="D14" s="194">
        <f>+'Power Purchases'!E160</f>
        <v>12803747.628175177</v>
      </c>
      <c r="E14" s="195">
        <f t="shared" si="0"/>
        <v>536137475.4016602</v>
      </c>
      <c r="F14" s="196">
        <f t="shared" si="1"/>
        <v>1.016535266867288</v>
      </c>
      <c r="H14" s="154"/>
    </row>
    <row r="15" spans="1:8" ht="12.75">
      <c r="A15" s="93">
        <v>2014</v>
      </c>
      <c r="B15" s="193">
        <f>+'Power Purchases'!B161</f>
        <v>529499716.28205132</v>
      </c>
      <c r="C15" s="193">
        <f>+'Power Purchases'!C161</f>
        <v>4704756.7314025639</v>
      </c>
      <c r="D15" s="194">
        <f>+'Power Purchases'!E161</f>
        <v>15628148.686959021</v>
      </c>
      <c r="E15" s="195">
        <f t="shared" si="0"/>
        <v>549832621.70041287</v>
      </c>
      <c r="F15" s="196">
        <f t="shared" si="1"/>
        <v>1.0255440944293115</v>
      </c>
      <c r="H15" s="154"/>
    </row>
    <row r="16" spans="1:8" ht="12.75">
      <c r="A16" s="93" t="s">
        <v>164</v>
      </c>
      <c r="B16" s="193"/>
      <c r="C16" s="193"/>
      <c r="D16" s="194"/>
      <c r="E16" s="195">
        <f>+'Purchased Power Model '!O192</f>
        <v>557091074.23105323</v>
      </c>
      <c r="F16" s="196">
        <f>+E16/E15</f>
        <v>1.0132012038649014</v>
      </c>
      <c r="H16" s="154"/>
    </row>
    <row r="17" spans="1:8" ht="12.75">
      <c r="A17" s="93" t="s">
        <v>165</v>
      </c>
      <c r="B17" s="193"/>
      <c r="C17" s="193"/>
      <c r="D17" s="194"/>
      <c r="E17" s="195">
        <f>+'Purchased Power Model '!O193</f>
        <v>565451057.31606245</v>
      </c>
      <c r="F17" s="196">
        <f>+E17/E16</f>
        <v>1.0150064926036526</v>
      </c>
      <c r="H17" s="154"/>
    </row>
    <row r="19" ht="12.75">
      <c r="A19" t="s">
        <v>166</v>
      </c>
    </row>
    <row r="20" ht="12.75">
      <c r="E20" s="154"/>
    </row>
    <row r="21" spans="1:6" ht="15.75">
      <c r="A21" s="327" t="s">
        <v>173</v>
      </c>
      <c r="B21" s="327"/>
      <c r="C21" s="327"/>
      <c r="D21" s="327"/>
      <c r="E21" s="327"/>
      <c r="F21" s="199"/>
    </row>
    <row r="22" spans="1:6" ht="12.75">
      <c r="A22" s="89"/>
      <c r="B22" s="89"/>
      <c r="C22" s="89"/>
      <c r="D22" s="89"/>
      <c r="E22" s="89"/>
      <c r="F22" s="89"/>
    </row>
    <row r="23" spans="1:6" ht="38.25">
      <c r="A23" s="205" t="s">
        <v>115</v>
      </c>
      <c r="B23" s="197" t="s">
        <v>174</v>
      </c>
      <c r="C23" s="206" t="s">
        <v>169</v>
      </c>
      <c r="D23" s="197" t="s">
        <v>136</v>
      </c>
      <c r="E23" s="197" t="s">
        <v>179</v>
      </c>
      <c r="F23" s="205" t="s">
        <v>181</v>
      </c>
    </row>
    <row r="24" spans="1:6" ht="12.75">
      <c r="A24" s="202">
        <v>2003</v>
      </c>
      <c r="B24" s="203">
        <f>+'Rate Class Energy Model'!G5</f>
        <v>432666845.60000199</v>
      </c>
      <c r="C24" s="203"/>
      <c r="D24" s="192"/>
      <c r="E24" s="192"/>
      <c r="F24" s="204">
        <f t="shared" si="2" ref="F24:F29">+B24-C24</f>
        <v>432666845.60000199</v>
      </c>
    </row>
    <row r="25" spans="1:7" ht="12.75">
      <c r="A25" s="202">
        <v>2004</v>
      </c>
      <c r="B25" s="203">
        <f>+'Rate Class Energy Model'!G6</f>
        <v>439067347.78000152</v>
      </c>
      <c r="C25" s="203"/>
      <c r="D25" s="192"/>
      <c r="E25" s="192"/>
      <c r="F25" s="204">
        <f t="shared" si="2"/>
        <v>439067347.78000152</v>
      </c>
      <c r="G25" s="171"/>
    </row>
    <row r="26" spans="1:7" ht="12.75">
      <c r="A26" s="202">
        <v>2005</v>
      </c>
      <c r="B26" s="203">
        <f>+'Rate Class Energy Model'!G7</f>
        <v>463814907.0500015</v>
      </c>
      <c r="C26" s="203"/>
      <c r="D26" s="192"/>
      <c r="E26" s="192"/>
      <c r="F26" s="204">
        <f t="shared" si="2"/>
        <v>463814907.0500015</v>
      </c>
      <c r="G26" s="171"/>
    </row>
    <row r="27" spans="1:8" ht="12.75">
      <c r="A27" s="202">
        <v>2006</v>
      </c>
      <c r="B27" s="203">
        <f>+'Rate Class Energy Model'!G8</f>
        <v>464739829.6385175</v>
      </c>
      <c r="C27" s="203">
        <f>+'CDM By Program'!G26</f>
        <v>1882903.748515662</v>
      </c>
      <c r="D27" s="192"/>
      <c r="E27" s="192"/>
      <c r="F27" s="204">
        <f t="shared" si="2"/>
        <v>462856925.89000183</v>
      </c>
      <c r="G27" s="171"/>
      <c r="H27" s="154"/>
    </row>
    <row r="28" spans="1:8" ht="12.75">
      <c r="A28" s="202">
        <v>2007</v>
      </c>
      <c r="B28" s="203">
        <f>+'Rate Class Energy Model'!G9</f>
        <v>486354858.93703115</v>
      </c>
      <c r="C28" s="203">
        <f>+'CDM By Program'!G27</f>
        <v>3508783.2670284789</v>
      </c>
      <c r="D28" s="192"/>
      <c r="E28" s="192"/>
      <c r="F28" s="204">
        <f t="shared" si="2"/>
        <v>482846075.6700027</v>
      </c>
      <c r="G28" s="171"/>
      <c r="H28" s="154"/>
    </row>
    <row r="29" spans="1:8" ht="12.75">
      <c r="A29" s="202">
        <v>2008</v>
      </c>
      <c r="B29" s="203">
        <f>+'Rate Class Energy Model'!G10</f>
        <v>484450482.16240931</v>
      </c>
      <c r="C29" s="203">
        <f>+'CDM By Program'!G28</f>
        <v>4257692.0624073157</v>
      </c>
      <c r="D29" s="203"/>
      <c r="E29" s="203"/>
      <c r="F29" s="204">
        <f t="shared" si="2"/>
        <v>480192790.10000199</v>
      </c>
      <c r="G29" s="171"/>
      <c r="H29" s="154"/>
    </row>
    <row r="30" spans="1:8" ht="12.75">
      <c r="A30" s="202">
        <v>2009</v>
      </c>
      <c r="B30" s="203">
        <f>+'Rate Class Energy Model'!G11</f>
        <v>479731715.26329255</v>
      </c>
      <c r="C30" s="203">
        <f>+'CDM By Program'!G29</f>
        <v>7052067.4532891726</v>
      </c>
      <c r="D30" s="203">
        <f>+WMP!B65</f>
        <v>407637.63</v>
      </c>
      <c r="E30" s="203"/>
      <c r="F30" s="204">
        <f>+B30-C30-D30</f>
        <v>472272010.1800034</v>
      </c>
      <c r="G30" s="171"/>
      <c r="H30" s="154"/>
    </row>
    <row r="31" spans="1:8" ht="12.75">
      <c r="A31" s="202">
        <v>2010</v>
      </c>
      <c r="B31" s="203">
        <f>+'Rate Class Energy Model'!G12</f>
        <v>503997902.79419905</v>
      </c>
      <c r="C31" s="203">
        <f>+'CDM By Program'!G30</f>
        <v>7403008.653395812</v>
      </c>
      <c r="D31" s="203">
        <f>+WMP!B66</f>
        <v>4833489.51</v>
      </c>
      <c r="E31" s="203"/>
      <c r="F31" s="204">
        <f t="shared" si="3" ref="F31:F35">+B31-C31-D31</f>
        <v>491761404.63080323</v>
      </c>
      <c r="G31" s="171"/>
      <c r="H31" s="154"/>
    </row>
    <row r="32" spans="1:8" ht="12.75">
      <c r="A32" s="202">
        <v>2011</v>
      </c>
      <c r="B32" s="203">
        <f>+'Rate Class Energy Model'!G13</f>
        <v>502886983.03080952</v>
      </c>
      <c r="C32" s="203">
        <f>+'CDM By Program'!G31</f>
        <v>8751003.110809518</v>
      </c>
      <c r="D32" s="203"/>
      <c r="E32" s="203"/>
      <c r="F32" s="204">
        <f t="shared" si="3"/>
        <v>494135979.92000002</v>
      </c>
      <c r="G32" s="171"/>
      <c r="H32" s="154"/>
    </row>
    <row r="33" spans="1:8" ht="12.75">
      <c r="A33" s="202">
        <v>2012</v>
      </c>
      <c r="B33" s="203">
        <f>+'Rate Class Energy Model'!G14</f>
        <v>503784317.31962299</v>
      </c>
      <c r="C33" s="203">
        <f>+'CDM By Program'!G32</f>
        <v>10705617.329620997</v>
      </c>
      <c r="D33" s="203"/>
      <c r="E33" s="203"/>
      <c r="F33" s="204">
        <f t="shared" si="3"/>
        <v>493078699.99000198</v>
      </c>
      <c r="G33" s="171"/>
      <c r="H33" s="154"/>
    </row>
    <row r="34" spans="1:8" ht="12.75">
      <c r="A34" s="202">
        <v>2013</v>
      </c>
      <c r="B34" s="203">
        <f>+'Rate Class Energy Model'!G15</f>
        <v>512030353.4829101</v>
      </c>
      <c r="C34" s="203">
        <f>+'CDM By Program'!G33</f>
        <v>11904379.073405195</v>
      </c>
      <c r="D34" s="203"/>
      <c r="E34" s="203"/>
      <c r="F34" s="204">
        <f t="shared" si="3"/>
        <v>500125974.40950489</v>
      </c>
      <c r="G34">
        <f t="shared" si="4" ref="G34:G36">+F34/F33</f>
        <v>1.0142923927146839</v>
      </c>
      <c r="H34" s="154"/>
    </row>
    <row r="35" spans="1:8" ht="12.75">
      <c r="A35" s="202">
        <v>2014</v>
      </c>
      <c r="B35" s="203">
        <f>+'Rate Class Energy Model'!G16</f>
        <v>522556553.86407334</v>
      </c>
      <c r="C35" s="203">
        <f>+'CDM By Program'!G34</f>
        <v>16273624.520478303</v>
      </c>
      <c r="D35" s="203"/>
      <c r="E35" s="203"/>
      <c r="F35" s="204">
        <f t="shared" si="3"/>
        <v>506282929.34359503</v>
      </c>
      <c r="G35">
        <f t="shared" si="4"/>
        <v>1.0123108081745997</v>
      </c>
      <c r="H35" s="154"/>
    </row>
    <row r="36" spans="1:8" ht="12.75">
      <c r="A36" s="93">
        <v>2015</v>
      </c>
      <c r="B36" s="194">
        <f>+'Rate Class Energy Model'!G17</f>
        <v>526316113.50996381</v>
      </c>
      <c r="C36" s="194">
        <f>+'CDM By Program'!K8</f>
        <v>16833339.541691858</v>
      </c>
      <c r="D36" s="203"/>
      <c r="E36" s="203"/>
      <c r="F36" s="204">
        <f>+B36-C36-D36-E36</f>
        <v>509482773.96827197</v>
      </c>
      <c r="G36">
        <f t="shared" si="4"/>
        <v>1.0063202696342648</v>
      </c>
      <c r="H36" s="96"/>
    </row>
    <row r="37" spans="1:9" ht="12.75">
      <c r="A37" s="93">
        <v>2016</v>
      </c>
      <c r="B37" s="194">
        <f>+'Rate Class Energy Model'!G18</f>
        <v>534214272.37453431</v>
      </c>
      <c r="C37" s="194">
        <f>+'CDM By Program'!L8</f>
        <v>18010819.993993919</v>
      </c>
      <c r="D37" s="203"/>
      <c r="E37" s="203"/>
      <c r="F37" s="204">
        <f>+B37-C37-D37-E37</f>
        <v>516203452.38054037</v>
      </c>
      <c r="G37">
        <f>+F37/F36</f>
        <v>1.0131911788889783</v>
      </c>
      <c r="H37" s="96"/>
      <c r="I37" s="154"/>
    </row>
    <row r="38" ht="12.75">
      <c r="A38" s="1"/>
    </row>
    <row r="40" spans="1:6" ht="12.75">
      <c r="A40" t="s">
        <v>180</v>
      </c>
      <c r="F40" s="97"/>
    </row>
    <row r="41" ht="12.75">
      <c r="E41" s="154"/>
    </row>
  </sheetData>
  <mergeCells count="2">
    <mergeCell ref="A1:F1"/>
    <mergeCell ref="A21:E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63"/>
  <sheetViews>
    <sheetView workbookViewId="0" topLeftCell="A103">
      <selection pane="topLeft" activeCell="A1" sqref="A1"/>
    </sheetView>
  </sheetViews>
  <sheetFormatPr defaultColWidth="9.14285714285714" defaultRowHeight="12.75"/>
  <cols>
    <col min="2" max="2" width="14" bestFit="1" customWidth="1"/>
    <col min="3" max="4" width="12.8571428571429" bestFit="1" customWidth="1"/>
    <col min="5" max="5" width="11.2857142857143" bestFit="1" customWidth="1"/>
    <col min="6" max="6" width="8.71428571428571" customWidth="1"/>
    <col min="7" max="7" width="12.5714285714286" bestFit="1" customWidth="1"/>
    <col min="8" max="8" width="16.2857142857143" bestFit="1" customWidth="1"/>
    <col min="9" max="9" width="14.1428571428571" customWidth="1"/>
    <col min="11" max="11" width="10.8571428571429" bestFit="1" customWidth="1"/>
    <col min="12" max="12" width="13.5714285714286" bestFit="1" customWidth="1"/>
    <col min="13" max="13" width="10.2857142857143" bestFit="1" customWidth="1"/>
    <col min="14" max="14" width="11.2857142857143" bestFit="1" customWidth="1"/>
  </cols>
  <sheetData>
    <row r="1" spans="5:8" ht="12.75">
      <c r="E1" s="22"/>
      <c r="F1" s="22"/>
      <c r="G1" s="22"/>
      <c r="H1" s="22"/>
    </row>
    <row r="2" spans="1:11" ht="38.25">
      <c r="A2" s="163" t="s">
        <v>95</v>
      </c>
      <c r="B2" s="164" t="s">
        <v>0</v>
      </c>
      <c r="C2" s="165" t="s">
        <v>136</v>
      </c>
      <c r="D2" s="165"/>
      <c r="E2" s="165" t="s">
        <v>137</v>
      </c>
      <c r="F2" s="165"/>
      <c r="G2" s="165"/>
      <c r="H2" s="165"/>
      <c r="I2" s="165" t="s">
        <v>138</v>
      </c>
      <c r="J2" s="152"/>
      <c r="K2" s="95" t="s">
        <v>1</v>
      </c>
    </row>
    <row r="3" spans="1:9" ht="12.75">
      <c r="A3" s="90">
        <v>37622</v>
      </c>
      <c r="B3" s="83">
        <v>42639100</v>
      </c>
      <c r="I3" s="154">
        <f>SUM(B3:H3)</f>
        <v>42639100</v>
      </c>
    </row>
    <row r="4" spans="1:9" ht="12.75">
      <c r="A4" s="90">
        <v>37653</v>
      </c>
      <c r="B4" s="83">
        <v>38371356</v>
      </c>
      <c r="I4" s="154">
        <f t="shared" si="0" ref="I4:I67">SUM(B4:H4)</f>
        <v>38371356</v>
      </c>
    </row>
    <row r="5" spans="1:9" ht="12.75">
      <c r="A5" s="90">
        <v>37681</v>
      </c>
      <c r="B5" s="83">
        <v>39445493</v>
      </c>
      <c r="I5" s="154">
        <f t="shared" si="0"/>
        <v>39445493</v>
      </c>
    </row>
    <row r="6" spans="1:9" ht="12.75">
      <c r="A6" s="90">
        <v>37712</v>
      </c>
      <c r="B6" s="83">
        <v>36194811</v>
      </c>
      <c r="I6" s="154">
        <f t="shared" si="0"/>
        <v>36194811</v>
      </c>
    </row>
    <row r="7" spans="1:9" ht="12.75">
      <c r="A7" s="90">
        <v>37742</v>
      </c>
      <c r="B7" s="83">
        <v>35263889</v>
      </c>
      <c r="I7" s="154">
        <f t="shared" si="0"/>
        <v>35263889</v>
      </c>
    </row>
    <row r="8" spans="1:9" ht="12.75">
      <c r="A8" s="90">
        <v>37773</v>
      </c>
      <c r="B8" s="83">
        <v>37162377</v>
      </c>
      <c r="I8" s="154">
        <f t="shared" si="0"/>
        <v>37162377</v>
      </c>
    </row>
    <row r="9" spans="1:9" ht="12.75">
      <c r="A9" s="90">
        <v>37803</v>
      </c>
      <c r="B9" s="83">
        <v>41364810</v>
      </c>
      <c r="I9" s="154">
        <f t="shared" si="0"/>
        <v>41364810</v>
      </c>
    </row>
    <row r="10" spans="1:9" ht="12.75">
      <c r="A10" s="90">
        <v>37834</v>
      </c>
      <c r="B10" s="83">
        <v>39569947</v>
      </c>
      <c r="I10" s="154">
        <f t="shared" si="0"/>
        <v>39569947</v>
      </c>
    </row>
    <row r="11" spans="1:9" ht="12.75">
      <c r="A11" s="90">
        <v>37865</v>
      </c>
      <c r="B11" s="83">
        <v>35904689</v>
      </c>
      <c r="I11" s="154">
        <f t="shared" si="0"/>
        <v>35904689</v>
      </c>
    </row>
    <row r="12" spans="1:9" ht="12.75">
      <c r="A12" s="90">
        <v>37895</v>
      </c>
      <c r="B12" s="83">
        <v>37187656</v>
      </c>
      <c r="I12" s="154">
        <f t="shared" si="0"/>
        <v>37187656</v>
      </c>
    </row>
    <row r="13" spans="1:9" ht="12.75">
      <c r="A13" s="90">
        <v>37926</v>
      </c>
      <c r="B13" s="83">
        <v>37804408</v>
      </c>
      <c r="I13" s="154">
        <f t="shared" si="0"/>
        <v>37804408</v>
      </c>
    </row>
    <row r="14" spans="1:9" ht="12.75">
      <c r="A14" s="90">
        <v>37956</v>
      </c>
      <c r="B14" s="83">
        <v>41415642</v>
      </c>
      <c r="I14" s="154">
        <f t="shared" si="0"/>
        <v>41415642</v>
      </c>
    </row>
    <row r="15" spans="1:9" ht="12.75">
      <c r="A15" s="90">
        <v>37987</v>
      </c>
      <c r="B15" s="83">
        <v>45022818</v>
      </c>
      <c r="I15" s="154">
        <f t="shared" si="0"/>
        <v>45022818</v>
      </c>
    </row>
    <row r="16" spans="1:9" ht="12.75">
      <c r="A16" s="90">
        <v>38018</v>
      </c>
      <c r="B16" s="83">
        <v>39507480</v>
      </c>
      <c r="I16" s="154">
        <f t="shared" si="0"/>
        <v>39507480</v>
      </c>
    </row>
    <row r="17" spans="1:9" ht="12.75">
      <c r="A17" s="90">
        <v>38047</v>
      </c>
      <c r="B17" s="83">
        <v>39890301</v>
      </c>
      <c r="I17" s="154">
        <f t="shared" si="0"/>
        <v>39890301</v>
      </c>
    </row>
    <row r="18" spans="1:9" ht="12.75">
      <c r="A18" s="90">
        <v>38078</v>
      </c>
      <c r="B18" s="83">
        <v>35800315</v>
      </c>
      <c r="I18" s="154">
        <f t="shared" si="0"/>
        <v>35800315</v>
      </c>
    </row>
    <row r="19" spans="1:9" ht="12.75">
      <c r="A19" s="90">
        <v>38108</v>
      </c>
      <c r="B19" s="83">
        <v>35700884</v>
      </c>
      <c r="I19" s="154">
        <f t="shared" si="0"/>
        <v>35700884</v>
      </c>
    </row>
    <row r="20" spans="1:9" ht="12.75">
      <c r="A20" s="90">
        <v>38139</v>
      </c>
      <c r="B20" s="83">
        <v>37251140</v>
      </c>
      <c r="I20" s="154">
        <f t="shared" si="0"/>
        <v>37251140</v>
      </c>
    </row>
    <row r="21" spans="1:9" ht="12.75">
      <c r="A21" s="90">
        <v>38169</v>
      </c>
      <c r="B21" s="83">
        <v>39626471</v>
      </c>
      <c r="I21" s="154">
        <f t="shared" si="0"/>
        <v>39626471</v>
      </c>
    </row>
    <row r="22" spans="1:9" ht="12.75">
      <c r="A22" s="90">
        <v>38200</v>
      </c>
      <c r="B22" s="83">
        <v>39062020</v>
      </c>
      <c r="I22" s="154">
        <f t="shared" si="0"/>
        <v>39062020</v>
      </c>
    </row>
    <row r="23" spans="1:9" ht="12.75">
      <c r="A23" s="90">
        <v>38231</v>
      </c>
      <c r="B23" s="83">
        <v>37869958</v>
      </c>
      <c r="I23" s="154">
        <f t="shared" si="0"/>
        <v>37869958</v>
      </c>
    </row>
    <row r="24" spans="1:9" ht="12.75">
      <c r="A24" s="90">
        <v>38261</v>
      </c>
      <c r="B24" s="83">
        <v>37190707</v>
      </c>
      <c r="I24" s="154">
        <f t="shared" si="0"/>
        <v>37190707</v>
      </c>
    </row>
    <row r="25" spans="1:9" ht="12.75">
      <c r="A25" s="90">
        <v>38292</v>
      </c>
      <c r="B25" s="83">
        <v>38683114</v>
      </c>
      <c r="I25" s="154">
        <f t="shared" si="0"/>
        <v>38683114</v>
      </c>
    </row>
    <row r="26" spans="1:9" ht="12.75">
      <c r="A26" s="90">
        <v>38322</v>
      </c>
      <c r="B26" s="83">
        <v>42731994</v>
      </c>
      <c r="I26" s="154">
        <f t="shared" si="0"/>
        <v>42731994</v>
      </c>
    </row>
    <row r="27" spans="1:9" ht="12.75">
      <c r="A27" s="90">
        <v>38353</v>
      </c>
      <c r="B27" s="83">
        <v>44769310</v>
      </c>
      <c r="I27" s="154">
        <f t="shared" si="0"/>
        <v>44769310</v>
      </c>
    </row>
    <row r="28" spans="1:9" ht="12.75">
      <c r="A28" s="90">
        <v>38384</v>
      </c>
      <c r="B28" s="83">
        <v>38587380</v>
      </c>
      <c r="I28" s="154">
        <f t="shared" si="0"/>
        <v>38587380</v>
      </c>
    </row>
    <row r="29" spans="1:9" ht="12.75">
      <c r="A29" s="90">
        <v>38412</v>
      </c>
      <c r="B29" s="83">
        <v>40808220</v>
      </c>
      <c r="I29" s="154">
        <f t="shared" si="0"/>
        <v>40808220</v>
      </c>
    </row>
    <row r="30" spans="1:9" ht="12.75">
      <c r="A30" s="90">
        <v>38443</v>
      </c>
      <c r="B30" s="83">
        <v>36419080</v>
      </c>
      <c r="I30" s="154">
        <f t="shared" si="0"/>
        <v>36419080</v>
      </c>
    </row>
    <row r="31" spans="1:9" ht="12.75">
      <c r="A31" s="90">
        <v>38473</v>
      </c>
      <c r="B31" s="83">
        <v>36941580</v>
      </c>
      <c r="I31" s="154">
        <f t="shared" si="0"/>
        <v>36941580</v>
      </c>
    </row>
    <row r="32" spans="1:9" ht="12.75">
      <c r="A32" s="90">
        <v>38504</v>
      </c>
      <c r="B32" s="83">
        <v>44668720</v>
      </c>
      <c r="I32" s="154">
        <f t="shared" si="0"/>
        <v>44668720</v>
      </c>
    </row>
    <row r="33" spans="1:9" ht="12.75">
      <c r="A33" s="90">
        <v>38534</v>
      </c>
      <c r="B33" s="83">
        <v>46174960</v>
      </c>
      <c r="I33" s="154">
        <f t="shared" si="0"/>
        <v>46174960</v>
      </c>
    </row>
    <row r="34" spans="1:9" ht="12.75">
      <c r="A34" s="90">
        <v>38565</v>
      </c>
      <c r="B34" s="83">
        <v>44768680</v>
      </c>
      <c r="I34" s="154">
        <f t="shared" si="0"/>
        <v>44768680</v>
      </c>
    </row>
    <row r="35" spans="1:9" ht="12.75">
      <c r="A35" s="90">
        <v>38596</v>
      </c>
      <c r="B35" s="83">
        <v>39535820</v>
      </c>
      <c r="I35" s="154">
        <f t="shared" si="0"/>
        <v>39535820</v>
      </c>
    </row>
    <row r="36" spans="1:9" ht="12.75">
      <c r="A36" s="90">
        <v>38626</v>
      </c>
      <c r="B36" s="83">
        <v>38746230</v>
      </c>
      <c r="I36" s="154">
        <f t="shared" si="0"/>
        <v>38746230</v>
      </c>
    </row>
    <row r="37" spans="1:9" ht="12.75">
      <c r="A37" s="90">
        <v>38657</v>
      </c>
      <c r="B37" s="83">
        <v>39948612</v>
      </c>
      <c r="I37" s="154">
        <f t="shared" si="0"/>
        <v>39948612</v>
      </c>
    </row>
    <row r="38" spans="1:9" ht="12.75">
      <c r="A38" s="90">
        <v>38687</v>
      </c>
      <c r="B38" s="83">
        <v>43806939</v>
      </c>
      <c r="I38" s="154">
        <f t="shared" si="0"/>
        <v>43806939</v>
      </c>
    </row>
    <row r="39" spans="1:11" ht="12.75">
      <c r="A39" s="90">
        <v>38718</v>
      </c>
      <c r="B39" s="85">
        <v>42694686</v>
      </c>
      <c r="E39" s="97">
        <f>+CDM!C15*K39</f>
        <v>6951.8550558517754</v>
      </c>
      <c r="I39" s="154">
        <f t="shared" si="0"/>
        <v>42701637.855055854</v>
      </c>
      <c r="K39">
        <v>1.0633247947768396</v>
      </c>
    </row>
    <row r="40" spans="1:11" ht="12.75">
      <c r="A40" s="90">
        <v>38749</v>
      </c>
      <c r="B40" s="85">
        <v>39473284</v>
      </c>
      <c r="E40" s="97">
        <f>+CDM!C16*K40</f>
        <v>20855.565167555327</v>
      </c>
      <c r="I40" s="154">
        <f t="shared" si="0"/>
        <v>39494139.565167554</v>
      </c>
      <c r="K40">
        <v>1.0633247947768396</v>
      </c>
    </row>
    <row r="41" spans="1:11" ht="12.75">
      <c r="A41" s="90">
        <v>38777</v>
      </c>
      <c r="B41" s="85">
        <v>41133492</v>
      </c>
      <c r="E41" s="97">
        <f>+CDM!C17*K41</f>
        <v>34759.27527925888</v>
      </c>
      <c r="I41" s="154">
        <f t="shared" si="0"/>
        <v>41168251.275279261</v>
      </c>
      <c r="K41">
        <v>1.0633247947768396</v>
      </c>
    </row>
    <row r="42" spans="1:11" ht="12.75">
      <c r="A42" s="90">
        <v>38808</v>
      </c>
      <c r="B42" s="85">
        <v>36883395</v>
      </c>
      <c r="E42" s="97">
        <f>+CDM!C18*K42</f>
        <v>48662.985390962436</v>
      </c>
      <c r="I42" s="154">
        <f t="shared" si="0"/>
        <v>36932057.985390961</v>
      </c>
      <c r="K42">
        <v>1.0633247947768396</v>
      </c>
    </row>
    <row r="43" spans="1:11" ht="12.75">
      <c r="A43" s="90">
        <v>38838</v>
      </c>
      <c r="B43" s="85">
        <v>39614104</v>
      </c>
      <c r="E43" s="97">
        <f>+CDM!C19*K43</f>
        <v>62566.695502665985</v>
      </c>
      <c r="I43" s="154">
        <f t="shared" si="0"/>
        <v>39676670.695502669</v>
      </c>
      <c r="K43">
        <v>1.0633247947768396</v>
      </c>
    </row>
    <row r="44" spans="1:11" ht="12.75">
      <c r="A44" s="90">
        <v>38869</v>
      </c>
      <c r="B44" s="85">
        <v>42375007</v>
      </c>
      <c r="E44" s="97">
        <f>+CDM!C20*K44</f>
        <v>76470.405614369534</v>
      </c>
      <c r="I44" s="154">
        <f t="shared" si="0"/>
        <v>42451477.405614369</v>
      </c>
      <c r="K44">
        <v>1.0633247947768396</v>
      </c>
    </row>
    <row r="45" spans="1:11" ht="12.75">
      <c r="A45" s="90">
        <v>38899</v>
      </c>
      <c r="B45" s="85">
        <v>47257890</v>
      </c>
      <c r="E45" s="97">
        <f>+CDM!C21*K45</f>
        <v>90374.115726073098</v>
      </c>
      <c r="I45" s="154">
        <f t="shared" si="0"/>
        <v>47348264.115726076</v>
      </c>
      <c r="K45">
        <v>1.0633247947768396</v>
      </c>
    </row>
    <row r="46" spans="1:11" ht="12.75">
      <c r="A46" s="90">
        <v>38930</v>
      </c>
      <c r="B46" s="85">
        <v>44158704</v>
      </c>
      <c r="E46" s="97">
        <f>+CDM!C22*K46</f>
        <v>104277.82583777665</v>
      </c>
      <c r="I46" s="154">
        <f t="shared" si="0"/>
        <v>44262981.825837776</v>
      </c>
      <c r="K46">
        <v>1.0633247947768396</v>
      </c>
    </row>
    <row r="47" spans="1:11" ht="12.75">
      <c r="A47" s="90">
        <v>38961</v>
      </c>
      <c r="B47" s="85">
        <v>37845912</v>
      </c>
      <c r="E47" s="97">
        <f>+CDM!C23*K47</f>
        <v>118181.53594948018</v>
      </c>
      <c r="I47" s="154">
        <f t="shared" si="0"/>
        <v>37964093.535949484</v>
      </c>
      <c r="K47">
        <v>1.0633247947768396</v>
      </c>
    </row>
    <row r="48" spans="1:11" ht="12.75">
      <c r="A48" s="90">
        <v>38991</v>
      </c>
      <c r="B48" s="85">
        <v>39300023</v>
      </c>
      <c r="E48" s="97">
        <f>+CDM!C24*K48</f>
        <v>132085.24606118372</v>
      </c>
      <c r="I48" s="154">
        <f t="shared" si="0"/>
        <v>39432108.246061184</v>
      </c>
      <c r="K48">
        <v>1.0633247947768396</v>
      </c>
    </row>
    <row r="49" spans="1:11" ht="12.75">
      <c r="A49" s="90">
        <v>39022</v>
      </c>
      <c r="B49" s="85">
        <v>39294756</v>
      </c>
      <c r="E49" s="97">
        <f>+CDM!C25*K49</f>
        <v>145988.95617288727</v>
      </c>
      <c r="I49" s="154">
        <f t="shared" si="0"/>
        <v>39440744.956172891</v>
      </c>
      <c r="K49">
        <v>1.0633247947768396</v>
      </c>
    </row>
    <row r="50" spans="1:11" ht="12.75">
      <c r="A50" s="90">
        <v>39052</v>
      </c>
      <c r="B50" s="85">
        <v>43135016</v>
      </c>
      <c r="E50" s="97">
        <f>+CDM!C26*K50</f>
        <v>159892.66628459081</v>
      </c>
      <c r="I50" s="154">
        <f t="shared" si="0"/>
        <v>43294908.666284591</v>
      </c>
      <c r="K50">
        <v>1.0633247947768396</v>
      </c>
    </row>
    <row r="51" spans="1:11" ht="12.75">
      <c r="A51" s="90">
        <v>39083</v>
      </c>
      <c r="B51" s="85">
        <v>44818889</v>
      </c>
      <c r="E51" s="97">
        <f>+CDM!C27*K51</f>
        <v>172210.14458491129</v>
      </c>
      <c r="I51" s="154">
        <f t="shared" si="0"/>
        <v>44991099.144584909</v>
      </c>
      <c r="K51">
        <v>1.0594043175559551</v>
      </c>
    </row>
    <row r="52" spans="1:11" ht="12.75">
      <c r="A52" s="90">
        <v>39114</v>
      </c>
      <c r="B52" s="85">
        <v>42357383</v>
      </c>
      <c r="E52" s="97">
        <f>+CDM!C28*K52</f>
        <v>184171.70216704934</v>
      </c>
      <c r="I52" s="154">
        <f t="shared" si="0"/>
        <v>42541554.702167049</v>
      </c>
      <c r="K52">
        <v>1.0594043175559551</v>
      </c>
    </row>
    <row r="53" spans="1:11" ht="12.75">
      <c r="A53" s="90">
        <v>39142</v>
      </c>
      <c r="B53" s="85">
        <v>42654800</v>
      </c>
      <c r="E53" s="97">
        <f>+CDM!C29*K53</f>
        <v>196133.25974918739</v>
      </c>
      <c r="I53" s="154">
        <f t="shared" si="0"/>
        <v>42850933.259749189</v>
      </c>
      <c r="K53">
        <v>1.0594043175559551</v>
      </c>
    </row>
    <row r="54" spans="1:11" ht="12.75">
      <c r="A54" s="90">
        <v>39173</v>
      </c>
      <c r="B54" s="85">
        <v>39684175</v>
      </c>
      <c r="E54" s="97">
        <f>+CDM!C30*K54</f>
        <v>208094.81733132544</v>
      </c>
      <c r="I54" s="154">
        <f t="shared" si="0"/>
        <v>39892269.817331329</v>
      </c>
      <c r="K54">
        <v>1.0594043175559551</v>
      </c>
    </row>
    <row r="55" spans="1:11" ht="12.75">
      <c r="A55" s="90">
        <v>39203</v>
      </c>
      <c r="B55" s="85">
        <v>39887811</v>
      </c>
      <c r="E55" s="97">
        <f>+CDM!C31*K55</f>
        <v>220056.37491346346</v>
      </c>
      <c r="I55" s="154">
        <f t="shared" si="0"/>
        <v>40107867.374913462</v>
      </c>
      <c r="K55">
        <v>1.0594043175559551</v>
      </c>
    </row>
    <row r="56" spans="1:11" ht="12.75">
      <c r="A56" s="90">
        <v>39234</v>
      </c>
      <c r="B56" s="85">
        <v>44759145</v>
      </c>
      <c r="E56" s="97">
        <f>+CDM!C32*K56</f>
        <v>232017.9324956015</v>
      </c>
      <c r="I56" s="154">
        <f t="shared" si="0"/>
        <v>44991162.932495601</v>
      </c>
      <c r="K56">
        <v>1.0594043175559551</v>
      </c>
    </row>
    <row r="57" spans="1:11" ht="12.75">
      <c r="A57" s="90">
        <v>39264</v>
      </c>
      <c r="B57" s="85">
        <v>44321710</v>
      </c>
      <c r="E57" s="97">
        <f>+CDM!C33*K57</f>
        <v>243979.49007773955</v>
      </c>
      <c r="I57" s="154">
        <f t="shared" si="0"/>
        <v>44565689.490077741</v>
      </c>
      <c r="K57">
        <v>1.0594043175559551</v>
      </c>
    </row>
    <row r="58" spans="1:11" ht="12.75">
      <c r="A58" s="90">
        <v>39295</v>
      </c>
      <c r="B58" s="85">
        <v>46460240</v>
      </c>
      <c r="E58" s="97">
        <f>+CDM!C34*K58</f>
        <v>255941.04765987757</v>
      </c>
      <c r="I58" s="154">
        <f t="shared" si="0"/>
        <v>46716181.047659874</v>
      </c>
      <c r="K58">
        <v>1.0594043175559551</v>
      </c>
    </row>
    <row r="59" spans="1:11" ht="12.75">
      <c r="A59" s="90">
        <v>39326</v>
      </c>
      <c r="B59" s="85">
        <v>40259250</v>
      </c>
      <c r="E59" s="97">
        <f>+CDM!C35*K59</f>
        <v>267902.60524201562</v>
      </c>
      <c r="I59" s="154">
        <f t="shared" si="0"/>
        <v>40527152.605242014</v>
      </c>
      <c r="K59">
        <v>1.0594043175559551</v>
      </c>
    </row>
    <row r="60" spans="1:11" ht="12.75">
      <c r="A60" s="90">
        <v>39356</v>
      </c>
      <c r="B60" s="85">
        <v>39936050</v>
      </c>
      <c r="E60" s="97">
        <f>+CDM!C36*K60</f>
        <v>279864.16282415367</v>
      </c>
      <c r="I60" s="154">
        <f t="shared" si="0"/>
        <v>40215914.162824154</v>
      </c>
      <c r="K60">
        <v>1.0594043175559551</v>
      </c>
    </row>
    <row r="61" spans="1:11" ht="12.75">
      <c r="A61" s="90">
        <v>39387</v>
      </c>
      <c r="B61" s="85">
        <v>41297990</v>
      </c>
      <c r="E61" s="97">
        <f>+CDM!C37*K61</f>
        <v>291825.72040629166</v>
      </c>
      <c r="I61" s="154">
        <f t="shared" si="0"/>
        <v>41589815.720406294</v>
      </c>
      <c r="K61">
        <v>1.0594043175559551</v>
      </c>
    </row>
    <row r="62" spans="1:11" ht="12.75">
      <c r="A62" s="90">
        <v>39417</v>
      </c>
      <c r="B62" s="85">
        <v>45949230</v>
      </c>
      <c r="E62" s="97">
        <f>+CDM!C38*K62</f>
        <v>303787.27798842971</v>
      </c>
      <c r="I62" s="154">
        <f t="shared" si="0"/>
        <v>46253017.277988426</v>
      </c>
      <c r="K62">
        <v>1.0594043175559551</v>
      </c>
    </row>
    <row r="63" spans="1:11" ht="12.75">
      <c r="A63" s="90">
        <v>39448</v>
      </c>
      <c r="B63" s="86">
        <v>45263815</v>
      </c>
      <c r="E63" s="97">
        <f>+CDM!C39*K63</f>
        <v>311574.0374156693</v>
      </c>
      <c r="I63" s="154">
        <f t="shared" si="0"/>
        <v>45575389.037415668</v>
      </c>
      <c r="K63">
        <v>1.0561877773680599</v>
      </c>
    </row>
    <row r="64" spans="1:11" ht="12.75">
      <c r="A64" s="90">
        <v>39479</v>
      </c>
      <c r="B64" s="86">
        <v>42751053</v>
      </c>
      <c r="E64" s="97">
        <f>+CDM!C40*K64</f>
        <v>317067.0206680909</v>
      </c>
      <c r="I64" s="154">
        <f t="shared" si="0"/>
        <v>43068120.020668089</v>
      </c>
      <c r="K64">
        <v>1.0561877773680599</v>
      </c>
    </row>
    <row r="65" spans="1:11" ht="12.75">
      <c r="A65" s="90">
        <v>39508</v>
      </c>
      <c r="B65" s="86">
        <v>43037645</v>
      </c>
      <c r="E65" s="97">
        <f>+CDM!C41*K65</f>
        <v>322560.00392051251</v>
      </c>
      <c r="I65" s="154">
        <f t="shared" si="0"/>
        <v>43360205.00392051</v>
      </c>
      <c r="K65">
        <v>1.0561877773680599</v>
      </c>
    </row>
    <row r="66" spans="1:11" ht="12.75">
      <c r="A66" s="90">
        <v>39539</v>
      </c>
      <c r="B66" s="86">
        <v>38303184</v>
      </c>
      <c r="E66" s="97">
        <f>+CDM!C42*K66</f>
        <v>328052.98717293411</v>
      </c>
      <c r="I66" s="154">
        <f t="shared" si="0"/>
        <v>38631236.987172931</v>
      </c>
      <c r="K66">
        <v>1.0561877773680599</v>
      </c>
    </row>
    <row r="67" spans="1:11" ht="12.75">
      <c r="A67" s="90">
        <v>39569</v>
      </c>
      <c r="B67" s="86">
        <v>38265516</v>
      </c>
      <c r="E67" s="97">
        <f>+CDM!C43*K67</f>
        <v>333545.97042535571</v>
      </c>
      <c r="I67" s="154">
        <f t="shared" si="0"/>
        <v>38599061.970425352</v>
      </c>
      <c r="K67">
        <v>1.0561877773680599</v>
      </c>
    </row>
    <row r="68" spans="1:11" ht="12.75">
      <c r="A68" s="90">
        <v>39600</v>
      </c>
      <c r="B68" s="86">
        <v>42475230</v>
      </c>
      <c r="E68" s="97">
        <f>+CDM!C44*K68</f>
        <v>339038.95367777732</v>
      </c>
      <c r="I68" s="154">
        <f t="shared" si="1" ref="I68:I131">SUM(B68:H68)</f>
        <v>42814268.953677781</v>
      </c>
      <c r="K68">
        <v>1.0561877773680599</v>
      </c>
    </row>
    <row r="69" spans="1:11" ht="12.75">
      <c r="A69" s="90">
        <v>39630</v>
      </c>
      <c r="B69" s="86">
        <v>46396350</v>
      </c>
      <c r="E69" s="97">
        <f>+CDM!C45*K69</f>
        <v>344531.93693019892</v>
      </c>
      <c r="I69" s="154">
        <f t="shared" si="1"/>
        <v>46740881.936930202</v>
      </c>
      <c r="K69">
        <v>1.0561877773680599</v>
      </c>
    </row>
    <row r="70" spans="1:11" ht="12.75">
      <c r="A70" s="90">
        <v>39661</v>
      </c>
      <c r="B70" s="86">
        <v>43186600</v>
      </c>
      <c r="E70" s="97">
        <f>+CDM!C46*K70</f>
        <v>350024.92018262052</v>
      </c>
      <c r="I70" s="154">
        <f t="shared" si="1"/>
        <v>43536624.920182623</v>
      </c>
      <c r="K70">
        <v>1.0561877773680599</v>
      </c>
    </row>
    <row r="71" spans="1:11" ht="12.75">
      <c r="A71" s="90">
        <v>39692</v>
      </c>
      <c r="B71" s="86">
        <v>40740620</v>
      </c>
      <c r="E71" s="97">
        <f>+CDM!C47*K71</f>
        <v>355517.90343504219</v>
      </c>
      <c r="I71" s="154">
        <f t="shared" si="1"/>
        <v>41096137.903435044</v>
      </c>
      <c r="K71">
        <v>1.0561877773680599</v>
      </c>
    </row>
    <row r="72" spans="1:11" ht="12.75">
      <c r="A72" s="90">
        <v>39722</v>
      </c>
      <c r="B72" s="86">
        <v>40655700</v>
      </c>
      <c r="E72" s="97">
        <f>+CDM!C48*K72</f>
        <v>361010.88668746379</v>
      </c>
      <c r="I72" s="154">
        <f t="shared" si="1"/>
        <v>41016710.886687465</v>
      </c>
      <c r="K72">
        <v>1.0561877773680599</v>
      </c>
    </row>
    <row r="73" spans="1:11" ht="12.75">
      <c r="A73" s="90">
        <v>39753</v>
      </c>
      <c r="B73" s="86">
        <v>40859730</v>
      </c>
      <c r="E73" s="97">
        <f>+CDM!C49*K73</f>
        <v>366503.86993988539</v>
      </c>
      <c r="I73" s="154">
        <f t="shared" si="1"/>
        <v>41226233.869939886</v>
      </c>
      <c r="K73">
        <v>1.0561877773680599</v>
      </c>
    </row>
    <row r="74" spans="1:11" ht="12.75">
      <c r="A74" s="90">
        <v>39783</v>
      </c>
      <c r="B74" s="86">
        <v>45852000</v>
      </c>
      <c r="E74" s="97">
        <f>+CDM!C50*K74</f>
        <v>371996.853192307</v>
      </c>
      <c r="I74" s="154">
        <f t="shared" si="1"/>
        <v>46223996.853192307</v>
      </c>
      <c r="K74">
        <v>1.0561877773680599</v>
      </c>
    </row>
    <row r="75" spans="1:11" ht="12.75">
      <c r="A75" s="90">
        <v>39814</v>
      </c>
      <c r="B75" s="85">
        <v>47628012</v>
      </c>
      <c r="E75" s="97">
        <f>+CDM!C51*K75</f>
        <v>384633.86691029172</v>
      </c>
      <c r="I75" s="154">
        <f t="shared" si="1"/>
        <v>48012645.866910294</v>
      </c>
      <c r="K75">
        <v>1.05520739369405</v>
      </c>
    </row>
    <row r="76" spans="1:11" ht="12.75">
      <c r="A76" s="90">
        <v>39845</v>
      </c>
      <c r="B76" s="85">
        <v>41115814</v>
      </c>
      <c r="E76" s="97">
        <f>+CDM!C52*K76</f>
        <v>405110.60605467216</v>
      </c>
      <c r="I76" s="154">
        <f t="shared" si="1"/>
        <v>41520924.606054671</v>
      </c>
      <c r="K76">
        <v>1.05520739369405</v>
      </c>
    </row>
    <row r="77" spans="1:11" ht="12.75">
      <c r="A77" s="90">
        <v>39873</v>
      </c>
      <c r="B77" s="85">
        <v>42459987</v>
      </c>
      <c r="E77" s="97">
        <f>+CDM!C53*K77</f>
        <v>425587.34519905259</v>
      </c>
      <c r="I77" s="154">
        <f t="shared" si="1"/>
        <v>42885574.345199056</v>
      </c>
      <c r="K77">
        <v>1.05520739369405</v>
      </c>
    </row>
    <row r="78" spans="1:11" ht="12.75">
      <c r="A78" s="90">
        <v>39904</v>
      </c>
      <c r="B78" s="85">
        <v>38614683</v>
      </c>
      <c r="E78" s="97">
        <f>+CDM!C54*K78</f>
        <v>446064.08434343303</v>
      </c>
      <c r="I78" s="154">
        <f t="shared" si="1"/>
        <v>39060747.084343433</v>
      </c>
      <c r="K78">
        <v>1.05520739369405</v>
      </c>
    </row>
    <row r="79" spans="1:11" ht="12.75">
      <c r="A79" s="90">
        <v>39934</v>
      </c>
      <c r="B79" s="85">
        <v>38130005</v>
      </c>
      <c r="E79" s="97">
        <f>+CDM!C55*K79</f>
        <v>466540.82348781347</v>
      </c>
      <c r="I79" s="154">
        <f t="shared" si="1"/>
        <v>38596545.823487811</v>
      </c>
      <c r="K79">
        <v>1.05520739369405</v>
      </c>
    </row>
    <row r="80" spans="1:11" ht="12.75">
      <c r="A80" s="90">
        <v>39965</v>
      </c>
      <c r="B80" s="85">
        <v>40405210</v>
      </c>
      <c r="E80" s="97">
        <f>+CDM!C56*K80</f>
        <v>487017.56263219391</v>
      </c>
      <c r="I80" s="154">
        <f t="shared" si="1"/>
        <v>40892227.562632196</v>
      </c>
      <c r="K80">
        <v>1.05520739369405</v>
      </c>
    </row>
    <row r="81" spans="1:11" ht="12.75">
      <c r="A81" s="90">
        <v>39995</v>
      </c>
      <c r="B81" s="85">
        <v>41289748</v>
      </c>
      <c r="E81" s="97">
        <f>+CDM!C57*K81</f>
        <v>507494.30177657434</v>
      </c>
      <c r="I81" s="154">
        <f t="shared" si="1"/>
        <v>41797242.301776573</v>
      </c>
      <c r="K81">
        <v>1.05520739369405</v>
      </c>
    </row>
    <row r="82" spans="1:11" ht="12.75">
      <c r="A82" s="90">
        <v>40026</v>
      </c>
      <c r="B82" s="85">
        <v>44991000</v>
      </c>
      <c r="E82" s="97">
        <f>+CDM!C58*K82</f>
        <v>527971.04092095478</v>
      </c>
      <c r="I82" s="154">
        <f t="shared" si="1"/>
        <v>45518971.040920958</v>
      </c>
      <c r="K82">
        <v>1.05520739369405</v>
      </c>
    </row>
    <row r="83" spans="1:11" ht="12.75">
      <c r="A83" s="90">
        <v>40057</v>
      </c>
      <c r="B83" s="85">
        <v>39783750</v>
      </c>
      <c r="E83" s="97">
        <f>+CDM!C59*K83</f>
        <v>548447.78006533522</v>
      </c>
      <c r="I83" s="154">
        <f t="shared" si="1"/>
        <v>40332197.780065335</v>
      </c>
      <c r="K83">
        <v>1.05520739369405</v>
      </c>
    </row>
    <row r="84" spans="1:11" ht="12.75">
      <c r="A84" s="90">
        <v>40087</v>
      </c>
      <c r="B84" s="85">
        <v>40181000</v>
      </c>
      <c r="E84" s="97">
        <f>+CDM!C60*K84</f>
        <v>568924.51920971565</v>
      </c>
      <c r="I84" s="154">
        <f t="shared" si="1"/>
        <v>40749924.519209713</v>
      </c>
      <c r="K84">
        <v>1.05520739369405</v>
      </c>
    </row>
    <row r="85" spans="1:11" ht="12.75">
      <c r="A85" s="90">
        <v>40118</v>
      </c>
      <c r="B85" s="85">
        <v>39698200</v>
      </c>
      <c r="C85" s="97"/>
      <c r="E85" s="97">
        <f>+CDM!C61*K85</f>
        <v>589401.25835409597</v>
      </c>
      <c r="I85" s="154">
        <f t="shared" si="1"/>
        <v>40287601.258354098</v>
      </c>
      <c r="K85">
        <v>1.05520739369405</v>
      </c>
    </row>
    <row r="86" spans="1:15" ht="12.75">
      <c r="A86" s="90">
        <v>40148</v>
      </c>
      <c r="B86" s="85">
        <v>45503000</v>
      </c>
      <c r="C86" s="97">
        <f>+WMP!B2*K86</f>
        <v>430142.24112391949</v>
      </c>
      <c r="D86" s="97"/>
      <c r="E86" s="97">
        <f>+CDM!C62*K86</f>
        <v>609877.99749847641</v>
      </c>
      <c r="I86" s="154">
        <f t="shared" si="1"/>
        <v>46543020.238622397</v>
      </c>
      <c r="K86">
        <v>1.05520739369405</v>
      </c>
      <c r="L86" s="97"/>
      <c r="M86" s="97"/>
      <c r="N86" s="97"/>
      <c r="O86" s="97"/>
    </row>
    <row r="87" spans="1:15" ht="12.75">
      <c r="A87" s="90">
        <v>40179</v>
      </c>
      <c r="B87" s="85">
        <v>46477661.538461544</v>
      </c>
      <c r="C87" s="97">
        <f>+WMP!B3*K87</f>
        <v>404636.40938714589</v>
      </c>
      <c r="D87" s="97"/>
      <c r="E87" s="97">
        <f>+CDM!C63*K87</f>
        <v>623137.1540438974</v>
      </c>
      <c r="I87" s="154">
        <f t="shared" si="1"/>
        <v>47505435.101892591</v>
      </c>
      <c r="K87">
        <v>1.0581535631452437</v>
      </c>
      <c r="L87" s="97"/>
      <c r="M87" s="97"/>
      <c r="N87" s="97"/>
      <c r="O87" s="97"/>
    </row>
    <row r="88" spans="1:12" ht="12.75">
      <c r="A88" s="90">
        <v>40210</v>
      </c>
      <c r="B88" s="85">
        <v>41573169.230769232</v>
      </c>
      <c r="C88" s="97">
        <f>+WMP!B4*K88</f>
        <v>357110.25687672093</v>
      </c>
      <c r="D88" s="97"/>
      <c r="E88" s="97">
        <f>+CDM!C64*K88</f>
        <v>625715.96245674603</v>
      </c>
      <c r="I88" s="154">
        <f t="shared" si="1"/>
        <v>42555995.450102702</v>
      </c>
      <c r="K88">
        <v>1.0581535631452437</v>
      </c>
      <c r="L88" s="97"/>
    </row>
    <row r="89" spans="1:12" ht="12.75">
      <c r="A89" s="90">
        <v>40238</v>
      </c>
      <c r="B89" s="85">
        <v>41694323.07692308</v>
      </c>
      <c r="C89" s="97">
        <f>+WMP!B5*K89</f>
        <v>406906.87890605099</v>
      </c>
      <c r="D89" s="97"/>
      <c r="E89" s="97">
        <f>+CDM!C65*K89</f>
        <v>628294.77086959465</v>
      </c>
      <c r="I89" s="154">
        <f t="shared" si="1"/>
        <v>42729524.726698726</v>
      </c>
      <c r="K89">
        <v>1.0581535631452437</v>
      </c>
      <c r="L89" s="97"/>
    </row>
    <row r="90" spans="1:12" ht="12.75">
      <c r="A90" s="90">
        <v>40269</v>
      </c>
      <c r="B90" s="85">
        <v>37170715.384615384</v>
      </c>
      <c r="C90" s="97">
        <f>+WMP!B6*K90</f>
        <v>393044.35826596105</v>
      </c>
      <c r="D90" s="97"/>
      <c r="E90" s="97">
        <f>+CDM!C66*K90</f>
        <v>630873.57928244327</v>
      </c>
      <c r="I90" s="154">
        <f t="shared" si="1"/>
        <v>38194633.322163783</v>
      </c>
      <c r="K90">
        <v>1.0581535631452437</v>
      </c>
      <c r="L90" s="97"/>
    </row>
    <row r="91" spans="1:12" ht="12.75">
      <c r="A91" s="90">
        <v>40299</v>
      </c>
      <c r="B91" s="85">
        <v>41877784.615384616</v>
      </c>
      <c r="C91" s="97">
        <f>+WMP!B7*K91</f>
        <v>451701.15403636137</v>
      </c>
      <c r="D91" s="97"/>
      <c r="E91" s="97">
        <f>+CDM!C67*K91</f>
        <v>633452.38769529178</v>
      </c>
      <c r="I91" s="154">
        <f t="shared" si="1"/>
        <v>42962938.157116264</v>
      </c>
      <c r="K91">
        <v>1.0581535631452437</v>
      </c>
      <c r="L91" s="97"/>
    </row>
    <row r="92" spans="1:12" ht="12.75">
      <c r="A92" s="90">
        <v>40330</v>
      </c>
      <c r="B92" s="85">
        <v>43649361.538461536</v>
      </c>
      <c r="C92" s="97">
        <f>+WMP!B8*K92</f>
        <v>463489.76776343613</v>
      </c>
      <c r="D92" s="97"/>
      <c r="E92" s="97">
        <f>+CDM!C68*K92</f>
        <v>636031.1961081404</v>
      </c>
      <c r="I92" s="154">
        <f t="shared" si="1"/>
        <v>44748882.502333112</v>
      </c>
      <c r="K92">
        <v>1.0581535631452437</v>
      </c>
      <c r="L92" s="97"/>
    </row>
    <row r="93" spans="1:12" ht="12.75">
      <c r="A93" s="90">
        <v>40360</v>
      </c>
      <c r="B93" s="85">
        <v>50523061.538461536</v>
      </c>
      <c r="C93" s="97">
        <f>+WMP!B9*K93</f>
        <v>501932.32798946841</v>
      </c>
      <c r="D93" s="97"/>
      <c r="E93" s="97">
        <f>+CDM!C69*K93</f>
        <v>638610.00452098902</v>
      </c>
      <c r="I93" s="154">
        <f t="shared" si="1"/>
        <v>51663603.870971993</v>
      </c>
      <c r="K93">
        <v>1.0581535631452437</v>
      </c>
      <c r="L93" s="97"/>
    </row>
    <row r="94" spans="1:12" ht="12.75">
      <c r="A94" s="90">
        <v>40391</v>
      </c>
      <c r="B94" s="85">
        <v>48496438.461538464</v>
      </c>
      <c r="C94" s="97">
        <f>+WMP!B10*K94</f>
        <v>490683.97572712868</v>
      </c>
      <c r="D94" s="97"/>
      <c r="E94" s="97">
        <f>+CDM!C70*K94</f>
        <v>641188.81293383765</v>
      </c>
      <c r="I94" s="154">
        <f t="shared" si="1"/>
        <v>49628311.25019943</v>
      </c>
      <c r="K94">
        <v>1.0581535631452437</v>
      </c>
      <c r="L94" s="97"/>
    </row>
    <row r="95" spans="1:12" ht="12.75">
      <c r="A95" s="90">
        <v>40422</v>
      </c>
      <c r="B95" s="85">
        <v>40569069.230769232</v>
      </c>
      <c r="C95" s="97">
        <f>+WMP!B11*K95</f>
        <v>431510.63171334332</v>
      </c>
      <c r="D95" s="97"/>
      <c r="E95" s="97">
        <f>+CDM!C71*K95</f>
        <v>643767.62134668615</v>
      </c>
      <c r="I95" s="154">
        <f t="shared" si="1"/>
        <v>41644347.483829267</v>
      </c>
      <c r="K95">
        <v>1.0581535631452437</v>
      </c>
      <c r="L95" s="97"/>
    </row>
    <row r="96" spans="1:12" ht="12.75">
      <c r="A96" s="90">
        <v>40452</v>
      </c>
      <c r="B96" s="85">
        <v>40047369.230769232</v>
      </c>
      <c r="C96" s="97">
        <f>+WMP!B12*K96</f>
        <v>413350.87538257107</v>
      </c>
      <c r="D96" s="97"/>
      <c r="E96" s="97">
        <f>+CDM!C72*K96</f>
        <v>646346.42975953477</v>
      </c>
      <c r="I96" s="154">
        <f t="shared" si="1"/>
        <v>41107066.535911337</v>
      </c>
      <c r="K96">
        <v>1.0581535631452437</v>
      </c>
      <c r="L96" s="97"/>
    </row>
    <row r="97" spans="1:12" ht="12.75">
      <c r="A97" s="90">
        <v>40483</v>
      </c>
      <c r="B97" s="85">
        <v>41183369.230769232</v>
      </c>
      <c r="C97" s="97">
        <f>+WMP!B13*K97</f>
        <v>391985.83434906864</v>
      </c>
      <c r="D97" s="97"/>
      <c r="E97" s="97">
        <f>+CDM!C73*K97</f>
        <v>648925.2381723834</v>
      </c>
      <c r="I97" s="154">
        <f t="shared" si="1"/>
        <v>42224280.30329068</v>
      </c>
      <c r="K97">
        <v>1.0581535631452437</v>
      </c>
      <c r="L97" s="97"/>
    </row>
    <row r="98" spans="1:12" ht="12.75">
      <c r="A98" s="90">
        <v>40513</v>
      </c>
      <c r="B98" s="85">
        <v>47278253.846153848</v>
      </c>
      <c r="C98" s="97">
        <f>+WMP!B14*K98</f>
        <v>408221.67703440145</v>
      </c>
      <c r="D98" s="97"/>
      <c r="E98" s="97">
        <f>+CDM!C74*K98</f>
        <v>651504.04658523202</v>
      </c>
      <c r="I98" s="154">
        <f t="shared" si="1"/>
        <v>48337979.56977348</v>
      </c>
      <c r="K98">
        <v>1.0581535631452437</v>
      </c>
      <c r="L98" s="97"/>
    </row>
    <row r="99" spans="1:12" ht="12.75">
      <c r="A99" s="90">
        <v>40544</v>
      </c>
      <c r="B99" s="85">
        <v>47976584.615384616</v>
      </c>
      <c r="C99" s="97">
        <f>+WMP!B15*K99</f>
        <v>405351.41249021073</v>
      </c>
      <c r="D99" s="97"/>
      <c r="E99" s="97">
        <f>+CDM!C75*K99</f>
        <v>660119.22648719011</v>
      </c>
      <c r="I99" s="154">
        <f t="shared" si="1"/>
        <v>49042055.254362017</v>
      </c>
      <c r="K99">
        <v>1.0596627178394289</v>
      </c>
      <c r="L99" s="97"/>
    </row>
    <row r="100" spans="1:12" ht="12.75">
      <c r="A100" s="90">
        <v>40575</v>
      </c>
      <c r="B100" s="85">
        <v>42881461.538461544</v>
      </c>
      <c r="C100" s="97">
        <f>+WMP!B16*K100</f>
        <v>359495.87534061546</v>
      </c>
      <c r="D100" s="97"/>
      <c r="E100" s="97">
        <f>+CDM!C76*K100</f>
        <v>672908.72999615769</v>
      </c>
      <c r="I100" s="154">
        <f t="shared" si="1"/>
        <v>43913866.143798321</v>
      </c>
      <c r="K100">
        <v>1.0596627178394289</v>
      </c>
      <c r="L100" s="97"/>
    </row>
    <row r="101" spans="1:12" ht="12.75">
      <c r="A101" s="90">
        <v>40603</v>
      </c>
      <c r="B101" s="85">
        <v>44667184.615384616</v>
      </c>
      <c r="C101" s="97">
        <f>+WMP!B17*K101</f>
        <v>404956.58216154372</v>
      </c>
      <c r="D101" s="97"/>
      <c r="E101" s="97">
        <f>+CDM!C77*K101</f>
        <v>685698.23350512539</v>
      </c>
      <c r="I101" s="154">
        <f t="shared" si="1"/>
        <v>45757839.431051284</v>
      </c>
      <c r="K101">
        <v>1.0596627178394289</v>
      </c>
      <c r="L101" s="97"/>
    </row>
    <row r="102" spans="1:12" ht="12.75">
      <c r="A102" s="90">
        <v>40634</v>
      </c>
      <c r="B102" s="85">
        <v>39775423.07692308</v>
      </c>
      <c r="C102" s="97">
        <f>+WMP!B18*K102</f>
        <v>393847.54447931104</v>
      </c>
      <c r="D102" s="97"/>
      <c r="E102" s="97">
        <f>+CDM!C78*K102</f>
        <v>698487.73701409309</v>
      </c>
      <c r="I102" s="154">
        <f t="shared" si="1"/>
        <v>40867758.358416483</v>
      </c>
      <c r="K102">
        <v>1.0596627178394289</v>
      </c>
      <c r="L102" s="97"/>
    </row>
    <row r="103" spans="1:12" ht="12.75">
      <c r="A103" s="90">
        <v>40664</v>
      </c>
      <c r="B103" s="85">
        <v>40526946.153846152</v>
      </c>
      <c r="C103" s="97">
        <f>+WMP!B19*K103</f>
        <v>436397.37900758878</v>
      </c>
      <c r="D103" s="97"/>
      <c r="E103" s="97">
        <f>+CDM!C79*K103</f>
        <v>711277.24052306067</v>
      </c>
      <c r="I103" s="154">
        <f t="shared" si="1"/>
        <v>41674620.7733768</v>
      </c>
      <c r="K103">
        <v>1.0596627178394289</v>
      </c>
      <c r="L103" s="97"/>
    </row>
    <row r="104" spans="1:12" ht="12.75">
      <c r="A104" s="90">
        <v>40695</v>
      </c>
      <c r="B104" s="85">
        <v>42633200.000000007</v>
      </c>
      <c r="C104" s="97">
        <f>+WMP!B20*K104</f>
        <v>449545.80117006652</v>
      </c>
      <c r="D104" s="97"/>
      <c r="E104" s="97">
        <f>+CDM!C80*K104</f>
        <v>724066.74403202836</v>
      </c>
      <c r="I104" s="154">
        <f t="shared" si="1"/>
        <v>43806812.545202099</v>
      </c>
      <c r="K104">
        <v>1.0596627178394289</v>
      </c>
      <c r="L104" s="97"/>
    </row>
    <row r="105" spans="1:12" ht="12.75">
      <c r="A105" s="90">
        <v>40725</v>
      </c>
      <c r="B105" s="85">
        <v>50774907.692307696</v>
      </c>
      <c r="C105" s="97">
        <f>+WMP!B21*K105</f>
        <v>507935.1984923014</v>
      </c>
      <c r="D105" s="97"/>
      <c r="E105" s="97">
        <f>+CDM!C81*K105</f>
        <v>736856.24754099594</v>
      </c>
      <c r="I105" s="154">
        <f t="shared" si="1"/>
        <v>52019699.138340995</v>
      </c>
      <c r="K105">
        <v>1.0596627178394289</v>
      </c>
      <c r="L105" s="97"/>
    </row>
    <row r="106" spans="1:12" ht="12.75">
      <c r="A106" s="90">
        <v>40756</v>
      </c>
      <c r="B106" s="85">
        <v>46905930.769230768</v>
      </c>
      <c r="C106" s="97">
        <f>+WMP!B22*K106</f>
        <v>482531.58625872148</v>
      </c>
      <c r="D106" s="97"/>
      <c r="E106" s="97">
        <f>+CDM!C82*K106</f>
        <v>749645.75104996364</v>
      </c>
      <c r="I106" s="154">
        <f t="shared" si="1"/>
        <v>48138108.106539458</v>
      </c>
      <c r="K106">
        <v>1.0596627178394289</v>
      </c>
      <c r="L106" s="97"/>
    </row>
    <row r="107" spans="1:12" ht="12.75">
      <c r="A107" s="90">
        <v>40787</v>
      </c>
      <c r="B107" s="85">
        <v>40614553.846153848</v>
      </c>
      <c r="C107" s="97">
        <f>+WMP!B23*K107</f>
        <v>435205.16308037483</v>
      </c>
      <c r="D107" s="97"/>
      <c r="E107" s="97">
        <f>+CDM!C83*K107</f>
        <v>762435.25455893134</v>
      </c>
      <c r="I107" s="154">
        <f t="shared" si="1"/>
        <v>41812194.263793148</v>
      </c>
      <c r="K107">
        <v>1.0596627178394289</v>
      </c>
      <c r="L107" s="97"/>
    </row>
    <row r="108" spans="1:12" ht="12.75">
      <c r="A108" s="90">
        <v>40817</v>
      </c>
      <c r="B108" s="85">
        <v>40718976.92307692</v>
      </c>
      <c r="C108" s="97">
        <f>+WMP!B24*K108</f>
        <v>408082.32226349058</v>
      </c>
      <c r="D108" s="97"/>
      <c r="E108" s="97">
        <f>+CDM!C84*K108</f>
        <v>775224.75806789892</v>
      </c>
      <c r="I108" s="154">
        <f t="shared" si="1"/>
        <v>41902284.003408313</v>
      </c>
      <c r="K108">
        <v>1.0596627178394289</v>
      </c>
      <c r="L108" s="97"/>
    </row>
    <row r="109" spans="1:12" ht="12.75">
      <c r="A109" s="90">
        <v>40848</v>
      </c>
      <c r="B109" s="85">
        <v>41046292.307692297</v>
      </c>
      <c r="C109" s="97">
        <f>+WMP!B25*K109</f>
        <v>378636.27690401522</v>
      </c>
      <c r="D109" s="97"/>
      <c r="E109" s="97">
        <f>+CDM!C85*K109</f>
        <v>788014.26157686661</v>
      </c>
      <c r="I109" s="154">
        <f t="shared" si="1"/>
        <v>42212942.846173182</v>
      </c>
      <c r="K109">
        <v>1.0596627178394289</v>
      </c>
      <c r="L109" s="97"/>
    </row>
    <row r="110" spans="1:12" ht="12.75">
      <c r="A110" s="90">
        <v>40878</v>
      </c>
      <c r="B110" s="85">
        <v>40718976.92307692</v>
      </c>
      <c r="C110" s="97">
        <f>+WMP!B26*K110</f>
        <v>386405.85111074004</v>
      </c>
      <c r="D110" s="97"/>
      <c r="E110" s="97">
        <f>+CDM!C86*K110</f>
        <v>800803.76508583431</v>
      </c>
      <c r="I110" s="154">
        <f t="shared" si="1"/>
        <v>41906186.539273493</v>
      </c>
      <c r="K110">
        <v>1.0596627178394289</v>
      </c>
      <c r="L110" s="97"/>
    </row>
    <row r="111" spans="1:12" ht="12.75">
      <c r="A111" s="90">
        <v>40909</v>
      </c>
      <c r="B111" s="85">
        <v>45302407.692307696</v>
      </c>
      <c r="C111" s="97">
        <f>+WMP!B27*K111</f>
        <v>381044.75979980774</v>
      </c>
      <c r="D111" s="97"/>
      <c r="E111" s="97">
        <f>+CDM!C87*K111</f>
        <v>804324.0179209928</v>
      </c>
      <c r="I111" s="154">
        <f t="shared" si="1"/>
        <v>46487776.470028497</v>
      </c>
      <c r="K111">
        <v>1.0465647657537429</v>
      </c>
      <c r="L111" s="97"/>
    </row>
    <row r="112" spans="1:12" ht="12.75">
      <c r="A112" s="90">
        <v>40940</v>
      </c>
      <c r="B112" s="85">
        <v>41258776.923076928</v>
      </c>
      <c r="C112" s="97">
        <f>+WMP!B28*K112</f>
        <v>335625.75371396897</v>
      </c>
      <c r="D112" s="97"/>
      <c r="E112" s="97">
        <f>+CDM!C88*K112</f>
        <v>818529.76099984476</v>
      </c>
      <c r="I112" s="154">
        <f t="shared" si="1"/>
        <v>42412932.437790737</v>
      </c>
      <c r="K112">
        <v>1.0465647657537429</v>
      </c>
      <c r="L112" s="97"/>
    </row>
    <row r="113" spans="1:12" ht="12.75">
      <c r="A113" s="90">
        <v>40969</v>
      </c>
      <c r="B113" s="85">
        <v>40820361.538461544</v>
      </c>
      <c r="C113" s="97">
        <f>+WMP!B29*K113</f>
        <v>374029.33267117827</v>
      </c>
      <c r="D113" s="97"/>
      <c r="E113" s="97">
        <f>+CDM!C89*K113</f>
        <v>832735.50407869671</v>
      </c>
      <c r="I113" s="154">
        <f t="shared" si="1"/>
        <v>42027126.375211418</v>
      </c>
      <c r="K113">
        <v>1.0465647657537429</v>
      </c>
      <c r="L113" s="97"/>
    </row>
    <row r="114" spans="1:12" ht="12.75">
      <c r="A114" s="90">
        <v>41000</v>
      </c>
      <c r="B114" s="85">
        <v>38841930.769230776</v>
      </c>
      <c r="C114" s="97">
        <f>+WMP!B30*K114</f>
        <v>354545.67713703704</v>
      </c>
      <c r="D114" s="97"/>
      <c r="E114" s="97">
        <f>+CDM!C90*K114</f>
        <v>846941.24715754879</v>
      </c>
      <c r="I114" s="154">
        <f t="shared" si="1"/>
        <v>40043417.693525366</v>
      </c>
      <c r="K114">
        <v>1.0465647657537429</v>
      </c>
      <c r="L114" s="97"/>
    </row>
    <row r="115" spans="1:12" ht="12.75">
      <c r="A115" s="90">
        <v>41030</v>
      </c>
      <c r="B115" s="85">
        <v>40032218.18181818</v>
      </c>
      <c r="C115" s="97">
        <f>+WMP!B31*K115</f>
        <v>405854.62413676595</v>
      </c>
      <c r="D115" s="97"/>
      <c r="E115" s="97">
        <f>+CDM!C91*K115</f>
        <v>861146.99023640074</v>
      </c>
      <c r="I115" s="154">
        <f t="shared" si="1"/>
        <v>41299219.79619135</v>
      </c>
      <c r="K115">
        <v>1.0465647657537429</v>
      </c>
      <c r="L115" s="97"/>
    </row>
    <row r="116" spans="1:12" ht="12.75">
      <c r="A116" s="90">
        <v>41061</v>
      </c>
      <c r="B116" s="85">
        <v>45247672.727272727</v>
      </c>
      <c r="C116" s="97">
        <f>+WMP!B32*K116</f>
        <v>423296.12830913963</v>
      </c>
      <c r="D116" s="97"/>
      <c r="E116" s="97">
        <f>+CDM!C92*K116</f>
        <v>875352.73331525282</v>
      </c>
      <c r="I116" s="154">
        <f t="shared" si="1"/>
        <v>46546321.588897116</v>
      </c>
      <c r="K116">
        <v>1.0465647657537429</v>
      </c>
      <c r="L116" s="97"/>
    </row>
    <row r="117" spans="1:12" ht="12.75">
      <c r="A117" s="90">
        <v>41091</v>
      </c>
      <c r="B117" s="85">
        <v>51327900</v>
      </c>
      <c r="C117" s="97">
        <f>+WMP!B33*K117</f>
        <v>398714.0173965047</v>
      </c>
      <c r="D117" s="97"/>
      <c r="E117" s="97">
        <f>+CDM!C93*K117</f>
        <v>889558.47639410477</v>
      </c>
      <c r="I117" s="154">
        <f t="shared" si="1"/>
        <v>52616172.493790604</v>
      </c>
      <c r="K117">
        <v>1.0465647657537429</v>
      </c>
      <c r="L117" s="97"/>
    </row>
    <row r="118" spans="1:12" ht="12.75">
      <c r="A118" s="90">
        <v>41122</v>
      </c>
      <c r="B118" s="85">
        <v>45780536.36363636</v>
      </c>
      <c r="C118" s="97">
        <f>+WMP!B34*K118</f>
        <v>532342.97547379392</v>
      </c>
      <c r="D118" s="97"/>
      <c r="E118" s="97">
        <f>+CDM!C94*K118</f>
        <v>903764.21947295684</v>
      </c>
      <c r="I118" s="154">
        <f t="shared" si="1"/>
        <v>47216643.558583111</v>
      </c>
      <c r="K118">
        <v>1.0465647657537429</v>
      </c>
      <c r="L118" s="97"/>
    </row>
    <row r="119" spans="1:12" ht="12.75">
      <c r="A119" s="90">
        <v>41153</v>
      </c>
      <c r="B119" s="85">
        <v>39949536.36363636</v>
      </c>
      <c r="C119" s="97">
        <f>+WMP!B35*K119</f>
        <v>395847.20439626614</v>
      </c>
      <c r="D119" s="97"/>
      <c r="E119" s="97">
        <f>+CDM!C95*K119</f>
        <v>917969.9625518088</v>
      </c>
      <c r="I119" s="154">
        <f t="shared" si="1"/>
        <v>41263353.530584432</v>
      </c>
      <c r="K119">
        <v>1.0465647657537429</v>
      </c>
      <c r="L119" s="97"/>
    </row>
    <row r="120" spans="1:12" ht="12.75">
      <c r="A120" s="90">
        <v>41183</v>
      </c>
      <c r="B120" s="85">
        <v>40186490.909090906</v>
      </c>
      <c r="C120" s="97">
        <f>+WMP!B36*K120</f>
        <v>382702.06836591242</v>
      </c>
      <c r="D120" s="97"/>
      <c r="E120" s="97">
        <f>+CDM!C96*K120</f>
        <v>932175.70563066087</v>
      </c>
      <c r="I120" s="154">
        <f t="shared" si="1"/>
        <v>41501368.683087476</v>
      </c>
      <c r="K120">
        <v>1.0465647657537429</v>
      </c>
      <c r="L120" s="97"/>
    </row>
    <row r="121" spans="1:12" ht="12.75">
      <c r="A121" s="90">
        <v>41214</v>
      </c>
      <c r="B121" s="85">
        <v>40724163.636363633</v>
      </c>
      <c r="C121" s="97">
        <f>+WMP!B37*K121</f>
        <v>368715.14889751986</v>
      </c>
      <c r="D121" s="97"/>
      <c r="E121" s="97">
        <f>+CDM!C97*K121</f>
        <v>946381.44870951283</v>
      </c>
      <c r="I121" s="154">
        <f t="shared" si="1"/>
        <v>42039260.233970664</v>
      </c>
      <c r="K121">
        <v>1.0465647657537429</v>
      </c>
      <c r="L121" s="97"/>
    </row>
    <row r="122" spans="1:12" ht="12.75">
      <c r="A122" s="90">
        <v>41244</v>
      </c>
      <c r="B122" s="85">
        <v>42599045.454545446</v>
      </c>
      <c r="C122" s="97">
        <f>+WMP!B38*K122</f>
        <v>403277.27001943951</v>
      </c>
      <c r="D122" s="97"/>
      <c r="E122" s="97">
        <f>+CDM!C98*K122</f>
        <v>960587.1917883649</v>
      </c>
      <c r="I122" s="154">
        <f t="shared" si="1"/>
        <v>43962909.916353256</v>
      </c>
      <c r="K122">
        <v>1.0465647657537429</v>
      </c>
      <c r="L122" s="97"/>
    </row>
    <row r="123" spans="1:12" ht="12.75">
      <c r="A123" s="90">
        <v>41275</v>
      </c>
      <c r="B123" s="85">
        <v>44937375</v>
      </c>
      <c r="C123" s="97">
        <f>+WMP!B39*K123</f>
        <v>394751.1046385974</v>
      </c>
      <c r="D123" s="97"/>
      <c r="E123" s="97">
        <f>+CDM!C99*K123</f>
        <v>975192.94076705608</v>
      </c>
      <c r="I123" s="154">
        <f t="shared" si="1"/>
        <v>46307319.045405656</v>
      </c>
      <c r="K123">
        <v>1.0456548853683276</v>
      </c>
      <c r="L123" s="97"/>
    </row>
    <row r="124" spans="1:12" ht="12.75">
      <c r="A124" s="90">
        <v>41306</v>
      </c>
      <c r="B124" s="85">
        <v>40978383.333333336</v>
      </c>
      <c r="C124" s="97">
        <f>+WMP!B40*K124</f>
        <v>342282.75662802812</v>
      </c>
      <c r="D124" s="97"/>
      <c r="E124" s="97">
        <f>+CDM!C100*K124</f>
        <v>991881.30953933648</v>
      </c>
      <c r="I124" s="154">
        <f t="shared" si="1"/>
        <v>42312547.399500698</v>
      </c>
      <c r="K124">
        <v>1.0456548853683276</v>
      </c>
      <c r="L124" s="97"/>
    </row>
    <row r="125" spans="1:12" ht="12.75">
      <c r="A125" s="90">
        <v>41334</v>
      </c>
      <c r="B125" s="85">
        <v>42439533.333333336</v>
      </c>
      <c r="C125" s="97">
        <f>+WMP!B41*K125</f>
        <v>379054.85235017538</v>
      </c>
      <c r="D125" s="97"/>
      <c r="E125" s="97">
        <f>+CDM!C101*K125</f>
        <v>1008569.6783116168</v>
      </c>
      <c r="I125" s="154">
        <f t="shared" si="1"/>
        <v>43827157.863995127</v>
      </c>
      <c r="K125">
        <v>1.0456548853683276</v>
      </c>
      <c r="L125" s="97"/>
    </row>
    <row r="126" spans="1:12" ht="12.75">
      <c r="A126" s="90">
        <v>41365</v>
      </c>
      <c r="B126" s="85">
        <v>39718616.666666664</v>
      </c>
      <c r="C126" s="97">
        <f>+WMP!B42*K126</f>
        <v>375936.14482836897</v>
      </c>
      <c r="D126" s="97"/>
      <c r="E126" s="97">
        <f>+CDM!C102*K126</f>
        <v>1025258.0470838972</v>
      </c>
      <c r="I126" s="154">
        <f t="shared" si="1"/>
        <v>41119810.858578935</v>
      </c>
      <c r="K126">
        <v>1.0456548853683276</v>
      </c>
      <c r="L126" s="97"/>
    </row>
    <row r="127" spans="1:12" ht="12.75">
      <c r="A127" s="90">
        <v>41395</v>
      </c>
      <c r="B127" s="85">
        <v>40198400.000000007</v>
      </c>
      <c r="C127" s="97">
        <f>+WMP!B43*K127</f>
        <v>415793.90537794505</v>
      </c>
      <c r="D127" s="97"/>
      <c r="E127" s="97">
        <f>+CDM!C103*K127</f>
        <v>1041946.4158561775</v>
      </c>
      <c r="I127" s="154">
        <f t="shared" si="1"/>
        <v>41656140.321234129</v>
      </c>
      <c r="K127">
        <v>1.0456548853683276</v>
      </c>
      <c r="L127" s="97"/>
    </row>
    <row r="128" spans="1:12" ht="12.75">
      <c r="A128" s="90">
        <v>41426</v>
      </c>
      <c r="B128" s="85">
        <v>43010141.666666672</v>
      </c>
      <c r="C128" s="97">
        <f>+WMP!B44*K128</f>
        <v>425751.83369954041</v>
      </c>
      <c r="D128" s="97"/>
      <c r="E128" s="97">
        <f>+CDM!C104*K128</f>
        <v>1058634.7846284579</v>
      </c>
      <c r="I128" s="154">
        <f t="shared" si="1"/>
        <v>44494528.284994669</v>
      </c>
      <c r="K128">
        <v>1.0456548853683276</v>
      </c>
      <c r="L128" s="97"/>
    </row>
    <row r="129" spans="1:12" ht="12.75">
      <c r="A129" s="90">
        <v>41456</v>
      </c>
      <c r="B129" s="85">
        <v>48990725.000000007</v>
      </c>
      <c r="C129" s="97">
        <f>+WMP!B45*K129</f>
        <v>465048.29716319969</v>
      </c>
      <c r="D129" s="97"/>
      <c r="E129" s="97">
        <f>+CDM!C105*K129</f>
        <v>1075323.1534007383</v>
      </c>
      <c r="I129" s="154">
        <f t="shared" si="1"/>
        <v>50531096.450563952</v>
      </c>
      <c r="K129">
        <v>1.0456548853683276</v>
      </c>
      <c r="L129" s="97"/>
    </row>
    <row r="130" spans="1:12" ht="12.75">
      <c r="A130" s="90">
        <v>41487</v>
      </c>
      <c r="B130" s="85">
        <v>46219941.666666672</v>
      </c>
      <c r="C130" s="97">
        <f>+WMP!B46*K130</f>
        <v>454768.16074522684</v>
      </c>
      <c r="D130" s="97"/>
      <c r="E130" s="97">
        <f>+CDM!C106*K130</f>
        <v>1092011.5221730184</v>
      </c>
      <c r="I130" s="154">
        <f t="shared" si="1"/>
        <v>47766721.349584915</v>
      </c>
      <c r="K130">
        <v>1.0456548853683276</v>
      </c>
      <c r="L130" s="97"/>
    </row>
    <row r="131" spans="1:12" ht="12.75">
      <c r="A131" s="90">
        <v>41518</v>
      </c>
      <c r="B131" s="85">
        <v>41314550</v>
      </c>
      <c r="C131" s="97">
        <f>+WMP!B47*K131</f>
        <v>409320.2036998854</v>
      </c>
      <c r="D131" s="97"/>
      <c r="E131" s="97">
        <f>+CDM!C107*K131</f>
        <v>1108699.8909452988</v>
      </c>
      <c r="I131" s="154">
        <f t="shared" si="1"/>
        <v>42832570.094645187</v>
      </c>
      <c r="K131">
        <v>1.0456548853683276</v>
      </c>
      <c r="L131" s="97"/>
    </row>
    <row r="132" spans="1:12" ht="12.75">
      <c r="A132" s="90">
        <v>41548</v>
      </c>
      <c r="B132" s="85">
        <v>41949783.333333336</v>
      </c>
      <c r="C132" s="97">
        <f>+WMP!B48*K132</f>
        <v>394971.77964560554</v>
      </c>
      <c r="D132" s="97"/>
      <c r="E132" s="97">
        <f>+CDM!C108*K132</f>
        <v>1125388.2597175792</v>
      </c>
      <c r="I132" s="154">
        <f t="shared" si="2" ref="I132:I145">SUM(B132:H132)</f>
        <v>43470143.372696519</v>
      </c>
      <c r="K132">
        <v>1.0456548853683276</v>
      </c>
      <c r="L132" s="97"/>
    </row>
    <row r="133" spans="1:12" ht="12.75">
      <c r="A133" s="90">
        <v>41579</v>
      </c>
      <c r="B133" s="85">
        <v>43942525</v>
      </c>
      <c r="C133" s="97">
        <f>+WMP!B49*K133</f>
        <v>370526.52247475792</v>
      </c>
      <c r="D133" s="97"/>
      <c r="E133" s="97">
        <f>+CDM!C109*K133</f>
        <v>1142076.6284898599</v>
      </c>
      <c r="I133" s="154">
        <f t="shared" si="2"/>
        <v>45455128.150964618</v>
      </c>
      <c r="K133">
        <v>1.0456548853683276</v>
      </c>
      <c r="L133" s="97"/>
    </row>
    <row r="134" spans="1:12" ht="12.75">
      <c r="A134" s="90">
        <v>41609</v>
      </c>
      <c r="B134" s="85">
        <v>44817991.666666664</v>
      </c>
      <c r="C134" s="97">
        <f>+WMP!B50*K134</f>
        <v>387555.54556697269</v>
      </c>
      <c r="D134" s="97"/>
      <c r="E134" s="97">
        <f>+CDM!C110*K134</f>
        <v>1158764.9972621403</v>
      </c>
      <c r="I134" s="154">
        <f t="shared" si="2"/>
        <v>46364312.209495783</v>
      </c>
      <c r="K134">
        <v>1.0456548853683276</v>
      </c>
      <c r="L134" s="97"/>
    </row>
    <row r="135" spans="1:12" ht="12.75">
      <c r="A135" s="90">
        <v>41640</v>
      </c>
      <c r="B135" s="85">
        <v>49818208.333333336</v>
      </c>
      <c r="C135" s="97">
        <f>+WMP!B51*K135</f>
        <v>386120.98273985565</v>
      </c>
      <c r="D135" s="97"/>
      <c r="E135" s="97">
        <f>+CDM!C111*K135</f>
        <v>1186462.269783621</v>
      </c>
      <c r="I135" s="154">
        <f t="shared" si="2"/>
        <v>51390791.585856818</v>
      </c>
      <c r="K135">
        <v>1.0535554520274155</v>
      </c>
      <c r="L135" s="97"/>
    </row>
    <row r="136" spans="1:12" ht="12.75">
      <c r="A136" s="90">
        <v>41671</v>
      </c>
      <c r="B136" s="85">
        <v>43710325</v>
      </c>
      <c r="C136" s="97">
        <f>+WMP!B52*K136</f>
        <v>340973.78219182283</v>
      </c>
      <c r="D136" s="97"/>
      <c r="E136" s="97">
        <f>+CDM!C112*K136</f>
        <v>1207531.988716281</v>
      </c>
      <c r="I136" s="154">
        <f t="shared" si="2"/>
        <v>45258830.770908102</v>
      </c>
      <c r="K136">
        <v>1.0535554520274155</v>
      </c>
      <c r="L136" s="97"/>
    </row>
    <row r="137" spans="1:12" ht="12.75">
      <c r="A137" s="90">
        <v>41699</v>
      </c>
      <c r="B137" s="85">
        <v>46032208.333333336</v>
      </c>
      <c r="C137" s="97">
        <f>+WMP!B53*K137</f>
        <v>365873.5012094843</v>
      </c>
      <c r="D137" s="97"/>
      <c r="E137" s="97">
        <f>+CDM!C113*K137</f>
        <v>1228601.7076489411</v>
      </c>
      <c r="I137" s="154">
        <f t="shared" si="2"/>
        <v>47626683.542191759</v>
      </c>
      <c r="K137">
        <v>1.0535554520274155</v>
      </c>
      <c r="L137" s="97"/>
    </row>
    <row r="138" spans="1:12" ht="12.75">
      <c r="A138" s="90">
        <v>41730</v>
      </c>
      <c r="B138" s="85">
        <v>40510400.000000007</v>
      </c>
      <c r="C138" s="97">
        <f>+WMP!B54*K138</f>
        <v>360420.2560475723</v>
      </c>
      <c r="D138" s="97"/>
      <c r="E138" s="97">
        <f>+CDM!C114*K138</f>
        <v>1249671.4265816014</v>
      </c>
      <c r="I138" s="154">
        <f t="shared" si="2"/>
        <v>42120491.682629175</v>
      </c>
      <c r="K138">
        <v>1.0535554520274155</v>
      </c>
      <c r="L138" s="97"/>
    </row>
    <row r="139" spans="1:12" ht="12.75">
      <c r="A139" s="90">
        <v>41760</v>
      </c>
      <c r="B139" s="85">
        <v>40106715.384615391</v>
      </c>
      <c r="C139" s="97">
        <f>+WMP!B55*K139</f>
        <v>403467.76272193255</v>
      </c>
      <c r="D139" s="97"/>
      <c r="E139" s="97">
        <f>+CDM!C115*K139</f>
        <v>1270741.1455142614</v>
      </c>
      <c r="I139" s="154">
        <f t="shared" si="2"/>
        <v>41780924.29285159</v>
      </c>
      <c r="K139">
        <v>1.0535554520274155</v>
      </c>
      <c r="L139" s="97"/>
    </row>
    <row r="140" spans="1:12" ht="12.75">
      <c r="A140" s="90">
        <v>41791</v>
      </c>
      <c r="B140" s="85">
        <v>44371569.230769232</v>
      </c>
      <c r="C140" s="97">
        <f>+WMP!B56*K140</f>
        <v>429765.48661110719</v>
      </c>
      <c r="D140" s="97"/>
      <c r="E140" s="97">
        <f>+CDM!C116*K140</f>
        <v>1291810.8644469217</v>
      </c>
      <c r="I140" s="154">
        <f t="shared" si="2"/>
        <v>46093145.581827261</v>
      </c>
      <c r="K140">
        <v>1.0535554520274155</v>
      </c>
      <c r="L140" s="97"/>
    </row>
    <row r="141" spans="1:12" ht="12.75">
      <c r="A141" s="90">
        <v>41821</v>
      </c>
      <c r="B141" s="85">
        <v>45905092.307692312</v>
      </c>
      <c r="C141" s="97">
        <f>+WMP!B57*K141</f>
        <v>443149.12812040158</v>
      </c>
      <c r="D141" s="97"/>
      <c r="E141" s="97">
        <f>+CDM!C117*K141</f>
        <v>1312880.5833795818</v>
      </c>
      <c r="I141" s="154">
        <f t="shared" si="2"/>
        <v>47661122.019192293</v>
      </c>
      <c r="K141">
        <v>1.0535554520274155</v>
      </c>
      <c r="L141" s="97"/>
    </row>
    <row r="142" spans="1:12" ht="12.75">
      <c r="A142" s="90">
        <v>41852</v>
      </c>
      <c r="B142" s="85">
        <v>45108330.769230776</v>
      </c>
      <c r="C142" s="97">
        <f>+WMP!B58*K142</f>
        <v>444939.30847337755</v>
      </c>
      <c r="D142" s="97"/>
      <c r="E142" s="97">
        <f>+CDM!C118*K142</f>
        <v>1333950.3023122421</v>
      </c>
      <c r="I142" s="154">
        <f t="shared" si="2"/>
        <v>46887220.380016394</v>
      </c>
      <c r="K142">
        <v>1.0535554520274155</v>
      </c>
      <c r="L142" s="97"/>
    </row>
    <row r="143" spans="1:12" ht="12.75">
      <c r="A143" s="90">
        <v>41883</v>
      </c>
      <c r="B143" s="85">
        <v>42012569.230769232</v>
      </c>
      <c r="C143" s="97">
        <f>+WMP!B59*K143</f>
        <v>405700.22565366956</v>
      </c>
      <c r="D143" s="97"/>
      <c r="E143" s="97">
        <f>+CDM!C119*K143</f>
        <v>1355020.0212449022</v>
      </c>
      <c r="I143" s="154">
        <f t="shared" si="2"/>
        <v>43773289.477667809</v>
      </c>
      <c r="K143">
        <v>1.0535554520274155</v>
      </c>
      <c r="L143" s="97"/>
    </row>
    <row r="144" spans="1:12" ht="12.75">
      <c r="A144" s="90">
        <v>41913</v>
      </c>
      <c r="B144" s="85">
        <v>41451569.230769232</v>
      </c>
      <c r="C144" s="97">
        <f>+WMP!B60*K144</f>
        <v>383909.50663272297</v>
      </c>
      <c r="D144" s="212"/>
      <c r="E144" s="97">
        <f>+CDM!C120*K144</f>
        <v>1376089.7401775622</v>
      </c>
      <c r="I144" s="154">
        <f t="shared" si="2"/>
        <v>43211568.477579519</v>
      </c>
      <c r="K144">
        <v>1.0535554520274155</v>
      </c>
      <c r="L144" s="97"/>
    </row>
    <row r="145" spans="1:12" ht="12.75">
      <c r="A145" s="90">
        <v>41944</v>
      </c>
      <c r="B145" s="85">
        <v>43930638.461538464</v>
      </c>
      <c r="C145" s="97">
        <f>+WMP!B61*K145</f>
        <v>383146.96426765458</v>
      </c>
      <c r="D145" s="212"/>
      <c r="E145" s="97">
        <f>+CDM!C121*K145</f>
        <v>1397159.4591102225</v>
      </c>
      <c r="I145" s="154">
        <f t="shared" si="2"/>
        <v>45710944.884916343</v>
      </c>
      <c r="K145">
        <v>1.0535554520274155</v>
      </c>
      <c r="L145" s="97"/>
    </row>
    <row r="146" spans="1:12" ht="12.75">
      <c r="A146" s="90">
        <v>41974</v>
      </c>
      <c r="B146" s="85">
        <f>46542.09*1000</f>
        <v>46542090</v>
      </c>
      <c r="C146" s="97">
        <f>+WMP!B62*K146</f>
        <v>357289.82673296327</v>
      </c>
      <c r="D146" s="212"/>
      <c r="E146" s="97">
        <f>+CDM!C122*K146</f>
        <v>1418229.1780428826</v>
      </c>
      <c r="I146" s="154">
        <f>SUM(B146:H146)</f>
        <v>48317609.004775845</v>
      </c>
      <c r="K146">
        <v>1.0535554520274155</v>
      </c>
      <c r="L146" s="97"/>
    </row>
    <row r="147" spans="2:12" ht="12.75">
      <c r="B147" s="154"/>
      <c r="D147" s="32"/>
      <c r="L147" s="97"/>
    </row>
    <row r="148" ht="12.75">
      <c r="L148" s="97"/>
    </row>
    <row r="149" spans="13:16" ht="12.75">
      <c r="M149" s="329"/>
      <c r="N149" s="330"/>
      <c r="O149" s="330"/>
      <c r="P149" s="330"/>
    </row>
    <row r="150" spans="1:16" ht="12.75">
      <c r="A150" s="17">
        <v>2003</v>
      </c>
      <c r="B150" s="6">
        <f>SUM(B3:B14)</f>
        <v>462324178</v>
      </c>
      <c r="C150" s="6">
        <f>SUM(C3:C14)</f>
        <v>0</v>
      </c>
      <c r="E150" s="73">
        <f>SUM(E3:E14)</f>
        <v>0</v>
      </c>
      <c r="I150" s="6">
        <f>SUM(I3:I14)</f>
        <v>462324178</v>
      </c>
      <c r="M150" s="161"/>
      <c r="N150" s="161"/>
      <c r="O150" s="4"/>
      <c r="P150" s="4"/>
    </row>
    <row r="151" spans="1:16" ht="12.75">
      <c r="A151">
        <v>2004</v>
      </c>
      <c r="B151" s="6">
        <f>SUM(B15:B26)</f>
        <v>468337202</v>
      </c>
      <c r="C151" s="6">
        <f>SUM(C15:C26)</f>
        <v>0</v>
      </c>
      <c r="E151" s="73">
        <f>SUM(E15:E26)</f>
        <v>0</v>
      </c>
      <c r="I151" s="6">
        <f>SUM(I15:I26)</f>
        <v>468337202</v>
      </c>
      <c r="N151" s="325"/>
      <c r="O151" s="325"/>
      <c r="P151" s="220"/>
    </row>
    <row r="152" spans="1:16" ht="12.75">
      <c r="A152" s="17">
        <v>2005</v>
      </c>
      <c r="B152" s="6">
        <f>SUM(B27:B38)</f>
        <v>495175531</v>
      </c>
      <c r="C152" s="6">
        <f>SUM(C27:C38)</f>
        <v>0</v>
      </c>
      <c r="E152" s="73">
        <f>SUM(E27:E38)</f>
        <v>0</v>
      </c>
      <c r="I152" s="6">
        <f>SUM(I27:I38)</f>
        <v>495175531</v>
      </c>
      <c r="N152" s="325"/>
      <c r="O152" s="325"/>
      <c r="P152" s="220"/>
    </row>
    <row r="153" spans="1:16" ht="12.75">
      <c r="A153">
        <v>2006</v>
      </c>
      <c r="B153" s="6">
        <f>SUM(B39:B50)</f>
        <v>493166269</v>
      </c>
      <c r="C153" s="6">
        <f>SUM(C39:C50)</f>
        <v>0</v>
      </c>
      <c r="E153" s="73">
        <f>SUM(E39:E50)</f>
        <v>1001067.1280426557</v>
      </c>
      <c r="I153" s="6">
        <f>SUM(I39:I50)</f>
        <v>494167336.1280427</v>
      </c>
      <c r="N153" s="325"/>
      <c r="O153" s="325"/>
      <c r="P153" s="220"/>
    </row>
    <row r="154" spans="1:16" ht="12.75">
      <c r="A154" s="17">
        <v>2007</v>
      </c>
      <c r="B154" s="6">
        <f>SUM(B51:B62)</f>
        <v>512386673</v>
      </c>
      <c r="C154" s="6">
        <f>SUM(C51:C62)</f>
        <v>0</v>
      </c>
      <c r="E154" s="73">
        <f>SUM(E51:E62)</f>
        <v>2855984.5354400463</v>
      </c>
      <c r="I154" s="6">
        <f>SUM(I51:I62)</f>
        <v>515242657.53544003</v>
      </c>
      <c r="N154" s="325"/>
      <c r="O154" s="325"/>
      <c r="P154" s="220"/>
    </row>
    <row r="155" spans="1:16" ht="12.75">
      <c r="A155">
        <v>2008</v>
      </c>
      <c r="B155" s="6">
        <f>SUM(B63:B74)</f>
        <v>507787443</v>
      </c>
      <c r="C155" s="6">
        <f>SUM(C63:C74)</f>
        <v>0</v>
      </c>
      <c r="E155" s="73">
        <f>SUM(E63:E74)</f>
        <v>4101425.3436478577</v>
      </c>
      <c r="I155" s="6">
        <f>SUM(I63:I74)</f>
        <v>511888868.34364784</v>
      </c>
      <c r="N155" s="325"/>
      <c r="O155" s="325"/>
      <c r="P155" s="220"/>
    </row>
    <row r="156" spans="1:16" ht="12.75">
      <c r="A156" s="17">
        <v>2009</v>
      </c>
      <c r="B156" s="6">
        <f>SUM(B75:B86)</f>
        <v>499800409</v>
      </c>
      <c r="C156" s="6">
        <f>SUM(C75:C86)</f>
        <v>430142.24112391949</v>
      </c>
      <c r="E156" s="73">
        <f>SUM(E75:E86)</f>
        <v>5967071.1864526086</v>
      </c>
      <c r="I156" s="6">
        <f>SUM(I75:I86)</f>
        <v>506197622.42757654</v>
      </c>
      <c r="N156" s="325"/>
      <c r="O156" s="325"/>
      <c r="P156" s="220"/>
    </row>
    <row r="157" spans="1:16" ht="12.75">
      <c r="A157">
        <v>2010</v>
      </c>
      <c r="B157" s="6">
        <f>SUM(B87:B98)</f>
        <v>520540576.92307693</v>
      </c>
      <c r="C157" s="6">
        <f>SUM(C87:C98)</f>
        <v>5114574.1474316586</v>
      </c>
      <c r="E157" s="73">
        <f>SUM(E87:E98)</f>
        <v>7647847.2037747763</v>
      </c>
      <c r="I157" s="6">
        <f>SUM(I87:I98)</f>
        <v>533302998.27428335</v>
      </c>
      <c r="N157" s="325"/>
      <c r="O157" s="325"/>
      <c r="P157" s="220"/>
    </row>
    <row r="158" spans="1:16" ht="12.75">
      <c r="A158">
        <v>2011</v>
      </c>
      <c r="B158" s="6">
        <f>SUM(B99:B110)</f>
        <v>519240438.46153849</v>
      </c>
      <c r="C158" s="6">
        <f>SUM(C99:C110)</f>
        <v>5048390.9927589791</v>
      </c>
      <c r="E158" s="73">
        <f>SUM(E99:E110)</f>
        <v>8765537.9494381472</v>
      </c>
      <c r="I158" s="6">
        <f>SUM(I99:I110)</f>
        <v>533054367.40373558</v>
      </c>
      <c r="N158" s="325"/>
      <c r="O158" s="325"/>
      <c r="P158" s="220"/>
    </row>
    <row r="159" spans="1:16" ht="12.75">
      <c r="A159">
        <v>2012</v>
      </c>
      <c r="B159" s="6">
        <f>SUM(B111:B122)</f>
        <v>512071040.55944055</v>
      </c>
      <c r="C159" s="6">
        <f>SUM(C111:C122)</f>
        <v>4755994.9603173342</v>
      </c>
      <c r="E159" s="73">
        <f>SUM(E111:E122)</f>
        <v>10589467.258256143</v>
      </c>
      <c r="I159" s="6">
        <f>SUM(I111:I122)</f>
        <v>527416502.77801406</v>
      </c>
      <c r="N159" s="325"/>
      <c r="O159" s="325"/>
      <c r="P159" s="220"/>
    </row>
    <row r="160" spans="1:15" ht="12.75">
      <c r="A160" s="17">
        <v>2013</v>
      </c>
      <c r="B160" s="6">
        <f>SUM(B123:B134)</f>
        <v>518517966.66666669</v>
      </c>
      <c r="C160" s="6">
        <f>SUM(C123:C134)</f>
        <v>4815761.1068183025</v>
      </c>
      <c r="E160" s="73">
        <f>SUM(E123:E134)</f>
        <v>12803747.628175177</v>
      </c>
      <c r="I160" s="6">
        <f>SUM(I123:I134)</f>
        <v>536137475.4016602</v>
      </c>
      <c r="N160" s="325"/>
      <c r="O160" s="325"/>
    </row>
    <row r="161" spans="1:9" ht="12.75">
      <c r="A161">
        <v>2014</v>
      </c>
      <c r="B161" s="6">
        <f>SUM(B135:B146)</f>
        <v>529499716.28205132</v>
      </c>
      <c r="C161" s="6">
        <f>SUM(C135:C146)</f>
        <v>4704756.7314025639</v>
      </c>
      <c r="E161" s="73">
        <f>SUM(E135:E146)</f>
        <v>15628148.686959021</v>
      </c>
      <c r="I161" s="6">
        <f>SUM(I135:I146)</f>
        <v>549832621.70041287</v>
      </c>
    </row>
    <row r="162" spans="1:2" ht="12.75">
      <c r="A162" s="17"/>
      <c r="B162" s="6"/>
    </row>
    <row r="163" ht="12.75">
      <c r="B163" s="6"/>
    </row>
  </sheetData>
  <mergeCells count="1">
    <mergeCell ref="M149:P149"/>
  </mergeCells>
  <pageMargins left="0.7" right="0.7" top="0.75" bottom="0.75" header="0.3" footer="0.3"/>
  <pageSetup orientation="portrait" r:id="rId1"/>
  <ignoredErrors>
    <ignoredError sqref="B150:B161 I3:I3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204"/>
  <sheetViews>
    <sheetView zoomScale="90" zoomScaleNormal="90" workbookViewId="0" topLeftCell="A119">
      <selection pane="topLeft" activeCell="A1" sqref="A1"/>
    </sheetView>
  </sheetViews>
  <sheetFormatPr defaultColWidth="9.14285714285714" defaultRowHeight="12.75"/>
  <cols>
    <col min="1" max="1" width="11.8571428571429" customWidth="1"/>
    <col min="2" max="2" width="18" style="6" customWidth="1"/>
    <col min="3" max="3" width="11.7142857142857" style="1" customWidth="1"/>
    <col min="4" max="4" width="13.4285714285714" style="1" customWidth="1"/>
    <col min="5" max="5" width="14.4285714285714" style="35" customWidth="1"/>
    <col min="6" max="6" width="10.1428571428571" style="1" customWidth="1"/>
    <col min="7" max="7" width="12.4285714285714" style="1" customWidth="1"/>
    <col min="8" max="8" width="12.8571428571429" style="1" bestFit="1" customWidth="1"/>
    <col min="9" max="9" width="12.4285714285714" style="1" customWidth="1"/>
    <col min="10" max="11" width="13" style="1" customWidth="1"/>
    <col min="12" max="12" width="13.8571428571429" style="1" customWidth="1"/>
    <col min="13" max="13" width="14.1428571428571" style="1" customWidth="1"/>
    <col min="14" max="14" width="14.4285714285714" style="1" customWidth="1"/>
    <col min="15" max="15" width="15.4285714285714" style="1" bestFit="1" customWidth="1"/>
    <col min="16" max="16" width="15.5714285714286" style="1" customWidth="1"/>
    <col min="17" max="17" width="26.4285714285714" style="1" customWidth="1"/>
    <col min="18" max="18" width="25.8571428571429" bestFit="1" customWidth="1"/>
    <col min="19" max="19" width="18" customWidth="1"/>
    <col min="20" max="20" width="25.7142857142857" bestFit="1" customWidth="1"/>
    <col min="21" max="21" width="24.1428571428571" bestFit="1" customWidth="1"/>
    <col min="22" max="22" width="20" customWidth="1"/>
    <col min="23" max="23" width="16.4285714285714" customWidth="1"/>
    <col min="24" max="24" width="8" customWidth="1"/>
    <col min="25" max="25" width="7" customWidth="1"/>
    <col min="26" max="26" width="14.5714285714286" bestFit="1" customWidth="1"/>
    <col min="27" max="27" width="11.8571428571429" bestFit="1" customWidth="1"/>
    <col min="28" max="28" width="12.5714285714286" style="6" customWidth="1"/>
    <col min="29" max="29" width="22.4285714285714" style="6" bestFit="1" customWidth="1"/>
    <col min="30" max="30" width="5.28571428571429" style="6" customWidth="1"/>
    <col min="31" max="31" width="13.2857142857143" style="6" customWidth="1"/>
    <col min="32" max="32" width="12.5714285714286" style="6" customWidth="1"/>
    <col min="33" max="33" width="12.1428571428571" style="6" customWidth="1"/>
    <col min="34" max="34" width="22.5714285714286" style="6" customWidth="1"/>
  </cols>
  <sheetData>
    <row r="1" spans="28:34" ht="12.75">
      <c r="AB1" s="332" t="s">
        <v>162</v>
      </c>
      <c r="AC1" s="332"/>
      <c r="AD1" s="332"/>
      <c r="AE1" s="332"/>
      <c r="AF1" s="332"/>
      <c r="AG1" s="332"/>
      <c r="AH1" s="332"/>
    </row>
    <row r="2" spans="1:44" ht="38.25">
      <c r="A2" s="89" t="s">
        <v>95</v>
      </c>
      <c r="B2" s="72" t="s">
        <v>0</v>
      </c>
      <c r="C2" s="80" t="s">
        <v>3</v>
      </c>
      <c r="D2" s="80" t="s">
        <v>4</v>
      </c>
      <c r="E2" s="80" t="s">
        <v>5</v>
      </c>
      <c r="F2" s="80" t="s">
        <v>146</v>
      </c>
      <c r="G2" s="80" t="s">
        <v>77</v>
      </c>
      <c r="H2" s="80" t="s">
        <v>6</v>
      </c>
      <c r="I2" s="80" t="s">
        <v>147</v>
      </c>
      <c r="J2" s="80" t="s">
        <v>148</v>
      </c>
      <c r="K2" s="80" t="s">
        <v>149</v>
      </c>
      <c r="L2" s="80" t="s">
        <v>94</v>
      </c>
      <c r="M2" s="81" t="s">
        <v>7</v>
      </c>
      <c r="N2" s="80" t="s">
        <v>212</v>
      </c>
      <c r="O2" s="80" t="s">
        <v>12</v>
      </c>
      <c r="P2" s="80" t="s">
        <v>14</v>
      </c>
      <c r="Q2" s="80"/>
      <c r="R2" s="219" t="s">
        <v>176</v>
      </c>
      <c r="Z2" s="95" t="s">
        <v>177</v>
      </c>
      <c r="AB2" s="182" t="s">
        <v>144</v>
      </c>
      <c r="AC2" s="182" t="s">
        <v>145</v>
      </c>
      <c r="AD2" s="182"/>
      <c r="AE2" s="183" t="s">
        <v>144</v>
      </c>
      <c r="AF2" s="331" t="s">
        <v>161</v>
      </c>
      <c r="AG2" s="331"/>
      <c r="AH2" s="331"/>
      <c r="AM2" s="207"/>
      <c r="AN2" s="208"/>
      <c r="AO2" s="207"/>
      <c r="AP2" s="207"/>
      <c r="AQ2" s="207"/>
      <c r="AR2" s="32"/>
    </row>
    <row r="3" spans="1:44" ht="12.75">
      <c r="A3" s="90">
        <v>37622</v>
      </c>
      <c r="B3" s="153">
        <f>+'Power Purchases'!I3</f>
        <v>42639100</v>
      </c>
      <c r="C3" s="84">
        <v>814.50</v>
      </c>
      <c r="D3" s="84">
        <v>0</v>
      </c>
      <c r="E3" s="87">
        <v>31</v>
      </c>
      <c r="F3" s="86">
        <v>0</v>
      </c>
      <c r="G3" s="87">
        <v>21747.583333333332</v>
      </c>
      <c r="H3" s="87">
        <v>351.91199999999998</v>
      </c>
      <c r="I3" s="87">
        <v>0</v>
      </c>
      <c r="J3" s="87">
        <v>0</v>
      </c>
      <c r="K3" s="184">
        <v>49723.416666666664</v>
      </c>
      <c r="L3" s="186">
        <v>65</v>
      </c>
      <c r="M3" s="185">
        <v>0.84605671523574166</v>
      </c>
      <c r="N3" s="248">
        <v>290</v>
      </c>
      <c r="O3" s="91">
        <f>+$S$19+C3*$S$20+D3*$S$21+E3*$S$22+F3*$S$23+G3*$S$24+H3*$S$25+I3*$S$26+J3*$S$27</f>
        <v>42610107.485142834</v>
      </c>
      <c r="P3" s="88">
        <f>+(O3-B3)/B3</f>
        <v>-0.00067995137930128725</v>
      </c>
      <c r="Q3"/>
      <c r="R3" t="s">
        <v>28</v>
      </c>
      <c r="Z3" s="220">
        <f t="shared" si="0" ref="Z3:Z67">ABS(P3)</f>
        <v>0.00067995137930128725</v>
      </c>
      <c r="AB3" s="167">
        <f>+B3-O3</f>
        <v>28992.514857165515</v>
      </c>
      <c r="AC3" s="167">
        <f>+AB3*AB3</f>
        <v>840565917.74296319</v>
      </c>
      <c r="AD3" s="167"/>
      <c r="AE3" s="73">
        <f>+AB3</f>
        <v>28992.514857165515</v>
      </c>
      <c r="AF3" s="73"/>
      <c r="AG3" s="73"/>
      <c r="AH3" s="73"/>
      <c r="AI3" s="6"/>
      <c r="AM3" s="130"/>
      <c r="AN3" s="209"/>
      <c r="AO3" s="130"/>
      <c r="AP3" s="130"/>
      <c r="AQ3" s="130"/>
      <c r="AR3" s="32"/>
    </row>
    <row r="4" spans="1:44" ht="13.5" thickBot="1">
      <c r="A4" s="90">
        <v>37653</v>
      </c>
      <c r="B4" s="153">
        <f>+'Power Purchases'!I4</f>
        <v>38371356</v>
      </c>
      <c r="C4" s="84">
        <v>699</v>
      </c>
      <c r="D4" s="84">
        <v>0</v>
      </c>
      <c r="E4" s="87">
        <v>28</v>
      </c>
      <c r="F4" s="86">
        <v>0</v>
      </c>
      <c r="G4" s="87">
        <v>21794.166666666664</v>
      </c>
      <c r="H4" s="87">
        <v>303.83999999999997</v>
      </c>
      <c r="I4" s="87">
        <v>0</v>
      </c>
      <c r="J4" s="87">
        <v>0</v>
      </c>
      <c r="K4" s="184">
        <v>49841.833333333328</v>
      </c>
      <c r="L4" s="186">
        <v>64.900000000000006</v>
      </c>
      <c r="M4" s="185">
        <v>0.84843404982413839</v>
      </c>
      <c r="N4" s="248">
        <v>305</v>
      </c>
      <c r="O4" s="91">
        <f t="shared" si="1" ref="O4:O67">+$S$19+C4*$S$20+D4*$S$21+E4*$S$22+F4*$S$23+G4*$S$24+H4*$S$25+I4*$S$26+J4*$S$27</f>
        <v>37754197.047051378</v>
      </c>
      <c r="P4" s="88">
        <f t="shared" si="2" ref="P4:P67">+(O4-B4)/B4</f>
        <v>-0.016083845276372886</v>
      </c>
      <c r="Q4" s="10"/>
      <c r="Z4" s="220">
        <f t="shared" si="0"/>
        <v>0.016083845276372886</v>
      </c>
      <c r="AB4" s="167">
        <f t="shared" si="3" ref="AB4:AB67">+B4-O4</f>
        <v>617158.95294862241</v>
      </c>
      <c r="AC4" s="167">
        <f t="shared" si="4" ref="AC4:AC67">+AB4*AB4</f>
        <v>380885173204.63995</v>
      </c>
      <c r="AD4" s="73"/>
      <c r="AE4" s="73">
        <f t="shared" si="5" ref="AE4:AE67">+AB4</f>
        <v>617158.95294862241</v>
      </c>
      <c r="AF4" s="168">
        <f>+AE3</f>
        <v>28992.514857165515</v>
      </c>
      <c r="AG4" s="73">
        <f>+AE4-AF4</f>
        <v>588166.43809145689</v>
      </c>
      <c r="AH4" s="73">
        <f>+AG4*AG4</f>
        <v>345939758897.19159</v>
      </c>
      <c r="AI4" s="6"/>
      <c r="AM4" s="130"/>
      <c r="AN4" s="209"/>
      <c r="AO4" s="130"/>
      <c r="AP4" s="130"/>
      <c r="AQ4" s="130"/>
      <c r="AR4" s="32"/>
    </row>
    <row r="5" spans="1:44" ht="12.75">
      <c r="A5" s="90">
        <v>37681</v>
      </c>
      <c r="B5" s="153">
        <f>+'Power Purchases'!I5</f>
        <v>39445493</v>
      </c>
      <c r="C5" s="84">
        <v>581.10</v>
      </c>
      <c r="D5" s="84">
        <v>0</v>
      </c>
      <c r="E5" s="87">
        <v>31</v>
      </c>
      <c r="F5" s="86">
        <v>1</v>
      </c>
      <c r="G5" s="87">
        <v>21840.75</v>
      </c>
      <c r="H5" s="87">
        <v>336.28800000000001</v>
      </c>
      <c r="I5" s="87">
        <v>0</v>
      </c>
      <c r="J5" s="87">
        <v>0</v>
      </c>
      <c r="K5" s="184">
        <v>49960.249999999993</v>
      </c>
      <c r="L5" s="186">
        <v>64.80</v>
      </c>
      <c r="M5" s="185">
        <v>0.85081138441253523</v>
      </c>
      <c r="N5" s="248">
        <v>371</v>
      </c>
      <c r="O5" s="91">
        <f t="shared" si="1"/>
        <v>38371022.175781123</v>
      </c>
      <c r="P5" s="88">
        <f t="shared" si="2"/>
        <v>-0.027239381295573531</v>
      </c>
      <c r="Q5" s="10"/>
      <c r="R5" s="54" t="s">
        <v>29</v>
      </c>
      <c r="S5" s="54"/>
      <c r="Z5" s="220">
        <f t="shared" si="0"/>
        <v>0.027239381295573531</v>
      </c>
      <c r="AB5" s="167">
        <f t="shared" si="3"/>
        <v>1074470.8242188767</v>
      </c>
      <c r="AC5" s="167">
        <f t="shared" si="4"/>
        <v>1154487552097.592</v>
      </c>
      <c r="AD5" s="73"/>
      <c r="AE5" s="73">
        <f t="shared" si="5"/>
        <v>1074470.8242188767</v>
      </c>
      <c r="AF5" s="168">
        <f t="shared" si="6" ref="AF5:AF68">+AE4</f>
        <v>617158.95294862241</v>
      </c>
      <c r="AG5" s="73">
        <f t="shared" si="7" ref="AG5:AG68">+AE5-AF5</f>
        <v>457311.87127025425</v>
      </c>
      <c r="AH5" s="73">
        <f t="shared" si="8" ref="AH5:AH68">+AG5*AG5</f>
        <v>209134147604.7016</v>
      </c>
      <c r="AI5" s="6"/>
      <c r="AM5" s="130"/>
      <c r="AN5" s="209"/>
      <c r="AO5" s="130"/>
      <c r="AP5" s="130"/>
      <c r="AQ5" s="130"/>
      <c r="AR5" s="32"/>
    </row>
    <row r="6" spans="1:44" ht="12.75">
      <c r="A6" s="90">
        <v>37712</v>
      </c>
      <c r="B6" s="153">
        <f>+'Power Purchases'!I6</f>
        <v>36194811</v>
      </c>
      <c r="C6" s="84">
        <v>372.50</v>
      </c>
      <c r="D6" s="84">
        <v>2.40</v>
      </c>
      <c r="E6" s="87">
        <v>30</v>
      </c>
      <c r="F6" s="86">
        <v>1</v>
      </c>
      <c r="G6" s="87">
        <v>21887.333333333332</v>
      </c>
      <c r="H6" s="87">
        <v>336.24</v>
      </c>
      <c r="I6" s="87">
        <v>0</v>
      </c>
      <c r="J6" s="87">
        <v>0</v>
      </c>
      <c r="K6" s="184">
        <v>50078.666666666701</v>
      </c>
      <c r="L6" s="186">
        <v>65</v>
      </c>
      <c r="M6" s="185">
        <v>0.85318871900093207</v>
      </c>
      <c r="N6" s="248">
        <v>405</v>
      </c>
      <c r="O6" s="91">
        <f t="shared" si="1"/>
        <v>35548176.121479444</v>
      </c>
      <c r="P6" s="88">
        <f t="shared" si="2"/>
        <v>-0.017865402820325702</v>
      </c>
      <c r="Q6" s="10"/>
      <c r="R6" s="36" t="s">
        <v>30</v>
      </c>
      <c r="S6" s="326">
        <v>0.97183784995049971</v>
      </c>
      <c r="Z6" s="220">
        <f t="shared" si="0"/>
        <v>0.017865402820325702</v>
      </c>
      <c r="AB6" s="167">
        <f t="shared" si="3"/>
        <v>646634.87852055579</v>
      </c>
      <c r="AC6" s="167">
        <f t="shared" si="4"/>
        <v>418136666119.29395</v>
      </c>
      <c r="AD6" s="73"/>
      <c r="AE6" s="73">
        <f t="shared" si="5"/>
        <v>646634.87852055579</v>
      </c>
      <c r="AF6" s="168">
        <f t="shared" si="6"/>
        <v>1074470.8242188767</v>
      </c>
      <c r="AG6" s="73">
        <f t="shared" si="7"/>
        <v>-427835.94569832087</v>
      </c>
      <c r="AH6" s="73">
        <f t="shared" si="8"/>
        <v>183043596431.57657</v>
      </c>
      <c r="AI6" s="6"/>
      <c r="AM6" s="130"/>
      <c r="AN6" s="209"/>
      <c r="AO6" s="130"/>
      <c r="AP6" s="130"/>
      <c r="AQ6" s="130"/>
      <c r="AR6" s="32"/>
    </row>
    <row r="7" spans="1:44" ht="12.75">
      <c r="A7" s="90">
        <v>37742</v>
      </c>
      <c r="B7" s="153">
        <f>+'Power Purchases'!I7</f>
        <v>35263889</v>
      </c>
      <c r="C7" s="84">
        <v>177.90</v>
      </c>
      <c r="D7" s="84">
        <v>0</v>
      </c>
      <c r="E7" s="87">
        <v>31</v>
      </c>
      <c r="F7" s="86">
        <v>1</v>
      </c>
      <c r="G7" s="87">
        <v>21933.916666666661</v>
      </c>
      <c r="H7" s="87">
        <v>336.28800000000001</v>
      </c>
      <c r="I7" s="87">
        <v>0</v>
      </c>
      <c r="J7" s="87">
        <v>0</v>
      </c>
      <c r="K7" s="184">
        <v>50197.083333333321</v>
      </c>
      <c r="L7" s="186">
        <v>64.900000000000006</v>
      </c>
      <c r="M7" s="185">
        <v>0.8555660535893288</v>
      </c>
      <c r="N7" s="248">
        <v>457</v>
      </c>
      <c r="O7" s="91">
        <f t="shared" si="1"/>
        <v>34486467.863273472</v>
      </c>
      <c r="P7" s="88">
        <f t="shared" si="2"/>
        <v>-0.022045813969257005</v>
      </c>
      <c r="Q7" s="10"/>
      <c r="R7" s="36" t="s">
        <v>31</v>
      </c>
      <c r="S7" s="326">
        <v>0.94446880659640997</v>
      </c>
      <c r="Z7" s="220">
        <f t="shared" si="0"/>
        <v>0.022045813969257005</v>
      </c>
      <c r="AB7" s="167">
        <f t="shared" si="3"/>
        <v>777421.13672652841</v>
      </c>
      <c r="AC7" s="167">
        <f t="shared" si="4"/>
        <v>604383623829.1676</v>
      </c>
      <c r="AD7" s="73"/>
      <c r="AE7" s="73">
        <f t="shared" si="5"/>
        <v>777421.13672652841</v>
      </c>
      <c r="AF7" s="168">
        <f t="shared" si="6"/>
        <v>646634.87852055579</v>
      </c>
      <c r="AG7" s="73">
        <f t="shared" si="7"/>
        <v>130786.25820597261</v>
      </c>
      <c r="AH7" s="73">
        <f t="shared" si="8"/>
        <v>17105045335.519339</v>
      </c>
      <c r="AI7" s="6"/>
      <c r="AM7" s="130"/>
      <c r="AN7" s="209"/>
      <c r="AO7" s="130"/>
      <c r="AP7" s="130"/>
      <c r="AQ7" s="130"/>
      <c r="AR7" s="32"/>
    </row>
    <row r="8" spans="1:44" ht="12.75">
      <c r="A8" s="90">
        <v>37773</v>
      </c>
      <c r="B8" s="153">
        <f>+'Power Purchases'!I8</f>
        <v>37162377</v>
      </c>
      <c r="C8" s="84">
        <v>43.40</v>
      </c>
      <c r="D8" s="84">
        <v>52.90</v>
      </c>
      <c r="E8" s="87">
        <v>30</v>
      </c>
      <c r="F8" s="86">
        <v>0</v>
      </c>
      <c r="G8" s="87">
        <v>21980.499999999996</v>
      </c>
      <c r="H8" s="87">
        <v>336.24</v>
      </c>
      <c r="I8" s="87">
        <v>0</v>
      </c>
      <c r="J8" s="87">
        <v>0</v>
      </c>
      <c r="K8" s="184">
        <v>50315.499999999985</v>
      </c>
      <c r="L8" s="186">
        <v>65.20</v>
      </c>
      <c r="M8" s="185">
        <v>0.85794338817772564</v>
      </c>
      <c r="N8" s="248">
        <v>462</v>
      </c>
      <c r="O8" s="91">
        <f t="shared" si="1"/>
        <v>37257891.880513936</v>
      </c>
      <c r="P8" s="88">
        <f t="shared" si="2"/>
        <v>0.0025702037443389664</v>
      </c>
      <c r="Q8" s="10"/>
      <c r="R8" s="36" t="s">
        <v>32</v>
      </c>
      <c r="S8" s="326">
        <v>0.94117806920953062</v>
      </c>
      <c r="Z8" s="220">
        <f t="shared" si="0"/>
        <v>0.0025702037443389664</v>
      </c>
      <c r="AB8" s="167">
        <f t="shared" si="3"/>
        <v>-95514.880513936281</v>
      </c>
      <c r="AC8" s="167">
        <f t="shared" si="4"/>
        <v>9123092399.5915241</v>
      </c>
      <c r="AD8" s="73"/>
      <c r="AE8" s="73">
        <f t="shared" si="5"/>
        <v>-95514.880513936281</v>
      </c>
      <c r="AF8" s="168">
        <f t="shared" si="6"/>
        <v>777421.13672652841</v>
      </c>
      <c r="AG8" s="73">
        <f t="shared" si="7"/>
        <v>-872936.01724046469</v>
      </c>
      <c r="AH8" s="73">
        <f t="shared" si="8"/>
        <v>762017290195.6449</v>
      </c>
      <c r="AI8" s="6"/>
      <c r="AM8" s="130"/>
      <c r="AN8" s="209"/>
      <c r="AO8" s="130"/>
      <c r="AP8" s="130"/>
      <c r="AQ8" s="130"/>
      <c r="AR8" s="32"/>
    </row>
    <row r="9" spans="1:44" ht="12.75">
      <c r="A9" s="90">
        <v>37803</v>
      </c>
      <c r="B9" s="153">
        <f>+'Power Purchases'!I9</f>
        <v>41364810</v>
      </c>
      <c r="C9" s="84">
        <v>0.20</v>
      </c>
      <c r="D9" s="84">
        <v>118.30</v>
      </c>
      <c r="E9" s="87">
        <v>31</v>
      </c>
      <c r="F9" s="86">
        <v>0</v>
      </c>
      <c r="G9" s="87">
        <v>22027.083333333332</v>
      </c>
      <c r="H9" s="87">
        <v>351.91199999999998</v>
      </c>
      <c r="I9" s="87">
        <v>0</v>
      </c>
      <c r="J9" s="87">
        <v>0</v>
      </c>
      <c r="K9" s="184">
        <v>50433.91666666665</v>
      </c>
      <c r="L9" s="186">
        <v>65.400000000000006</v>
      </c>
      <c r="M9" s="185">
        <v>0.86032072276612248</v>
      </c>
      <c r="N9" s="248">
        <v>467</v>
      </c>
      <c r="O9" s="91">
        <f t="shared" si="1"/>
        <v>42159972.486116715</v>
      </c>
      <c r="P9" s="88">
        <f t="shared" si="2"/>
        <v>0.019223163024723544</v>
      </c>
      <c r="Q9" s="10"/>
      <c r="R9" s="36" t="s">
        <v>33</v>
      </c>
      <c r="S9" s="62">
        <v>888893.50073186785</v>
      </c>
      <c r="Z9" s="220">
        <f t="shared" si="0"/>
        <v>0.019223163024723544</v>
      </c>
      <c r="AB9" s="167">
        <f t="shared" si="3"/>
        <v>-795162.48611671478</v>
      </c>
      <c r="AC9" s="167">
        <f t="shared" si="4"/>
        <v>632283379327.31458</v>
      </c>
      <c r="AD9" s="73"/>
      <c r="AE9" s="73">
        <f t="shared" si="5"/>
        <v>-795162.48611671478</v>
      </c>
      <c r="AF9" s="168">
        <f t="shared" si="6"/>
        <v>-95514.880513936281</v>
      </c>
      <c r="AG9" s="73">
        <f t="shared" si="7"/>
        <v>-699647.60560277849</v>
      </c>
      <c r="AH9" s="73">
        <f t="shared" si="8"/>
        <v>489506772025.70111</v>
      </c>
      <c r="AI9" s="6"/>
      <c r="AM9" s="130"/>
      <c r="AN9" s="209"/>
      <c r="AO9" s="130"/>
      <c r="AP9" s="130"/>
      <c r="AQ9" s="130"/>
      <c r="AR9" s="32"/>
    </row>
    <row r="10" spans="1:44" ht="13.5" thickBot="1">
      <c r="A10" s="90">
        <v>37834</v>
      </c>
      <c r="B10" s="153">
        <f>+'Power Purchases'!I10</f>
        <v>39569947</v>
      </c>
      <c r="C10" s="84">
        <v>2</v>
      </c>
      <c r="D10" s="84">
        <v>128</v>
      </c>
      <c r="E10" s="87">
        <v>31</v>
      </c>
      <c r="F10" s="86">
        <v>0</v>
      </c>
      <c r="G10" s="87">
        <v>22073.666666666661</v>
      </c>
      <c r="H10" s="87">
        <v>319.92</v>
      </c>
      <c r="I10" s="87">
        <v>0</v>
      </c>
      <c r="J10" s="87">
        <v>0</v>
      </c>
      <c r="K10" s="184">
        <v>50552.333333333314</v>
      </c>
      <c r="L10" s="186">
        <v>65.400000000000006</v>
      </c>
      <c r="M10" s="185">
        <v>0.86269805735451932</v>
      </c>
      <c r="N10" s="248">
        <v>432</v>
      </c>
      <c r="O10" s="91">
        <f t="shared" si="1"/>
        <v>42243204.169343568</v>
      </c>
      <c r="P10" s="88">
        <f t="shared" si="2"/>
        <v>0.067557764718349719</v>
      </c>
      <c r="Q10" s="10"/>
      <c r="R10" s="52" t="s">
        <v>34</v>
      </c>
      <c r="S10" s="52">
        <v>144</v>
      </c>
      <c r="Z10" s="220">
        <f t="shared" si="0"/>
        <v>0.067557764718349719</v>
      </c>
      <c r="AB10" s="167">
        <f t="shared" si="3"/>
        <v>-2673257.1693435684</v>
      </c>
      <c r="AC10" s="167">
        <f t="shared" si="4"/>
        <v>7146303893446.7881</v>
      </c>
      <c r="AD10" s="73"/>
      <c r="AE10" s="73">
        <f t="shared" si="5"/>
        <v>-2673257.1693435684</v>
      </c>
      <c r="AF10" s="168">
        <f t="shared" si="6"/>
        <v>-795162.48611671478</v>
      </c>
      <c r="AG10" s="73">
        <f t="shared" si="7"/>
        <v>-1878094.6832268536</v>
      </c>
      <c r="AH10" s="73">
        <f t="shared" si="8"/>
        <v>3527239639164.9756</v>
      </c>
      <c r="AI10" s="6"/>
      <c r="AM10" s="130"/>
      <c r="AN10" s="209"/>
      <c r="AO10" s="130"/>
      <c r="AP10" s="130"/>
      <c r="AQ10" s="130"/>
      <c r="AR10" s="32"/>
    </row>
    <row r="11" spans="1:44" ht="12.75">
      <c r="A11" s="90">
        <v>37865</v>
      </c>
      <c r="B11" s="153">
        <f>+'Power Purchases'!I11</f>
        <v>35904689</v>
      </c>
      <c r="C11" s="84">
        <v>54.90</v>
      </c>
      <c r="D11" s="84">
        <v>24</v>
      </c>
      <c r="E11" s="87">
        <v>30</v>
      </c>
      <c r="F11" s="86">
        <v>0</v>
      </c>
      <c r="G11" s="87">
        <v>22120.249999999993</v>
      </c>
      <c r="H11" s="87">
        <v>336.24</v>
      </c>
      <c r="I11" s="87">
        <v>1</v>
      </c>
      <c r="J11" s="87">
        <v>0</v>
      </c>
      <c r="K11" s="184">
        <v>50670.749999999978</v>
      </c>
      <c r="L11" s="186">
        <v>64.900000000000006</v>
      </c>
      <c r="M11" s="185">
        <v>0.86507539194291605</v>
      </c>
      <c r="N11" s="248">
        <v>374</v>
      </c>
      <c r="O11" s="91">
        <f t="shared" si="1"/>
        <v>35075184.999919198</v>
      </c>
      <c r="P11" s="88">
        <f t="shared" si="2"/>
        <v>-0.023102943464593205</v>
      </c>
      <c r="Q11" s="10"/>
      <c r="Z11" s="220">
        <f t="shared" si="0"/>
        <v>0.023102943464593205</v>
      </c>
      <c r="AB11" s="167">
        <f t="shared" si="3"/>
        <v>829504.00008080155</v>
      </c>
      <c r="AC11" s="167">
        <f t="shared" si="4"/>
        <v>688076886150.05042</v>
      </c>
      <c r="AD11" s="73"/>
      <c r="AE11" s="73">
        <f t="shared" si="5"/>
        <v>829504.00008080155</v>
      </c>
      <c r="AF11" s="168">
        <f t="shared" si="6"/>
        <v>-2673257.1693435684</v>
      </c>
      <c r="AG11" s="73">
        <f t="shared" si="7"/>
        <v>3502761.1694243699</v>
      </c>
      <c r="AH11" s="73">
        <f t="shared" si="8"/>
        <v>12269335810027.18</v>
      </c>
      <c r="AI11" s="6"/>
      <c r="AM11" s="130"/>
      <c r="AN11" s="209"/>
      <c r="AO11" s="130"/>
      <c r="AP11" s="130"/>
      <c r="AQ11" s="130"/>
      <c r="AR11" s="32"/>
    </row>
    <row r="12" spans="1:44" ht="13.5" thickBot="1">
      <c r="A12" s="90">
        <v>37895</v>
      </c>
      <c r="B12" s="153">
        <f>+'Power Purchases'!I12</f>
        <v>37187656</v>
      </c>
      <c r="C12" s="84">
        <v>276</v>
      </c>
      <c r="D12" s="84">
        <v>0</v>
      </c>
      <c r="E12" s="87">
        <v>31</v>
      </c>
      <c r="F12" s="86">
        <v>0</v>
      </c>
      <c r="G12" s="87">
        <v>22166.833333333328</v>
      </c>
      <c r="H12" s="87">
        <v>351.91199999999998</v>
      </c>
      <c r="I12" s="87">
        <v>1</v>
      </c>
      <c r="J12" s="87">
        <v>0</v>
      </c>
      <c r="K12" s="184">
        <v>50789.166666666642</v>
      </c>
      <c r="L12" s="186">
        <v>64.599999999999994</v>
      </c>
      <c r="M12" s="185">
        <v>0.86745272653131289</v>
      </c>
      <c r="N12" s="248">
        <v>340</v>
      </c>
      <c r="O12" s="91">
        <f t="shared" si="1"/>
        <v>37133242.1797738</v>
      </c>
      <c r="P12" s="88">
        <f t="shared" si="2"/>
        <v>-0.0014632226410344316</v>
      </c>
      <c r="Q12" s="10"/>
      <c r="R12" t="s">
        <v>35</v>
      </c>
      <c r="Z12" s="220">
        <f t="shared" si="0"/>
        <v>0.0014632226410344316</v>
      </c>
      <c r="AB12" s="167">
        <f t="shared" si="3"/>
        <v>54413.820226199925</v>
      </c>
      <c r="AC12" s="167">
        <f t="shared" si="4"/>
        <v>2960863831.6092038</v>
      </c>
      <c r="AD12" s="73"/>
      <c r="AE12" s="73">
        <f t="shared" si="5"/>
        <v>54413.820226199925</v>
      </c>
      <c r="AF12" s="168">
        <f t="shared" si="6"/>
        <v>829504.00008080155</v>
      </c>
      <c r="AG12" s="73">
        <f t="shared" si="7"/>
        <v>-775090.17985460162</v>
      </c>
      <c r="AH12" s="73">
        <f t="shared" si="8"/>
        <v>600764786907.0387</v>
      </c>
      <c r="AI12" s="6"/>
      <c r="AM12" s="130"/>
      <c r="AN12" s="209"/>
      <c r="AO12" s="130"/>
      <c r="AP12" s="130"/>
      <c r="AQ12" s="130"/>
      <c r="AR12" s="32"/>
    </row>
    <row r="13" spans="1:44" ht="12.75">
      <c r="A13" s="90">
        <v>37926</v>
      </c>
      <c r="B13" s="153">
        <f>+'Power Purchases'!I13</f>
        <v>37804408</v>
      </c>
      <c r="C13" s="84">
        <v>398.50</v>
      </c>
      <c r="D13" s="84">
        <v>0</v>
      </c>
      <c r="E13" s="87">
        <v>30</v>
      </c>
      <c r="F13" s="86">
        <v>0</v>
      </c>
      <c r="G13" s="87">
        <v>22213.416666666661</v>
      </c>
      <c r="H13" s="87">
        <v>319.68</v>
      </c>
      <c r="I13" s="87">
        <v>1</v>
      </c>
      <c r="J13" s="87">
        <v>0</v>
      </c>
      <c r="K13" s="184">
        <v>50907.583333333307</v>
      </c>
      <c r="L13" s="186">
        <v>64.400000000000006</v>
      </c>
      <c r="M13" s="185">
        <v>0.86983006111970973</v>
      </c>
      <c r="N13" s="248">
        <v>290</v>
      </c>
      <c r="O13" s="91">
        <f t="shared" si="1"/>
        <v>36865382.851541348</v>
      </c>
      <c r="P13" s="88">
        <f t="shared" si="2"/>
        <v>-0.024839038570810372</v>
      </c>
      <c r="Q13" s="10"/>
      <c r="R13" s="53"/>
      <c r="S13" s="53" t="s">
        <v>39</v>
      </c>
      <c r="T13" s="53" t="s">
        <v>40</v>
      </c>
      <c r="U13" s="53" t="s">
        <v>41</v>
      </c>
      <c r="V13" s="53" t="s">
        <v>42</v>
      </c>
      <c r="W13" s="53" t="s">
        <v>43</v>
      </c>
      <c r="Z13" s="220">
        <f t="shared" si="0"/>
        <v>0.024839038570810372</v>
      </c>
      <c r="AB13" s="167">
        <f t="shared" si="3"/>
        <v>939025.1484586522</v>
      </c>
      <c r="AC13" s="167">
        <f t="shared" si="4"/>
        <v>881768229437.79382</v>
      </c>
      <c r="AD13" s="73"/>
      <c r="AE13" s="73">
        <f t="shared" si="5"/>
        <v>939025.1484586522</v>
      </c>
      <c r="AF13" s="168">
        <f t="shared" si="6"/>
        <v>54413.820226199925</v>
      </c>
      <c r="AG13" s="73">
        <f t="shared" si="7"/>
        <v>884611.32823245227</v>
      </c>
      <c r="AH13" s="73">
        <f t="shared" si="8"/>
        <v>782537202037.18347</v>
      </c>
      <c r="AI13" s="6"/>
      <c r="AM13" s="130"/>
      <c r="AN13" s="209"/>
      <c r="AO13" s="130"/>
      <c r="AP13" s="130"/>
      <c r="AQ13" s="130"/>
      <c r="AR13" s="32"/>
    </row>
    <row r="14" spans="1:44" ht="12.75">
      <c r="A14" s="90">
        <v>37956</v>
      </c>
      <c r="B14" s="153">
        <f>+'Power Purchases'!I14</f>
        <v>41415642</v>
      </c>
      <c r="C14" s="84">
        <v>561.50</v>
      </c>
      <c r="D14" s="84">
        <v>0</v>
      </c>
      <c r="E14" s="87">
        <v>31</v>
      </c>
      <c r="F14" s="86">
        <v>0</v>
      </c>
      <c r="G14" s="87">
        <v>22260</v>
      </c>
      <c r="H14" s="87">
        <v>336.28800000000001</v>
      </c>
      <c r="I14" s="87">
        <v>0</v>
      </c>
      <c r="J14" s="87">
        <v>0</v>
      </c>
      <c r="K14" s="184">
        <v>51026</v>
      </c>
      <c r="L14" s="186">
        <v>64.70</v>
      </c>
      <c r="M14" s="185">
        <v>0.87220739570810613</v>
      </c>
      <c r="N14" s="248">
        <v>269</v>
      </c>
      <c r="O14" s="91">
        <f t="shared" si="1"/>
        <v>40570654.68151027</v>
      </c>
      <c r="P14" s="88">
        <f t="shared" si="2"/>
        <v>-0.020402613063193138</v>
      </c>
      <c r="Q14" s="10"/>
      <c r="R14" s="36" t="s">
        <v>36</v>
      </c>
      <c r="S14" s="36">
        <v>8</v>
      </c>
      <c r="T14" s="60">
        <v>1814194483789411.5</v>
      </c>
      <c r="U14" s="60">
        <v>226774310473676.44</v>
      </c>
      <c r="V14" s="60">
        <v>287.00825850222162</v>
      </c>
      <c r="W14" s="60">
        <v>8.5239879955721143E-81</v>
      </c>
      <c r="Z14" s="220">
        <f t="shared" si="0"/>
        <v>0.020402613063193138</v>
      </c>
      <c r="AB14" s="167">
        <f t="shared" si="3"/>
        <v>844987.31848973036</v>
      </c>
      <c r="AC14" s="167">
        <f t="shared" si="4"/>
        <v>714003568408.46497</v>
      </c>
      <c r="AD14" s="73"/>
      <c r="AE14" s="73">
        <f t="shared" si="5"/>
        <v>844987.31848973036</v>
      </c>
      <c r="AF14" s="168">
        <f t="shared" si="6"/>
        <v>939025.1484586522</v>
      </c>
      <c r="AG14" s="73">
        <f t="shared" si="7"/>
        <v>-94037.82996892184</v>
      </c>
      <c r="AH14" s="73">
        <f t="shared" si="8"/>
        <v>8843113465.263855</v>
      </c>
      <c r="AI14" s="6"/>
      <c r="AM14" s="130"/>
      <c r="AN14" s="209"/>
      <c r="AO14" s="130"/>
      <c r="AP14" s="130"/>
      <c r="AQ14" s="130"/>
      <c r="AR14" s="32"/>
    </row>
    <row r="15" spans="1:44" ht="12.75">
      <c r="A15" s="90">
        <v>37987</v>
      </c>
      <c r="B15" s="153">
        <f>+'Power Purchases'!I15</f>
        <v>45022818</v>
      </c>
      <c r="C15" s="84">
        <v>849.10</v>
      </c>
      <c r="D15" s="84">
        <v>0</v>
      </c>
      <c r="E15" s="87">
        <v>31</v>
      </c>
      <c r="F15" s="86">
        <v>0</v>
      </c>
      <c r="G15" s="87">
        <v>22328.583333333336</v>
      </c>
      <c r="H15" s="87">
        <v>336.28800000000001</v>
      </c>
      <c r="I15" s="87">
        <v>0</v>
      </c>
      <c r="J15" s="87">
        <v>0</v>
      </c>
      <c r="K15" s="184">
        <v>51144.416666666664</v>
      </c>
      <c r="L15" s="186">
        <v>64.50</v>
      </c>
      <c r="M15" s="185">
        <v>0.87482578356266449</v>
      </c>
      <c r="N15" s="248">
        <v>290</v>
      </c>
      <c r="O15" s="91">
        <f t="shared" si="1"/>
        <v>43547143.023946539</v>
      </c>
      <c r="P15" s="88">
        <f t="shared" si="2"/>
        <v>-0.032776157548678124</v>
      </c>
      <c r="Q15" s="10"/>
      <c r="R15" s="36" t="s">
        <v>37</v>
      </c>
      <c r="S15" s="36">
        <v>135</v>
      </c>
      <c r="T15" s="60">
        <v>106667773511852.95</v>
      </c>
      <c r="U15" s="60">
        <v>790131655643.35522</v>
      </c>
      <c r="V15" s="60"/>
      <c r="W15" s="60"/>
      <c r="Z15" s="220">
        <f t="shared" si="0"/>
        <v>0.032776157548678124</v>
      </c>
      <c r="AB15" s="167">
        <f t="shared" si="3"/>
        <v>1475674.9760534614</v>
      </c>
      <c r="AC15" s="167">
        <f t="shared" si="4"/>
        <v>2177616634950.384</v>
      </c>
      <c r="AD15" s="167"/>
      <c r="AE15" s="73">
        <f t="shared" si="5"/>
        <v>1475674.9760534614</v>
      </c>
      <c r="AF15" s="168">
        <f t="shared" si="6"/>
        <v>844987.31848973036</v>
      </c>
      <c r="AG15" s="73">
        <f t="shared" si="7"/>
        <v>630687.65756373107</v>
      </c>
      <c r="AH15" s="73">
        <f t="shared" si="8"/>
        <v>397766921403.22614</v>
      </c>
      <c r="AI15" s="6"/>
      <c r="AM15" s="130"/>
      <c r="AN15" s="209"/>
      <c r="AO15" s="130"/>
      <c r="AP15" s="130"/>
      <c r="AQ15" s="130"/>
      <c r="AR15" s="32"/>
    </row>
    <row r="16" spans="1:44" ht="13.5" thickBot="1">
      <c r="A16" s="90">
        <v>38018</v>
      </c>
      <c r="B16" s="153">
        <f>+'Power Purchases'!I16</f>
        <v>39507480</v>
      </c>
      <c r="C16" s="84">
        <v>631.70000000000005</v>
      </c>
      <c r="D16" s="84">
        <v>0</v>
      </c>
      <c r="E16" s="87">
        <v>29</v>
      </c>
      <c r="F16" s="86">
        <v>0</v>
      </c>
      <c r="G16" s="87">
        <v>22397.166666666664</v>
      </c>
      <c r="H16" s="87">
        <v>320.16000000000003</v>
      </c>
      <c r="I16" s="87">
        <v>0</v>
      </c>
      <c r="J16" s="87">
        <v>0</v>
      </c>
      <c r="K16" s="184">
        <v>51262.833333333328</v>
      </c>
      <c r="L16" s="186">
        <v>64.599999999999994</v>
      </c>
      <c r="M16" s="185">
        <v>0.87744417141722286</v>
      </c>
      <c r="N16" s="248">
        <v>305</v>
      </c>
      <c r="O16" s="91">
        <f t="shared" si="1"/>
        <v>39263851.729718208</v>
      </c>
      <c r="P16" s="88">
        <f t="shared" si="2"/>
        <v>-0.0061666365529209075</v>
      </c>
      <c r="Q16" s="10"/>
      <c r="R16" s="52" t="s">
        <v>11</v>
      </c>
      <c r="S16" s="52">
        <v>143</v>
      </c>
      <c r="T16" s="61">
        <v>1920862257301264.5</v>
      </c>
      <c r="U16" s="61"/>
      <c r="V16" s="61"/>
      <c r="W16" s="61"/>
      <c r="Z16" s="220">
        <f t="shared" si="0"/>
        <v>0.0061666365529209075</v>
      </c>
      <c r="AB16" s="167">
        <f t="shared" si="3"/>
        <v>243628.27028179169</v>
      </c>
      <c r="AC16" s="167">
        <f t="shared" si="4"/>
        <v>59354734080.497742</v>
      </c>
      <c r="AD16" s="73"/>
      <c r="AE16" s="73">
        <f t="shared" si="5"/>
        <v>243628.27028179169</v>
      </c>
      <c r="AF16" s="168">
        <f t="shared" si="6"/>
        <v>1475674.9760534614</v>
      </c>
      <c r="AG16" s="73">
        <f t="shared" si="7"/>
        <v>-1232046.7057716698</v>
      </c>
      <c r="AH16" s="73">
        <f t="shared" si="8"/>
        <v>1517939085202.8232</v>
      </c>
      <c r="AI16" s="6"/>
      <c r="AM16" s="130"/>
      <c r="AN16" s="209"/>
      <c r="AO16" s="130"/>
      <c r="AP16" s="130"/>
      <c r="AQ16" s="130"/>
      <c r="AR16" s="32"/>
    </row>
    <row r="17" spans="1:44" ht="13.5" thickBot="1">
      <c r="A17" s="90">
        <v>38047</v>
      </c>
      <c r="B17" s="153">
        <f>+'Power Purchases'!I17</f>
        <v>39890301</v>
      </c>
      <c r="C17" s="84">
        <v>487.30</v>
      </c>
      <c r="D17" s="84">
        <v>0</v>
      </c>
      <c r="E17" s="87">
        <v>31</v>
      </c>
      <c r="F17" s="86">
        <v>1</v>
      </c>
      <c r="G17" s="87">
        <v>22465.75</v>
      </c>
      <c r="H17" s="87">
        <v>368.28</v>
      </c>
      <c r="I17" s="87">
        <v>0</v>
      </c>
      <c r="J17" s="87">
        <v>0</v>
      </c>
      <c r="K17" s="184">
        <v>51381.249999999993</v>
      </c>
      <c r="L17" s="186">
        <v>64.30</v>
      </c>
      <c r="M17" s="185">
        <v>0.88006255927178123</v>
      </c>
      <c r="N17" s="248">
        <v>371</v>
      </c>
      <c r="O17" s="91">
        <f t="shared" si="1"/>
        <v>38986816.319560848</v>
      </c>
      <c r="P17" s="88">
        <f t="shared" si="2"/>
        <v>-0.022649231963407641</v>
      </c>
      <c r="Q17" s="10"/>
      <c r="Z17" s="220">
        <f t="shared" si="0"/>
        <v>0.022649231963407641</v>
      </c>
      <c r="AB17" s="167">
        <f t="shared" si="3"/>
        <v>903484.68043915182</v>
      </c>
      <c r="AC17" s="167">
        <f t="shared" si="4"/>
        <v>816284567788.23633</v>
      </c>
      <c r="AD17" s="73"/>
      <c r="AE17" s="73">
        <f t="shared" si="5"/>
        <v>903484.68043915182</v>
      </c>
      <c r="AF17" s="168">
        <f t="shared" si="6"/>
        <v>243628.27028179169</v>
      </c>
      <c r="AG17" s="73">
        <f t="shared" si="7"/>
        <v>659856.41015736014</v>
      </c>
      <c r="AH17" s="73">
        <f t="shared" si="8"/>
        <v>435410482025.7583</v>
      </c>
      <c r="AI17" s="6"/>
      <c r="AM17" s="130"/>
      <c r="AN17" s="209"/>
      <c r="AO17" s="130"/>
      <c r="AP17" s="130"/>
      <c r="AQ17" s="130"/>
      <c r="AR17" s="32"/>
    </row>
    <row r="18" spans="1:44" ht="12.75">
      <c r="A18" s="90">
        <v>38078</v>
      </c>
      <c r="B18" s="153">
        <f>+'Power Purchases'!I18</f>
        <v>35800315</v>
      </c>
      <c r="C18" s="84">
        <v>331.50</v>
      </c>
      <c r="D18" s="84">
        <v>0</v>
      </c>
      <c r="E18" s="87">
        <v>30</v>
      </c>
      <c r="F18" s="86">
        <v>1</v>
      </c>
      <c r="G18" s="87">
        <v>22534.333333333336</v>
      </c>
      <c r="H18" s="87">
        <v>336.24</v>
      </c>
      <c r="I18" s="87">
        <v>0</v>
      </c>
      <c r="J18" s="87">
        <v>0</v>
      </c>
      <c r="K18" s="184">
        <v>51499.666666666657</v>
      </c>
      <c r="L18" s="186">
        <v>64.599999999999994</v>
      </c>
      <c r="M18" s="185">
        <v>0.88268094712633971</v>
      </c>
      <c r="N18" s="248">
        <v>405</v>
      </c>
      <c r="O18" s="91">
        <f t="shared" si="1"/>
        <v>35976901.501155853</v>
      </c>
      <c r="P18" s="88">
        <f t="shared" si="2"/>
        <v>0.0049325404303245174</v>
      </c>
      <c r="Q18" s="10"/>
      <c r="R18" s="53"/>
      <c r="S18" s="53" t="s">
        <v>44</v>
      </c>
      <c r="T18" s="53" t="s">
        <v>33</v>
      </c>
      <c r="U18" s="53" t="s">
        <v>45</v>
      </c>
      <c r="V18" s="53" t="s">
        <v>46</v>
      </c>
      <c r="W18" s="53" t="s">
        <v>47</v>
      </c>
      <c r="Z18" s="220">
        <f t="shared" si="0"/>
        <v>0.0049325404303245174</v>
      </c>
      <c r="AB18" s="167">
        <f t="shared" si="3"/>
        <v>-176586.50115585327</v>
      </c>
      <c r="AC18" s="167">
        <f t="shared" si="4"/>
        <v>31182792390.466167</v>
      </c>
      <c r="AD18" s="73"/>
      <c r="AE18" s="73">
        <f t="shared" si="5"/>
        <v>-176586.50115585327</v>
      </c>
      <c r="AF18" s="168">
        <f t="shared" si="6"/>
        <v>903484.68043915182</v>
      </c>
      <c r="AG18" s="73">
        <f t="shared" si="7"/>
        <v>-1080071.1815950051</v>
      </c>
      <c r="AH18" s="73">
        <f t="shared" si="8"/>
        <v>1166553757312.0305</v>
      </c>
      <c r="AI18" s="6"/>
      <c r="AM18" s="130"/>
      <c r="AN18" s="209"/>
      <c r="AO18" s="130"/>
      <c r="AP18" s="130"/>
      <c r="AQ18" s="130"/>
      <c r="AR18" s="32"/>
    </row>
    <row r="19" spans="1:44" ht="12.75">
      <c r="A19" s="90">
        <v>38108</v>
      </c>
      <c r="B19" s="153">
        <f>+'Power Purchases'!I19</f>
        <v>35700884</v>
      </c>
      <c r="C19" s="84">
        <v>158.90</v>
      </c>
      <c r="D19" s="84">
        <v>8.60</v>
      </c>
      <c r="E19" s="87">
        <v>31</v>
      </c>
      <c r="F19" s="86">
        <v>1</v>
      </c>
      <c r="G19" s="87">
        <v>22602.916666666664</v>
      </c>
      <c r="H19" s="87">
        <v>319.92</v>
      </c>
      <c r="I19" s="87">
        <v>0</v>
      </c>
      <c r="J19" s="87">
        <v>0</v>
      </c>
      <c r="K19" s="184">
        <v>51618.083333333321</v>
      </c>
      <c r="L19" s="186">
        <v>64.900000000000006</v>
      </c>
      <c r="M19" s="185">
        <v>0.88529933498089808</v>
      </c>
      <c r="N19" s="248">
        <v>457</v>
      </c>
      <c r="O19" s="91">
        <f t="shared" si="1"/>
        <v>35535779.515063629</v>
      </c>
      <c r="P19" s="88">
        <f t="shared" si="2"/>
        <v>-0.0046246609729991969</v>
      </c>
      <c r="Q19" s="10"/>
      <c r="R19" s="36" t="s">
        <v>38</v>
      </c>
      <c r="S19" s="60">
        <v>-34917816.373519458</v>
      </c>
      <c r="T19" s="60">
        <v>3308577.8553905627</v>
      </c>
      <c r="U19" s="60">
        <v>-10.553723653995009</v>
      </c>
      <c r="V19" s="60">
        <v>2.3368853759351463E-19</v>
      </c>
      <c r="W19" s="60">
        <v>-41461165.246770196</v>
      </c>
      <c r="Z19" s="220">
        <f t="shared" si="0"/>
        <v>0.0046246609729991969</v>
      </c>
      <c r="AB19" s="167">
        <f t="shared" si="3"/>
        <v>165104.48493637145</v>
      </c>
      <c r="AC19" s="167">
        <f t="shared" si="4"/>
        <v>27259490946.104507</v>
      </c>
      <c r="AD19" s="73"/>
      <c r="AE19" s="73">
        <f t="shared" si="5"/>
        <v>165104.48493637145</v>
      </c>
      <c r="AF19" s="168">
        <f t="shared" si="6"/>
        <v>-176586.50115585327</v>
      </c>
      <c r="AG19" s="73">
        <f t="shared" si="7"/>
        <v>341690.98609222472</v>
      </c>
      <c r="AH19" s="73">
        <f t="shared" si="8"/>
        <v>116752729976.67691</v>
      </c>
      <c r="AI19" s="6"/>
      <c r="AM19" s="130"/>
      <c r="AN19" s="209"/>
      <c r="AO19" s="130"/>
      <c r="AP19" s="130"/>
      <c r="AQ19" s="130"/>
      <c r="AR19" s="32"/>
    </row>
    <row r="20" spans="1:44" ht="12.75">
      <c r="A20" s="90">
        <v>38139</v>
      </c>
      <c r="B20" s="153">
        <f>+'Power Purchases'!I20</f>
        <v>37251140</v>
      </c>
      <c r="C20" s="84">
        <v>44.20</v>
      </c>
      <c r="D20" s="84">
        <v>31.60</v>
      </c>
      <c r="E20" s="87">
        <v>30</v>
      </c>
      <c r="F20" s="86">
        <v>0</v>
      </c>
      <c r="G20" s="87">
        <v>22671.50</v>
      </c>
      <c r="H20" s="87">
        <v>352.08</v>
      </c>
      <c r="I20" s="87">
        <v>0</v>
      </c>
      <c r="J20" s="87">
        <v>0</v>
      </c>
      <c r="K20" s="184">
        <v>51736.499999999985</v>
      </c>
      <c r="L20" s="186">
        <v>65.50</v>
      </c>
      <c r="M20" s="185">
        <v>0.88791772283545645</v>
      </c>
      <c r="N20" s="248">
        <v>462</v>
      </c>
      <c r="O20" s="91">
        <f t="shared" si="1"/>
        <v>37309205.901011646</v>
      </c>
      <c r="P20" s="88">
        <f t="shared" si="2"/>
        <v>0.0015587684299499503</v>
      </c>
      <c r="Q20" s="180" t="s">
        <v>3</v>
      </c>
      <c r="R20" s="36" t="s">
        <v>3</v>
      </c>
      <c r="S20" s="60">
        <v>9986.2224643748013</v>
      </c>
      <c r="T20" s="60">
        <v>491.42522419167312</v>
      </c>
      <c r="U20" s="60">
        <v>20.320939937099816</v>
      </c>
      <c r="V20" s="60">
        <v>6.7511995761715755E-43</v>
      </c>
      <c r="W20" s="60">
        <v>9014.3345936503592</v>
      </c>
      <c r="Z20" s="220">
        <f t="shared" si="0"/>
        <v>0.0015587684299499503</v>
      </c>
      <c r="AB20" s="167">
        <f t="shared" si="3"/>
        <v>-58065.901011645794</v>
      </c>
      <c r="AC20" s="167">
        <f t="shared" si="4"/>
        <v>3371648860.2942481</v>
      </c>
      <c r="AD20" s="73"/>
      <c r="AE20" s="73">
        <f t="shared" si="5"/>
        <v>-58065.901011645794</v>
      </c>
      <c r="AF20" s="168">
        <f t="shared" si="6"/>
        <v>165104.48493637145</v>
      </c>
      <c r="AG20" s="73">
        <f t="shared" si="7"/>
        <v>-223170.38594801724</v>
      </c>
      <c r="AH20" s="73">
        <f t="shared" si="8"/>
        <v>49805021164.186974</v>
      </c>
      <c r="AI20" s="6"/>
      <c r="AM20" s="130"/>
      <c r="AN20" s="209"/>
      <c r="AO20" s="130"/>
      <c r="AP20" s="130"/>
      <c r="AQ20" s="130"/>
      <c r="AR20" s="32"/>
    </row>
    <row r="21" spans="1:44" ht="12.75">
      <c r="A21" s="90">
        <v>38169</v>
      </c>
      <c r="B21" s="153">
        <f>+'Power Purchases'!I21</f>
        <v>39626471</v>
      </c>
      <c r="C21" s="84">
        <v>3.60</v>
      </c>
      <c r="D21" s="84">
        <v>86.40</v>
      </c>
      <c r="E21" s="87">
        <v>31</v>
      </c>
      <c r="F21" s="86">
        <v>0</v>
      </c>
      <c r="G21" s="87">
        <v>22740.083333333339</v>
      </c>
      <c r="H21" s="87">
        <v>336.28800000000001</v>
      </c>
      <c r="I21" s="87">
        <v>0</v>
      </c>
      <c r="J21" s="87">
        <v>0</v>
      </c>
      <c r="K21" s="184">
        <v>51854.91666666665</v>
      </c>
      <c r="L21" s="186">
        <v>65.70</v>
      </c>
      <c r="M21" s="185">
        <v>0.89053611069001481</v>
      </c>
      <c r="N21" s="248">
        <v>467</v>
      </c>
      <c r="O21" s="91">
        <f t="shared" si="1"/>
        <v>41029872.415335491</v>
      </c>
      <c r="P21" s="88">
        <f t="shared" si="2"/>
        <v>0.035415755678457748</v>
      </c>
      <c r="Q21" s="180" t="s">
        <v>4</v>
      </c>
      <c r="R21" s="36" t="s">
        <v>4</v>
      </c>
      <c r="S21" s="60">
        <v>61335.369385709579</v>
      </c>
      <c r="T21" s="60">
        <v>2959.4812787319725</v>
      </c>
      <c r="U21" s="60">
        <v>20.725040508446636</v>
      </c>
      <c r="V21" s="60">
        <v>8.9767753303074976E-44</v>
      </c>
      <c r="W21" s="60">
        <v>55482.426116127193</v>
      </c>
      <c r="Z21" s="220">
        <f t="shared" si="0"/>
        <v>0.035415755678457748</v>
      </c>
      <c r="AB21" s="167">
        <f t="shared" si="3"/>
        <v>-1403401.4153354913</v>
      </c>
      <c r="AC21" s="167">
        <f t="shared" si="4"/>
        <v>1969535532565.6602</v>
      </c>
      <c r="AD21" s="73"/>
      <c r="AE21" s="73">
        <f t="shared" si="5"/>
        <v>-1403401.4153354913</v>
      </c>
      <c r="AF21" s="168">
        <f t="shared" si="6"/>
        <v>-58065.901011645794</v>
      </c>
      <c r="AG21" s="73">
        <f t="shared" si="7"/>
        <v>-1345335.5143238455</v>
      </c>
      <c r="AH21" s="73">
        <f t="shared" si="8"/>
        <v>1809927646101.0059</v>
      </c>
      <c r="AI21" s="6"/>
      <c r="AM21" s="130"/>
      <c r="AN21" s="209"/>
      <c r="AO21" s="130"/>
      <c r="AP21" s="130"/>
      <c r="AQ21" s="130"/>
      <c r="AR21" s="32"/>
    </row>
    <row r="22" spans="1:44" ht="12.75">
      <c r="A22" s="90">
        <v>38200</v>
      </c>
      <c r="B22" s="153">
        <f>+'Power Purchases'!I22</f>
        <v>39062020</v>
      </c>
      <c r="C22" s="84">
        <v>12.80</v>
      </c>
      <c r="D22" s="84">
        <v>59.60</v>
      </c>
      <c r="E22" s="87">
        <v>31</v>
      </c>
      <c r="F22" s="86">
        <v>0</v>
      </c>
      <c r="G22" s="87">
        <v>22808.666666666668</v>
      </c>
      <c r="H22" s="87">
        <v>336.28800000000001</v>
      </c>
      <c r="I22" s="87">
        <v>0</v>
      </c>
      <c r="J22" s="87">
        <v>0</v>
      </c>
      <c r="K22" s="184">
        <v>51973.333333333314</v>
      </c>
      <c r="L22" s="186">
        <v>65.70</v>
      </c>
      <c r="M22" s="185">
        <v>0.89315449854457329</v>
      </c>
      <c r="N22" s="248">
        <v>432</v>
      </c>
      <c r="O22" s="91">
        <f t="shared" si="1"/>
        <v>39582408.5241528</v>
      </c>
      <c r="P22" s="88">
        <f t="shared" si="2"/>
        <v>0.013322109920398393</v>
      </c>
      <c r="Q22" s="180" t="s">
        <v>5</v>
      </c>
      <c r="R22" s="36" t="s">
        <v>5</v>
      </c>
      <c r="S22" s="60">
        <v>956969.03918667848</v>
      </c>
      <c r="T22" s="60">
        <v>106873.2277746163</v>
      </c>
      <c r="U22" s="60">
        <v>8.954244754400225</v>
      </c>
      <c r="V22" s="60">
        <v>2.3919918194334229E-15</v>
      </c>
      <c r="W22" s="60">
        <v>745606.68197318772</v>
      </c>
      <c r="Z22" s="220">
        <f t="shared" si="0"/>
        <v>0.013322109920398393</v>
      </c>
      <c r="AB22" s="167">
        <f t="shared" si="3"/>
        <v>-520388.52415280044</v>
      </c>
      <c r="AC22" s="167">
        <f t="shared" si="4"/>
        <v>270804216069.92978</v>
      </c>
      <c r="AD22" s="73"/>
      <c r="AE22" s="73">
        <f t="shared" si="5"/>
        <v>-520388.52415280044</v>
      </c>
      <c r="AF22" s="168">
        <f t="shared" si="6"/>
        <v>-1403401.4153354913</v>
      </c>
      <c r="AG22" s="73">
        <f t="shared" si="7"/>
        <v>883012.89118269086</v>
      </c>
      <c r="AH22" s="73">
        <f t="shared" si="8"/>
        <v>779711765994.8147</v>
      </c>
      <c r="AI22" s="6"/>
      <c r="AM22" s="130"/>
      <c r="AN22" s="209"/>
      <c r="AO22" s="130"/>
      <c r="AP22" s="130"/>
      <c r="AQ22" s="130"/>
      <c r="AR22" s="32"/>
    </row>
    <row r="23" spans="1:44" ht="12.75">
      <c r="A23" s="90">
        <v>38231</v>
      </c>
      <c r="B23" s="153">
        <f>+'Power Purchases'!I23</f>
        <v>37869958</v>
      </c>
      <c r="C23" s="84">
        <v>30</v>
      </c>
      <c r="D23" s="84">
        <v>41.20</v>
      </c>
      <c r="E23" s="87">
        <v>30</v>
      </c>
      <c r="F23" s="86">
        <v>0</v>
      </c>
      <c r="G23" s="87">
        <v>22877.25</v>
      </c>
      <c r="H23" s="87">
        <v>336.24</v>
      </c>
      <c r="I23" s="87">
        <v>1</v>
      </c>
      <c r="J23" s="87">
        <v>0</v>
      </c>
      <c r="K23" s="184">
        <v>52091.749999999978</v>
      </c>
      <c r="L23" s="186">
        <v>64.80</v>
      </c>
      <c r="M23" s="185">
        <v>0.89577288639913166</v>
      </c>
      <c r="N23" s="248">
        <v>374</v>
      </c>
      <c r="O23" s="91">
        <f t="shared" si="1"/>
        <v>37034389.146821693</v>
      </c>
      <c r="P23" s="88">
        <f t="shared" si="2"/>
        <v>-0.022064161074018287</v>
      </c>
      <c r="Q23" s="180" t="s">
        <v>146</v>
      </c>
      <c r="R23" s="36" t="s">
        <v>146</v>
      </c>
      <c r="S23" s="60">
        <v>-1756854.8329536235</v>
      </c>
      <c r="T23" s="60">
        <v>231577.01434456799</v>
      </c>
      <c r="U23" s="60">
        <v>-7.58648192233606</v>
      </c>
      <c r="V23" s="60">
        <v>4.7993738322456411E-12</v>
      </c>
      <c r="W23" s="60">
        <v>-2214842.9058090001</v>
      </c>
      <c r="Z23" s="220">
        <f t="shared" si="0"/>
        <v>0.022064161074018287</v>
      </c>
      <c r="AB23" s="167">
        <f t="shared" si="3"/>
        <v>835568.85317830741</v>
      </c>
      <c r="AC23" s="167">
        <f t="shared" si="4"/>
        <v>698175308401.71179</v>
      </c>
      <c r="AD23" s="73"/>
      <c r="AE23" s="73">
        <f t="shared" si="5"/>
        <v>835568.85317830741</v>
      </c>
      <c r="AF23" s="168">
        <f t="shared" si="6"/>
        <v>-520388.52415280044</v>
      </c>
      <c r="AG23" s="73">
        <f t="shared" si="7"/>
        <v>1355957.3773311079</v>
      </c>
      <c r="AH23" s="73">
        <f t="shared" si="8"/>
        <v>1838620409138.6565</v>
      </c>
      <c r="AI23" s="6"/>
      <c r="AM23" s="130"/>
      <c r="AN23" s="209"/>
      <c r="AO23" s="130"/>
      <c r="AP23" s="130"/>
      <c r="AQ23" s="130"/>
      <c r="AR23" s="32"/>
    </row>
    <row r="24" spans="1:44" ht="12.75">
      <c r="A24" s="90">
        <v>38261</v>
      </c>
      <c r="B24" s="153">
        <f>+'Power Purchases'!I24</f>
        <v>37190707</v>
      </c>
      <c r="C24" s="84">
        <v>226.30</v>
      </c>
      <c r="D24" s="84">
        <v>1.50</v>
      </c>
      <c r="E24" s="87">
        <v>31</v>
      </c>
      <c r="F24" s="86">
        <v>0</v>
      </c>
      <c r="G24" s="87">
        <v>22945.833333333339</v>
      </c>
      <c r="H24" s="87">
        <v>319.92</v>
      </c>
      <c r="I24" s="87">
        <v>1</v>
      </c>
      <c r="J24" s="87">
        <v>0</v>
      </c>
      <c r="K24" s="184">
        <v>52210.166666666642</v>
      </c>
      <c r="L24" s="186">
        <v>64.30</v>
      </c>
      <c r="M24" s="185">
        <v>0.89839127425369003</v>
      </c>
      <c r="N24" s="248">
        <v>340</v>
      </c>
      <c r="O24" s="91">
        <f t="shared" si="1"/>
        <v>37314686.286507562</v>
      </c>
      <c r="P24" s="88">
        <f t="shared" si="2"/>
        <v>0.0033336092940519199</v>
      </c>
      <c r="Q24" s="180" t="s">
        <v>77</v>
      </c>
      <c r="R24" s="36" t="s">
        <v>77</v>
      </c>
      <c r="S24" s="60">
        <v>1522.9758689976397</v>
      </c>
      <c r="T24" s="60">
        <v>63.327851490442484</v>
      </c>
      <c r="U24" s="60">
        <v>24.04906898234956</v>
      </c>
      <c r="V24" s="60">
        <v>1.2024574488476016E-50</v>
      </c>
      <c r="W24" s="60">
        <v>1397.732866170837</v>
      </c>
      <c r="Z24" s="220">
        <f t="shared" si="0"/>
        <v>0.0033336092940519199</v>
      </c>
      <c r="AB24" s="167">
        <f t="shared" si="3"/>
        <v>-123979.2865075618</v>
      </c>
      <c r="AC24" s="167">
        <f t="shared" si="4"/>
        <v>15370863482.924095</v>
      </c>
      <c r="AD24" s="73"/>
      <c r="AE24" s="73">
        <f t="shared" si="5"/>
        <v>-123979.2865075618</v>
      </c>
      <c r="AF24" s="168">
        <f t="shared" si="6"/>
        <v>835568.85317830741</v>
      </c>
      <c r="AG24" s="73">
        <f t="shared" si="7"/>
        <v>-959548.13968586922</v>
      </c>
      <c r="AH24" s="73">
        <f t="shared" si="8"/>
        <v>920732632374.61243</v>
      </c>
      <c r="AI24" s="6"/>
      <c r="AM24" s="130"/>
      <c r="AN24" s="209"/>
      <c r="AO24" s="130"/>
      <c r="AP24" s="130"/>
      <c r="AQ24" s="130"/>
      <c r="AR24" s="32"/>
    </row>
    <row r="25" spans="1:44" ht="12.75">
      <c r="A25" s="90">
        <v>38292</v>
      </c>
      <c r="B25" s="153">
        <f>+'Power Purchases'!I25</f>
        <v>38683114</v>
      </c>
      <c r="C25" s="84">
        <v>379.10</v>
      </c>
      <c r="D25" s="84">
        <v>0</v>
      </c>
      <c r="E25" s="87">
        <v>30</v>
      </c>
      <c r="F25" s="86">
        <v>0</v>
      </c>
      <c r="G25" s="87">
        <v>23014.416666666668</v>
      </c>
      <c r="H25" s="87">
        <v>352.08</v>
      </c>
      <c r="I25" s="87">
        <v>1</v>
      </c>
      <c r="J25" s="87">
        <v>0</v>
      </c>
      <c r="K25" s="184">
        <v>52328.583333333307</v>
      </c>
      <c r="L25" s="186">
        <v>64</v>
      </c>
      <c r="M25" s="185">
        <v>0.9010096621082484</v>
      </c>
      <c r="N25" s="248">
        <v>290</v>
      </c>
      <c r="O25" s="91">
        <f t="shared" si="1"/>
        <v>38499855.79877232</v>
      </c>
      <c r="P25" s="88">
        <f t="shared" si="2"/>
        <v>-0.0047374211193979849</v>
      </c>
      <c r="Q25" s="180" t="s">
        <v>6</v>
      </c>
      <c r="R25" s="36" t="s">
        <v>6</v>
      </c>
      <c r="S25" s="60">
        <v>18774.752838664412</v>
      </c>
      <c r="T25" s="60">
        <v>4892.3026238425209</v>
      </c>
      <c r="U25" s="60">
        <v>3.8376106880972771</v>
      </c>
      <c r="V25" s="60">
        <v>0.00019007417730755352</v>
      </c>
      <c r="W25" s="60">
        <v>9099.2837215737036</v>
      </c>
      <c r="Z25" s="220">
        <f t="shared" si="0"/>
        <v>0.0047374211193979849</v>
      </c>
      <c r="AB25" s="167">
        <f t="shared" si="3"/>
        <v>183258.20122767985</v>
      </c>
      <c r="AC25" s="167">
        <f t="shared" si="4"/>
        <v>33583568317.2048</v>
      </c>
      <c r="AD25" s="73"/>
      <c r="AE25" s="73">
        <f t="shared" si="5"/>
        <v>183258.20122767985</v>
      </c>
      <c r="AF25" s="168">
        <f t="shared" si="6"/>
        <v>-123979.2865075618</v>
      </c>
      <c r="AG25" s="73">
        <f t="shared" si="7"/>
        <v>307237.48773524165</v>
      </c>
      <c r="AH25" s="73">
        <f t="shared" si="8"/>
        <v>94394873869.862762</v>
      </c>
      <c r="AI25" s="6"/>
      <c r="AM25" s="130"/>
      <c r="AN25" s="209"/>
      <c r="AO25" s="130"/>
      <c r="AP25" s="130"/>
      <c r="AQ25" s="130"/>
      <c r="AR25" s="32"/>
    </row>
    <row r="26" spans="1:44" ht="12.75">
      <c r="A26" s="90">
        <v>38322</v>
      </c>
      <c r="B26" s="153">
        <f>+'Power Purchases'!I26</f>
        <v>42731994</v>
      </c>
      <c r="C26" s="84">
        <v>643.40</v>
      </c>
      <c r="D26" s="84">
        <v>0</v>
      </c>
      <c r="E26" s="87">
        <v>31</v>
      </c>
      <c r="F26" s="86">
        <v>0</v>
      </c>
      <c r="G26" s="87">
        <v>23083</v>
      </c>
      <c r="H26" s="87">
        <v>336.28800000000001</v>
      </c>
      <c r="I26" s="87">
        <v>0</v>
      </c>
      <c r="J26" s="87">
        <v>0</v>
      </c>
      <c r="K26" s="184">
        <v>52447</v>
      </c>
      <c r="L26" s="186">
        <v>64</v>
      </c>
      <c r="M26" s="185">
        <v>0.90362804996280643</v>
      </c>
      <c r="N26" s="248">
        <v>269</v>
      </c>
      <c r="O26" s="91">
        <f t="shared" si="1"/>
        <v>42641935.44152762</v>
      </c>
      <c r="P26" s="88">
        <f t="shared" si="2"/>
        <v>-0.0021075206196177047</v>
      </c>
      <c r="Q26" s="180" t="s">
        <v>147</v>
      </c>
      <c r="R26" s="36" t="s">
        <v>147</v>
      </c>
      <c r="S26" s="60">
        <v>-737792.14138046117</v>
      </c>
      <c r="T26" s="60">
        <v>239926.99451154523</v>
      </c>
      <c r="U26" s="60">
        <v>-3.0750693263277582</v>
      </c>
      <c r="V26" s="60">
        <v>0.0025477566603266015</v>
      </c>
      <c r="W26" s="60">
        <v>-1212293.9055271698</v>
      </c>
      <c r="Z26" s="220">
        <f t="shared" si="0"/>
        <v>0.0021075206196177047</v>
      </c>
      <c r="AB26" s="167">
        <f t="shared" si="3"/>
        <v>90058.558472380042</v>
      </c>
      <c r="AC26" s="167">
        <f t="shared" si="4"/>
        <v>8110543954.1230955</v>
      </c>
      <c r="AD26" s="73"/>
      <c r="AE26" s="73">
        <f t="shared" si="5"/>
        <v>90058.558472380042</v>
      </c>
      <c r="AF26" s="168">
        <f t="shared" si="6"/>
        <v>183258.20122767985</v>
      </c>
      <c r="AG26" s="73">
        <f t="shared" si="7"/>
        <v>-93199.642755299807</v>
      </c>
      <c r="AH26" s="73">
        <f t="shared" si="8"/>
        <v>8686173409.7155075</v>
      </c>
      <c r="AI26" s="6"/>
      <c r="AM26" s="130"/>
      <c r="AN26" s="209"/>
      <c r="AO26" s="130"/>
      <c r="AP26" s="130"/>
      <c r="AQ26" s="130"/>
      <c r="AR26" s="32"/>
    </row>
    <row r="27" spans="1:44" ht="13.5" thickBot="1">
      <c r="A27" s="90">
        <v>38353</v>
      </c>
      <c r="B27" s="153">
        <f>+'Power Purchases'!I27</f>
        <v>44769310</v>
      </c>
      <c r="C27" s="84">
        <v>770</v>
      </c>
      <c r="D27" s="84">
        <v>0</v>
      </c>
      <c r="E27" s="87">
        <v>31</v>
      </c>
      <c r="F27" s="86">
        <v>0</v>
      </c>
      <c r="G27" s="87">
        <v>23157.916666666672</v>
      </c>
      <c r="H27" s="87">
        <v>319.92</v>
      </c>
      <c r="I27" s="87">
        <v>0</v>
      </c>
      <c r="J27" s="87">
        <v>0</v>
      </c>
      <c r="K27" s="184">
        <v>52565.416666666664</v>
      </c>
      <c r="L27" s="186">
        <v>63.60</v>
      </c>
      <c r="M27" s="185">
        <v>0.90637261987442319</v>
      </c>
      <c r="N27" s="248">
        <v>290</v>
      </c>
      <c r="O27" s="91">
        <f t="shared" si="1"/>
        <v>43712982.32657329</v>
      </c>
      <c r="P27" s="88">
        <f t="shared" si="2"/>
        <v>-0.023594906274559738</v>
      </c>
      <c r="Q27" s="180" t="s">
        <v>148</v>
      </c>
      <c r="R27" s="52" t="s">
        <v>148</v>
      </c>
      <c r="S27" s="61">
        <v>1072603.6912462988</v>
      </c>
      <c r="T27" s="61">
        <v>256254.661417083</v>
      </c>
      <c r="U27" s="61">
        <v>4.1856943608940513</v>
      </c>
      <c r="V27" s="61">
        <v>5.0945851179793533E-05</v>
      </c>
      <c r="W27" s="61">
        <v>565810.82635517314</v>
      </c>
      <c r="Z27" s="220">
        <f t="shared" si="0"/>
        <v>0.023594906274559738</v>
      </c>
      <c r="AB27" s="167">
        <f t="shared" si="3"/>
        <v>1056327.6734267101</v>
      </c>
      <c r="AC27" s="167">
        <f t="shared" si="4"/>
        <v>1115828153647.0862</v>
      </c>
      <c r="AD27" s="167"/>
      <c r="AE27" s="73">
        <f t="shared" si="5"/>
        <v>1056327.6734267101</v>
      </c>
      <c r="AF27" s="168">
        <f t="shared" si="6"/>
        <v>90058.558472380042</v>
      </c>
      <c r="AG27" s="73">
        <f t="shared" si="7"/>
        <v>966269.11495433003</v>
      </c>
      <c r="AH27" s="73">
        <f t="shared" si="8"/>
        <v>933676002514.62427</v>
      </c>
      <c r="AI27" s="6"/>
      <c r="AM27" s="130"/>
      <c r="AN27" s="209"/>
      <c r="AO27" s="130"/>
      <c r="AP27" s="130"/>
      <c r="AQ27" s="130"/>
      <c r="AR27" s="32"/>
    </row>
    <row r="28" spans="1:44" ht="12.75">
      <c r="A28" s="90">
        <v>38384</v>
      </c>
      <c r="B28" s="153">
        <f>+'Power Purchases'!I28</f>
        <v>38587380</v>
      </c>
      <c r="C28" s="84">
        <v>616.40</v>
      </c>
      <c r="D28" s="84">
        <v>0</v>
      </c>
      <c r="E28" s="87">
        <v>28</v>
      </c>
      <c r="F28" s="86">
        <v>0</v>
      </c>
      <c r="G28" s="87">
        <v>23232.833333333332</v>
      </c>
      <c r="H28" s="87">
        <v>303.83999999999997</v>
      </c>
      <c r="I28" s="87">
        <v>0</v>
      </c>
      <c r="J28" s="87">
        <v>0</v>
      </c>
      <c r="K28" s="184">
        <v>52683.833333333328</v>
      </c>
      <c r="L28" s="186">
        <v>63</v>
      </c>
      <c r="M28" s="185">
        <v>0.90911718978603984</v>
      </c>
      <c r="N28" s="248">
        <v>305</v>
      </c>
      <c r="O28" s="91">
        <f t="shared" si="1"/>
        <v>39120389.68835862</v>
      </c>
      <c r="P28" s="88">
        <f t="shared" si="2"/>
        <v>0.013813057231629093</v>
      </c>
      <c r="Q28" s="180" t="s">
        <v>149</v>
      </c>
      <c r="Z28" s="220">
        <f t="shared" si="0"/>
        <v>0.013813057231629093</v>
      </c>
      <c r="AB28" s="167">
        <f t="shared" si="3"/>
        <v>-533009.68835861981</v>
      </c>
      <c r="AC28" s="167">
        <f t="shared" si="4"/>
        <v>284099327884.15302</v>
      </c>
      <c r="AD28" s="73"/>
      <c r="AE28" s="73">
        <f t="shared" si="5"/>
        <v>-533009.68835861981</v>
      </c>
      <c r="AF28" s="168">
        <f t="shared" si="6"/>
        <v>1056327.6734267101</v>
      </c>
      <c r="AG28" s="73">
        <f t="shared" si="7"/>
        <v>-1589337.3617853299</v>
      </c>
      <c r="AH28" s="73">
        <f t="shared" si="8"/>
        <v>2525993249566.7524</v>
      </c>
      <c r="AI28" s="6"/>
      <c r="AM28" s="130"/>
      <c r="AN28" s="209"/>
      <c r="AO28" s="130"/>
      <c r="AP28" s="130"/>
      <c r="AQ28" s="130"/>
      <c r="AR28" s="32"/>
    </row>
    <row r="29" spans="1:44" ht="12.75" customHeight="1">
      <c r="A29" s="90">
        <v>38412</v>
      </c>
      <c r="B29" s="153">
        <f>+'Power Purchases'!I29</f>
        <v>40808220</v>
      </c>
      <c r="C29" s="84">
        <v>608.60</v>
      </c>
      <c r="D29" s="84">
        <v>0</v>
      </c>
      <c r="E29" s="87">
        <v>31</v>
      </c>
      <c r="F29" s="86">
        <v>1</v>
      </c>
      <c r="G29" s="87">
        <v>23307.750000000004</v>
      </c>
      <c r="H29" s="87">
        <v>351.91199999999998</v>
      </c>
      <c r="I29" s="87">
        <v>0</v>
      </c>
      <c r="J29" s="87">
        <v>0</v>
      </c>
      <c r="K29" s="184">
        <v>52802.249999999993</v>
      </c>
      <c r="L29" s="186">
        <v>63</v>
      </c>
      <c r="M29" s="185">
        <v>0.91186175969765659</v>
      </c>
      <c r="N29" s="248">
        <v>371</v>
      </c>
      <c r="O29" s="91">
        <f t="shared" si="1"/>
        <v>41173185.631722264</v>
      </c>
      <c r="P29" s="88">
        <f t="shared" si="2"/>
        <v>0.0089434342326684176</v>
      </c>
      <c r="Q29" s="180" t="s">
        <v>94</v>
      </c>
      <c r="Z29" s="220">
        <f t="shared" si="0"/>
        <v>0.0089434342326684176</v>
      </c>
      <c r="AB29" s="167">
        <f t="shared" si="3"/>
        <v>-364965.63172226399</v>
      </c>
      <c r="AC29" s="167">
        <f t="shared" si="4"/>
        <v>133199912338.43123</v>
      </c>
      <c r="AD29" s="73"/>
      <c r="AE29" s="73">
        <f t="shared" si="5"/>
        <v>-364965.63172226399</v>
      </c>
      <c r="AF29" s="168">
        <f t="shared" si="6"/>
        <v>-533009.68835861981</v>
      </c>
      <c r="AG29" s="73">
        <f t="shared" si="7"/>
        <v>168044.05663635582</v>
      </c>
      <c r="AH29" s="73">
        <f t="shared" si="8"/>
        <v>28238804970.802761</v>
      </c>
      <c r="AI29" s="6"/>
      <c r="AM29" s="130"/>
      <c r="AN29" s="209"/>
      <c r="AO29" s="130"/>
      <c r="AP29" s="130"/>
      <c r="AQ29" s="130"/>
      <c r="AR29" s="32"/>
    </row>
    <row r="30" spans="1:44" ht="12.75" customHeight="1">
      <c r="A30" s="90">
        <v>38443</v>
      </c>
      <c r="B30" s="153">
        <f>+'Power Purchases'!I30</f>
        <v>36419080</v>
      </c>
      <c r="C30" s="84">
        <v>306.80</v>
      </c>
      <c r="D30" s="84">
        <v>0</v>
      </c>
      <c r="E30" s="87">
        <v>30</v>
      </c>
      <c r="F30" s="86">
        <v>1</v>
      </c>
      <c r="G30" s="87">
        <v>23382.666666666675</v>
      </c>
      <c r="H30" s="87">
        <v>336.24</v>
      </c>
      <c r="I30" s="87">
        <v>0</v>
      </c>
      <c r="J30" s="87">
        <v>0</v>
      </c>
      <c r="K30" s="184">
        <v>52920.666666666657</v>
      </c>
      <c r="L30" s="186">
        <v>63.30</v>
      </c>
      <c r="M30" s="185">
        <v>0.91460632960927335</v>
      </c>
      <c r="N30" s="248">
        <v>405</v>
      </c>
      <c r="O30" s="91">
        <f t="shared" si="1"/>
        <v>37022233.001818806</v>
      </c>
      <c r="P30" s="88">
        <f t="shared" si="2"/>
        <v>0.016561456297600211</v>
      </c>
      <c r="Q30" s="181" t="s">
        <v>7</v>
      </c>
      <c r="Z30" s="220">
        <f t="shared" si="0"/>
        <v>0.016561456297600211</v>
      </c>
      <c r="AB30" s="167">
        <f t="shared" si="3"/>
        <v>-603153.00181880593</v>
      </c>
      <c r="AC30" s="167">
        <f t="shared" si="4"/>
        <v>363793543603.0365</v>
      </c>
      <c r="AD30" s="73"/>
      <c r="AE30" s="73">
        <f t="shared" si="5"/>
        <v>-603153.00181880593</v>
      </c>
      <c r="AF30" s="168">
        <f t="shared" si="6"/>
        <v>-364965.63172226399</v>
      </c>
      <c r="AG30" s="73">
        <f t="shared" si="7"/>
        <v>-238187.37009654194</v>
      </c>
      <c r="AH30" s="73">
        <f t="shared" si="8"/>
        <v>56733223273.507042</v>
      </c>
      <c r="AI30" s="6"/>
      <c r="AM30" s="130"/>
      <c r="AN30" s="209"/>
      <c r="AO30" s="130"/>
      <c r="AP30" s="130"/>
      <c r="AQ30" s="130"/>
      <c r="AR30" s="32"/>
    </row>
    <row r="31" spans="1:44" ht="12.75">
      <c r="A31" s="90">
        <v>38473</v>
      </c>
      <c r="B31" s="153">
        <f>+'Power Purchases'!I31</f>
        <v>36941580</v>
      </c>
      <c r="C31" s="84">
        <v>189.40</v>
      </c>
      <c r="D31" s="84">
        <v>0.80</v>
      </c>
      <c r="E31" s="87">
        <v>31</v>
      </c>
      <c r="F31" s="86">
        <v>1</v>
      </c>
      <c r="G31" s="87">
        <v>23457.583333333336</v>
      </c>
      <c r="H31" s="87">
        <v>336.28800000000001</v>
      </c>
      <c r="I31" s="87">
        <v>0</v>
      </c>
      <c r="J31" s="87">
        <v>0</v>
      </c>
      <c r="K31" s="184">
        <v>53039.083333333321</v>
      </c>
      <c r="L31" s="186">
        <v>64.099999999999994</v>
      </c>
      <c r="M31" s="185">
        <v>0.91735089952089011</v>
      </c>
      <c r="N31" s="248">
        <v>457</v>
      </c>
      <c r="O31" s="91">
        <f t="shared" si="1"/>
        <v>36970885.282851771</v>
      </c>
      <c r="P31" s="88">
        <f t="shared" si="2"/>
        <v>0.00079328720785008442</v>
      </c>
      <c r="Q31" s="180" t="s">
        <v>94</v>
      </c>
      <c r="Z31" s="220">
        <f t="shared" si="0"/>
        <v>0.00079328720785008442</v>
      </c>
      <c r="AB31" s="167">
        <f t="shared" si="3"/>
        <v>-29305.28285177052</v>
      </c>
      <c r="AC31" s="167">
        <f t="shared" si="4"/>
        <v>858799603.02227533</v>
      </c>
      <c r="AD31" s="73"/>
      <c r="AE31" s="73">
        <f t="shared" si="5"/>
        <v>-29305.28285177052</v>
      </c>
      <c r="AF31" s="168">
        <f t="shared" si="6"/>
        <v>-603153.00181880593</v>
      </c>
      <c r="AG31" s="73">
        <f t="shared" si="7"/>
        <v>573847.71896703541</v>
      </c>
      <c r="AH31" s="73">
        <f t="shared" si="8"/>
        <v>329301204563.66968</v>
      </c>
      <c r="AI31" s="6"/>
      <c r="AM31" s="130"/>
      <c r="AN31" s="209"/>
      <c r="AO31" s="130"/>
      <c r="AP31" s="130"/>
      <c r="AQ31" s="130"/>
      <c r="AR31" s="32"/>
    </row>
    <row r="32" spans="1:44" ht="12.75">
      <c r="A32" s="90">
        <v>38504</v>
      </c>
      <c r="B32" s="153">
        <f>+'Power Purchases'!I32</f>
        <v>44668720</v>
      </c>
      <c r="C32" s="84">
        <v>8.90</v>
      </c>
      <c r="D32" s="84">
        <v>146.30000000000001</v>
      </c>
      <c r="E32" s="87">
        <v>30</v>
      </c>
      <c r="F32" s="86">
        <v>0</v>
      </c>
      <c r="G32" s="87">
        <v>23532.500000000007</v>
      </c>
      <c r="H32" s="87">
        <v>352.08</v>
      </c>
      <c r="I32" s="87">
        <v>0</v>
      </c>
      <c r="J32" s="87">
        <v>0</v>
      </c>
      <c r="K32" s="184">
        <v>53157.499999999985</v>
      </c>
      <c r="L32" s="186">
        <v>64.80</v>
      </c>
      <c r="M32" s="185">
        <v>0.92009546943250686</v>
      </c>
      <c r="N32" s="248">
        <v>462</v>
      </c>
      <c r="O32" s="91">
        <f t="shared" si="1"/>
        <v>45303141.339767069</v>
      </c>
      <c r="P32" s="88">
        <f t="shared" si="2"/>
        <v>0.014202809925313925</v>
      </c>
      <c r="Z32" s="220">
        <f t="shared" si="0"/>
        <v>0.014202809925313925</v>
      </c>
      <c r="AB32" s="167">
        <f t="shared" si="3"/>
        <v>-634421.33976706862</v>
      </c>
      <c r="AC32" s="167">
        <f t="shared" si="4"/>
        <v>402490436351.84235</v>
      </c>
      <c r="AD32" s="73"/>
      <c r="AE32" s="73">
        <f t="shared" si="5"/>
        <v>-634421.33976706862</v>
      </c>
      <c r="AF32" s="168">
        <f t="shared" si="6"/>
        <v>-29305.28285177052</v>
      </c>
      <c r="AG32" s="73">
        <f t="shared" si="7"/>
        <v>-605116.0569152981</v>
      </c>
      <c r="AH32" s="73">
        <f t="shared" si="8"/>
        <v>366165442336.71832</v>
      </c>
      <c r="AI32" s="6"/>
      <c r="AM32" s="130"/>
      <c r="AN32" s="209"/>
      <c r="AO32" s="130"/>
      <c r="AP32" s="130"/>
      <c r="AQ32" s="130"/>
      <c r="AR32" s="32"/>
    </row>
    <row r="33" spans="1:44" ht="12.75">
      <c r="A33" s="90">
        <v>38534</v>
      </c>
      <c r="B33" s="153">
        <f>+'Power Purchases'!I33</f>
        <v>46174960</v>
      </c>
      <c r="C33" s="84">
        <v>0</v>
      </c>
      <c r="D33" s="84">
        <v>188.70</v>
      </c>
      <c r="E33" s="87">
        <v>31</v>
      </c>
      <c r="F33" s="86">
        <v>0</v>
      </c>
      <c r="G33" s="87">
        <v>23607.416666666675</v>
      </c>
      <c r="H33" s="87">
        <v>319.92</v>
      </c>
      <c r="I33" s="87">
        <v>0</v>
      </c>
      <c r="J33" s="87">
        <v>0</v>
      </c>
      <c r="K33" s="184">
        <v>53275.91666666665</v>
      </c>
      <c r="L33" s="186">
        <v>65.30</v>
      </c>
      <c r="M33" s="185">
        <v>0.92284003934412362</v>
      </c>
      <c r="N33" s="248">
        <v>467</v>
      </c>
      <c r="O33" s="91">
        <f t="shared" si="1"/>
        <v>48282152.885202534</v>
      </c>
      <c r="P33" s="88">
        <f t="shared" si="2"/>
        <v>0.045634969368734367</v>
      </c>
      <c r="Q33" s="10"/>
      <c r="Z33" s="220">
        <f t="shared" si="0"/>
        <v>0.045634969368734367</v>
      </c>
      <c r="AB33" s="167">
        <f t="shared" si="3"/>
        <v>-2107192.8852025345</v>
      </c>
      <c r="AC33" s="167">
        <f t="shared" si="4"/>
        <v>4440261855448.1816</v>
      </c>
      <c r="AD33" s="73"/>
      <c r="AE33" s="73">
        <f t="shared" si="5"/>
        <v>-2107192.8852025345</v>
      </c>
      <c r="AF33" s="168">
        <f t="shared" si="6"/>
        <v>-634421.33976706862</v>
      </c>
      <c r="AG33" s="73">
        <f t="shared" si="7"/>
        <v>-1472771.5454354659</v>
      </c>
      <c r="AH33" s="73">
        <f t="shared" si="8"/>
        <v>2169056025044.3706</v>
      </c>
      <c r="AI33" s="6"/>
      <c r="AM33" s="130"/>
      <c r="AN33" s="209"/>
      <c r="AO33" s="130"/>
      <c r="AP33" s="130"/>
      <c r="AQ33" s="130"/>
      <c r="AR33" s="32"/>
    </row>
    <row r="34" spans="1:44" ht="12.75">
      <c r="A34" s="90">
        <v>38565</v>
      </c>
      <c r="B34" s="153">
        <f>+'Power Purchases'!I34</f>
        <v>44768680</v>
      </c>
      <c r="C34" s="84">
        <v>0.20</v>
      </c>
      <c r="D34" s="84">
        <v>140.69999999999999</v>
      </c>
      <c r="E34" s="87">
        <v>31</v>
      </c>
      <c r="F34" s="86">
        <v>0</v>
      </c>
      <c r="G34" s="87">
        <v>23682.333333333339</v>
      </c>
      <c r="H34" s="87">
        <v>351.91199999999998</v>
      </c>
      <c r="I34" s="87">
        <v>0</v>
      </c>
      <c r="J34" s="87">
        <v>0</v>
      </c>
      <c r="K34" s="184">
        <v>53394.333333333314</v>
      </c>
      <c r="L34" s="186">
        <v>65.400000000000006</v>
      </c>
      <c r="M34" s="185">
        <v>0.92558460925574038</v>
      </c>
      <c r="N34" s="248">
        <v>432</v>
      </c>
      <c r="O34" s="91">
        <f t="shared" si="1"/>
        <v>46054790.567514963</v>
      </c>
      <c r="P34" s="88">
        <f t="shared" si="2"/>
        <v>0.028727909054163836</v>
      </c>
      <c r="Q34" s="14"/>
      <c r="Z34" s="220">
        <f t="shared" si="0"/>
        <v>0.028727909054163836</v>
      </c>
      <c r="AB34" s="167">
        <f t="shared" si="3"/>
        <v>-1286110.5675149635</v>
      </c>
      <c r="AC34" s="167">
        <f t="shared" si="4"/>
        <v>1654080391873.6614</v>
      </c>
      <c r="AD34" s="73"/>
      <c r="AE34" s="73">
        <f t="shared" si="5"/>
        <v>-1286110.5675149635</v>
      </c>
      <c r="AF34" s="168">
        <f t="shared" si="6"/>
        <v>-2107192.8852025345</v>
      </c>
      <c r="AG34" s="73">
        <f t="shared" si="7"/>
        <v>821082.31768757105</v>
      </c>
      <c r="AH34" s="73">
        <f t="shared" si="8"/>
        <v>674176172419.19336</v>
      </c>
      <c r="AI34" s="6"/>
      <c r="AM34" s="130"/>
      <c r="AN34" s="209"/>
      <c r="AO34" s="130"/>
      <c r="AP34" s="130"/>
      <c r="AQ34" s="130"/>
      <c r="AR34" s="32"/>
    </row>
    <row r="35" spans="1:44" ht="12.75">
      <c r="A35" s="90">
        <v>38596</v>
      </c>
      <c r="B35" s="153">
        <f>+'Power Purchases'!I35</f>
        <v>39535820</v>
      </c>
      <c r="C35" s="84">
        <v>22.60</v>
      </c>
      <c r="D35" s="84">
        <v>52.10</v>
      </c>
      <c r="E35" s="87">
        <v>30</v>
      </c>
      <c r="F35" s="86">
        <v>0</v>
      </c>
      <c r="G35" s="87">
        <v>23757.250000000011</v>
      </c>
      <c r="H35" s="87">
        <v>336.24</v>
      </c>
      <c r="I35" s="87">
        <v>1</v>
      </c>
      <c r="J35" s="87">
        <v>0</v>
      </c>
      <c r="K35" s="184">
        <v>53512.749999999978</v>
      </c>
      <c r="L35" s="186">
        <v>65.099999999999994</v>
      </c>
      <c r="M35" s="185">
        <v>0.92832917916735702</v>
      </c>
      <c r="N35" s="248">
        <v>374</v>
      </c>
      <c r="O35" s="91">
        <f t="shared" si="1"/>
        <v>38969265.391607486</v>
      </c>
      <c r="P35" s="88">
        <f t="shared" si="2"/>
        <v>-0.014330159546267519</v>
      </c>
      <c r="Q35" s="14"/>
      <c r="Z35" s="220">
        <f t="shared" si="0"/>
        <v>0.014330159546267519</v>
      </c>
      <c r="AB35" s="167">
        <f t="shared" si="3"/>
        <v>566554.60839251429</v>
      </c>
      <c r="AC35" s="167">
        <f t="shared" si="4"/>
        <v>320984124290.79523</v>
      </c>
      <c r="AD35" s="73"/>
      <c r="AE35" s="73">
        <f t="shared" si="5"/>
        <v>566554.60839251429</v>
      </c>
      <c r="AF35" s="168">
        <f t="shared" si="6"/>
        <v>-1286110.5675149635</v>
      </c>
      <c r="AG35" s="73">
        <f t="shared" si="7"/>
        <v>1852665.1759074777</v>
      </c>
      <c r="AH35" s="73">
        <f t="shared" si="8"/>
        <v>3432368254020.2856</v>
      </c>
      <c r="AI35" s="6"/>
      <c r="AM35" s="130"/>
      <c r="AN35" s="209"/>
      <c r="AO35" s="130"/>
      <c r="AP35" s="130"/>
      <c r="AQ35" s="130"/>
      <c r="AR35" s="32"/>
    </row>
    <row r="36" spans="1:44" ht="12.75">
      <c r="A36" s="90">
        <v>38626</v>
      </c>
      <c r="B36" s="153">
        <f>+'Power Purchases'!I36</f>
        <v>38746230</v>
      </c>
      <c r="C36" s="84">
        <v>220.20</v>
      </c>
      <c r="D36" s="84">
        <v>5.60</v>
      </c>
      <c r="E36" s="87">
        <v>31</v>
      </c>
      <c r="F36" s="86">
        <v>0</v>
      </c>
      <c r="G36" s="87">
        <v>23832.166666666682</v>
      </c>
      <c r="H36" s="87">
        <v>319.92</v>
      </c>
      <c r="I36" s="87">
        <v>1</v>
      </c>
      <c r="J36" s="87">
        <v>0</v>
      </c>
      <c r="K36" s="184">
        <v>53631.166666666642</v>
      </c>
      <c r="L36" s="186">
        <v>65.099999999999994</v>
      </c>
      <c r="M36" s="185">
        <v>0.93107374907897378</v>
      </c>
      <c r="N36" s="248">
        <v>340</v>
      </c>
      <c r="O36" s="91">
        <f t="shared" si="1"/>
        <v>38855109.622511216</v>
      </c>
      <c r="P36" s="88">
        <f t="shared" si="2"/>
        <v>0.0028100701025936072</v>
      </c>
      <c r="Q36" s="14"/>
      <c r="Z36" s="220">
        <f t="shared" si="0"/>
        <v>0.0028100701025936072</v>
      </c>
      <c r="AB36" s="167">
        <f t="shared" si="3"/>
        <v>-108879.62251121551</v>
      </c>
      <c r="AC36" s="167">
        <f t="shared" si="4"/>
        <v>11854772198.184788</v>
      </c>
      <c r="AD36" s="73"/>
      <c r="AE36" s="73">
        <f t="shared" si="5"/>
        <v>-108879.62251121551</v>
      </c>
      <c r="AF36" s="168">
        <f t="shared" si="6"/>
        <v>566554.60839251429</v>
      </c>
      <c r="AG36" s="73">
        <f t="shared" si="7"/>
        <v>-675434.2309037298</v>
      </c>
      <c r="AH36" s="73">
        <f t="shared" si="8"/>
        <v>456211400276.513</v>
      </c>
      <c r="AI36" s="6"/>
      <c r="AM36" s="130"/>
      <c r="AN36" s="209"/>
      <c r="AO36" s="130"/>
      <c r="AP36" s="130"/>
      <c r="AQ36" s="130"/>
      <c r="AR36" s="32"/>
    </row>
    <row r="37" spans="1:44" ht="12.75">
      <c r="A37" s="90">
        <v>38657</v>
      </c>
      <c r="B37" s="153">
        <f>+'Power Purchases'!I37</f>
        <v>39948612</v>
      </c>
      <c r="C37" s="84">
        <v>388.40</v>
      </c>
      <c r="D37" s="84">
        <v>0</v>
      </c>
      <c r="E37" s="87">
        <v>30</v>
      </c>
      <c r="F37" s="86">
        <v>0</v>
      </c>
      <c r="G37" s="87">
        <v>23907.083333333343</v>
      </c>
      <c r="H37" s="87">
        <v>352.08</v>
      </c>
      <c r="I37" s="87">
        <v>1</v>
      </c>
      <c r="J37" s="87">
        <v>0</v>
      </c>
      <c r="K37" s="184">
        <v>53749.583333333307</v>
      </c>
      <c r="L37" s="186">
        <v>64.900000000000006</v>
      </c>
      <c r="M37" s="185">
        <v>0.93381831899059053</v>
      </c>
      <c r="N37" s="248">
        <v>290</v>
      </c>
      <c r="O37" s="91">
        <f t="shared" si="1"/>
        <v>39952237.460082911</v>
      </c>
      <c r="P37" s="88">
        <f t="shared" si="2"/>
        <v>9.0753092570799581E-05</v>
      </c>
      <c r="Q37" s="14"/>
      <c r="Z37" s="220">
        <f t="shared" si="0"/>
        <v>9.0753092570799581E-05</v>
      </c>
      <c r="AB37" s="167">
        <f t="shared" si="3"/>
        <v>-3625.460082910955</v>
      </c>
      <c r="AC37" s="167">
        <f t="shared" si="4"/>
        <v>13143960.812780708</v>
      </c>
      <c r="AD37" s="73"/>
      <c r="AE37" s="73">
        <f t="shared" si="5"/>
        <v>-3625.460082910955</v>
      </c>
      <c r="AF37" s="168">
        <f t="shared" si="6"/>
        <v>-108879.62251121551</v>
      </c>
      <c r="AG37" s="73">
        <f t="shared" si="7"/>
        <v>105254.16242830455</v>
      </c>
      <c r="AH37" s="73">
        <f t="shared" si="8"/>
        <v>11078438708.483917</v>
      </c>
      <c r="AI37" s="6"/>
      <c r="AM37" s="130"/>
      <c r="AN37" s="209"/>
      <c r="AO37" s="130"/>
      <c r="AP37" s="130"/>
      <c r="AQ37" s="130"/>
      <c r="AR37" s="32"/>
    </row>
    <row r="38" spans="1:44" ht="12.75">
      <c r="A38" s="90">
        <v>38687</v>
      </c>
      <c r="B38" s="153">
        <f>+'Power Purchases'!I38</f>
        <v>43806939</v>
      </c>
      <c r="C38" s="84">
        <v>665.30</v>
      </c>
      <c r="D38" s="84">
        <v>0</v>
      </c>
      <c r="E38" s="87">
        <v>31</v>
      </c>
      <c r="F38" s="86">
        <v>0</v>
      </c>
      <c r="G38" s="87">
        <v>23982</v>
      </c>
      <c r="H38" s="87">
        <v>319.92</v>
      </c>
      <c r="I38" s="87">
        <v>0</v>
      </c>
      <c r="J38" s="87">
        <v>0</v>
      </c>
      <c r="K38" s="184">
        <v>53868</v>
      </c>
      <c r="L38" s="186">
        <v>64.70</v>
      </c>
      <c r="M38" s="185">
        <v>0.93656288890220729</v>
      </c>
      <c r="N38" s="248">
        <v>269</v>
      </c>
      <c r="O38" s="91">
        <f t="shared" si="1"/>
        <v>43922483.865263052</v>
      </c>
      <c r="P38" s="88">
        <f t="shared" si="2"/>
        <v>0.0026375927627139682</v>
      </c>
      <c r="Q38" s="14"/>
      <c r="Z38" s="220">
        <f t="shared" si="0"/>
        <v>0.0026375927627139682</v>
      </c>
      <c r="AB38" s="167">
        <f t="shared" si="3"/>
        <v>-115544.86526305229</v>
      </c>
      <c r="AC38" s="167">
        <f t="shared" si="4"/>
        <v>13350615888.656906</v>
      </c>
      <c r="AD38" s="73"/>
      <c r="AE38" s="73">
        <f t="shared" si="5"/>
        <v>-115544.86526305229</v>
      </c>
      <c r="AF38" s="168">
        <f t="shared" si="6"/>
        <v>-3625.460082910955</v>
      </c>
      <c r="AG38" s="73">
        <f t="shared" si="7"/>
        <v>-111919.40518014133</v>
      </c>
      <c r="AH38" s="73">
        <f t="shared" si="8"/>
        <v>12525953255.876646</v>
      </c>
      <c r="AI38" s="6"/>
      <c r="AM38" s="130"/>
      <c r="AN38" s="209"/>
      <c r="AO38" s="130"/>
      <c r="AP38" s="130"/>
      <c r="AQ38" s="130"/>
      <c r="AR38" s="32"/>
    </row>
    <row r="39" spans="1:44" ht="12.75">
      <c r="A39" s="90">
        <v>38718</v>
      </c>
      <c r="B39" s="153">
        <f>+'Power Purchases'!I39</f>
        <v>42701637.855055854</v>
      </c>
      <c r="C39" s="84">
        <v>551.79999999999995</v>
      </c>
      <c r="D39" s="84">
        <v>0</v>
      </c>
      <c r="E39" s="87">
        <v>31</v>
      </c>
      <c r="F39" s="86">
        <v>0</v>
      </c>
      <c r="G39" s="87">
        <v>24033.583333333332</v>
      </c>
      <c r="H39" s="87">
        <v>336.28800000000001</v>
      </c>
      <c r="I39" s="87">
        <v>0</v>
      </c>
      <c r="J39" s="87">
        <v>0</v>
      </c>
      <c r="K39" s="184">
        <v>53986.416666666664</v>
      </c>
      <c r="L39" s="186">
        <v>63.90</v>
      </c>
      <c r="M39" s="185">
        <v>0.93952853447840234</v>
      </c>
      <c r="N39" s="248">
        <v>290</v>
      </c>
      <c r="O39" s="91">
        <f t="shared" si="1"/>
        <v>43174912.941928893</v>
      </c>
      <c r="P39" s="88">
        <f t="shared" si="2"/>
        <v>0.011083300562837874</v>
      </c>
      <c r="Q39" s="14"/>
      <c r="Z39" s="220">
        <f t="shared" si="0"/>
        <v>0.011083300562837874</v>
      </c>
      <c r="AB39" s="167">
        <f t="shared" si="3"/>
        <v>-473275.0868730396</v>
      </c>
      <c r="AC39" s="167">
        <f t="shared" si="4"/>
        <v>223989307854.6832</v>
      </c>
      <c r="AD39" s="167"/>
      <c r="AE39" s="73">
        <f t="shared" si="5"/>
        <v>-473275.0868730396</v>
      </c>
      <c r="AF39" s="168">
        <f t="shared" si="6"/>
        <v>-115544.86526305229</v>
      </c>
      <c r="AG39" s="73">
        <f t="shared" si="7"/>
        <v>-357730.22160998732</v>
      </c>
      <c r="AH39" s="73">
        <f t="shared" si="8"/>
        <v>127970911453.13063</v>
      </c>
      <c r="AI39" s="6"/>
      <c r="AM39" s="130"/>
      <c r="AN39" s="209"/>
      <c r="AO39" s="130"/>
      <c r="AP39" s="130"/>
      <c r="AQ39" s="130"/>
      <c r="AR39" s="32"/>
    </row>
    <row r="40" spans="1:44" ht="12.75">
      <c r="A40" s="90">
        <v>38749</v>
      </c>
      <c r="B40" s="153">
        <f>+'Power Purchases'!I40</f>
        <v>39494139.565167554</v>
      </c>
      <c r="C40" s="84">
        <v>604.29999999999995</v>
      </c>
      <c r="D40" s="84">
        <v>0</v>
      </c>
      <c r="E40" s="87">
        <v>28</v>
      </c>
      <c r="F40" s="86">
        <v>0</v>
      </c>
      <c r="G40" s="87">
        <v>24085.166666666664</v>
      </c>
      <c r="H40" s="87">
        <v>303.83999999999997</v>
      </c>
      <c r="I40" s="87">
        <v>0</v>
      </c>
      <c r="J40" s="87">
        <v>0</v>
      </c>
      <c r="K40" s="184">
        <v>54104.833333333328</v>
      </c>
      <c r="L40" s="186">
        <v>63.10</v>
      </c>
      <c r="M40" s="185">
        <v>0.94249418005459751</v>
      </c>
      <c r="N40" s="248">
        <v>305</v>
      </c>
      <c r="O40" s="91">
        <f t="shared" si="1"/>
        <v>40297639.49554868</v>
      </c>
      <c r="P40" s="88">
        <f t="shared" si="2"/>
        <v>0.02034478885292099</v>
      </c>
      <c r="Q40" s="14"/>
      <c r="Z40" s="220">
        <f t="shared" si="0"/>
        <v>0.02034478885292099</v>
      </c>
      <c r="AB40" s="167">
        <f t="shared" si="3"/>
        <v>-803499.9303811267</v>
      </c>
      <c r="AC40" s="167">
        <f t="shared" si="4"/>
        <v>645612138122.47546</v>
      </c>
      <c r="AD40" s="73"/>
      <c r="AE40" s="73">
        <f t="shared" si="5"/>
        <v>-803499.9303811267</v>
      </c>
      <c r="AF40" s="168">
        <f t="shared" si="6"/>
        <v>-473275.0868730396</v>
      </c>
      <c r="AG40" s="73">
        <f t="shared" si="7"/>
        <v>-330224.8435080871</v>
      </c>
      <c r="AH40" s="73">
        <f t="shared" si="8"/>
        <v>109048447269.94061</v>
      </c>
      <c r="AI40" s="6"/>
      <c r="AM40" s="130"/>
      <c r="AN40" s="209"/>
      <c r="AO40" s="130"/>
      <c r="AP40" s="130"/>
      <c r="AQ40" s="130"/>
      <c r="AR40" s="32"/>
    </row>
    <row r="41" spans="1:44" ht="12.75">
      <c r="A41" s="90">
        <v>38777</v>
      </c>
      <c r="B41" s="153">
        <f>+'Power Purchases'!I41</f>
        <v>41168251.275279261</v>
      </c>
      <c r="C41" s="84">
        <v>516.60</v>
      </c>
      <c r="D41" s="84">
        <v>0</v>
      </c>
      <c r="E41" s="87">
        <v>31</v>
      </c>
      <c r="F41" s="86">
        <v>1</v>
      </c>
      <c r="G41" s="87">
        <v>24136.75</v>
      </c>
      <c r="H41" s="87">
        <v>368.28</v>
      </c>
      <c r="I41" s="87">
        <v>0</v>
      </c>
      <c r="J41" s="87">
        <v>0</v>
      </c>
      <c r="K41" s="184">
        <v>54223.249999999993</v>
      </c>
      <c r="L41" s="186">
        <v>62.90</v>
      </c>
      <c r="M41" s="185">
        <v>0.94545982563079256</v>
      </c>
      <c r="N41" s="248">
        <v>371</v>
      </c>
      <c r="O41" s="91">
        <f t="shared" si="1"/>
        <v>41824305.314862087</v>
      </c>
      <c r="P41" s="88">
        <f t="shared" si="2"/>
        <v>0.015935921960736135</v>
      </c>
      <c r="Q41" s="14"/>
      <c r="Z41" s="220">
        <f t="shared" si="0"/>
        <v>0.015935921960736135</v>
      </c>
      <c r="AB41" s="167">
        <f t="shared" si="3"/>
        <v>-656054.0395828262</v>
      </c>
      <c r="AC41" s="167">
        <f t="shared" si="4"/>
        <v>430406902852.94446</v>
      </c>
      <c r="AD41" s="73"/>
      <c r="AE41" s="73">
        <f t="shared" si="5"/>
        <v>-656054.0395828262</v>
      </c>
      <c r="AF41" s="168">
        <f t="shared" si="6"/>
        <v>-803499.9303811267</v>
      </c>
      <c r="AG41" s="73">
        <f t="shared" si="7"/>
        <v>147445.89079830051</v>
      </c>
      <c r="AH41" s="73">
        <f t="shared" si="8"/>
        <v>21740290713.304356</v>
      </c>
      <c r="AI41" s="6"/>
      <c r="AM41" s="130"/>
      <c r="AN41" s="209"/>
      <c r="AO41" s="130"/>
      <c r="AP41" s="130"/>
      <c r="AQ41" s="130"/>
      <c r="AR41" s="32"/>
    </row>
    <row r="42" spans="1:44" ht="12.75">
      <c r="A42" s="90">
        <v>38808</v>
      </c>
      <c r="B42" s="153">
        <f>+'Power Purchases'!I42</f>
        <v>36932057.985390961</v>
      </c>
      <c r="C42" s="84">
        <v>293.30</v>
      </c>
      <c r="D42" s="84">
        <v>0</v>
      </c>
      <c r="E42" s="87">
        <v>30</v>
      </c>
      <c r="F42" s="86">
        <v>1</v>
      </c>
      <c r="G42" s="87">
        <v>24188.333333333332</v>
      </c>
      <c r="H42" s="87">
        <v>303.83999999999997</v>
      </c>
      <c r="I42" s="87">
        <v>0</v>
      </c>
      <c r="J42" s="87">
        <v>0</v>
      </c>
      <c r="K42" s="184">
        <v>54341.666666666657</v>
      </c>
      <c r="L42" s="186">
        <v>63.10</v>
      </c>
      <c r="M42" s="185">
        <v>0.94842547120698761</v>
      </c>
      <c r="N42" s="248">
        <v>405</v>
      </c>
      <c r="O42" s="91">
        <f t="shared" si="1"/>
        <v>37506127.898366101</v>
      </c>
      <c r="P42" s="88">
        <f t="shared" si="2"/>
        <v>0.015543945945341633</v>
      </c>
      <c r="Q42" s="14"/>
      <c r="Z42" s="220">
        <f t="shared" si="0"/>
        <v>0.015543945945341633</v>
      </c>
      <c r="AB42" s="167">
        <f t="shared" si="3"/>
        <v>-574069.91297513992</v>
      </c>
      <c r="AC42" s="167">
        <f t="shared" si="4"/>
        <v>329556264983.28473</v>
      </c>
      <c r="AD42" s="73"/>
      <c r="AE42" s="73">
        <f t="shared" si="5"/>
        <v>-574069.91297513992</v>
      </c>
      <c r="AF42" s="168">
        <f t="shared" si="6"/>
        <v>-656054.0395828262</v>
      </c>
      <c r="AG42" s="73">
        <f t="shared" si="7"/>
        <v>81984.126607686281</v>
      </c>
      <c r="AH42" s="73">
        <f t="shared" si="8"/>
        <v>6721397015.6251335</v>
      </c>
      <c r="AI42" s="6"/>
      <c r="AM42" s="130"/>
      <c r="AN42" s="209"/>
      <c r="AO42" s="130"/>
      <c r="AP42" s="130"/>
      <c r="AQ42" s="130"/>
      <c r="AR42" s="32"/>
    </row>
    <row r="43" spans="1:44" ht="12.75">
      <c r="A43" s="90">
        <v>38838</v>
      </c>
      <c r="B43" s="153">
        <f>+'Power Purchases'!I43</f>
        <v>39676670.695502669</v>
      </c>
      <c r="C43" s="84">
        <v>136.90</v>
      </c>
      <c r="D43" s="84">
        <v>26</v>
      </c>
      <c r="E43" s="87">
        <v>31</v>
      </c>
      <c r="F43" s="86">
        <v>1</v>
      </c>
      <c r="G43" s="87">
        <v>24239.916666666664</v>
      </c>
      <c r="H43" s="87">
        <v>351.91199999999998</v>
      </c>
      <c r="I43" s="87">
        <v>0</v>
      </c>
      <c r="J43" s="87">
        <v>0</v>
      </c>
      <c r="K43" s="184">
        <v>54460.083333333321</v>
      </c>
      <c r="L43" s="186">
        <v>63.70</v>
      </c>
      <c r="M43" s="185">
        <v>0.95139111678318278</v>
      </c>
      <c r="N43" s="248">
        <v>457</v>
      </c>
      <c r="O43" s="91">
        <f t="shared" si="1"/>
        <v>39477071.438522406</v>
      </c>
      <c r="P43" s="88">
        <f t="shared" si="2"/>
        <v>-0.0050306453006624665</v>
      </c>
      <c r="Q43" s="14"/>
      <c r="Z43" s="220">
        <f t="shared" si="0"/>
        <v>0.0050306453006624665</v>
      </c>
      <c r="AB43" s="167">
        <f t="shared" si="3"/>
        <v>199599.2569802627</v>
      </c>
      <c r="AC43" s="167">
        <f t="shared" si="4"/>
        <v>39839863387.072945</v>
      </c>
      <c r="AD43" s="73"/>
      <c r="AE43" s="73">
        <f t="shared" si="5"/>
        <v>199599.2569802627</v>
      </c>
      <c r="AF43" s="168">
        <f t="shared" si="6"/>
        <v>-574069.91297513992</v>
      </c>
      <c r="AG43" s="73">
        <f t="shared" si="7"/>
        <v>773669.16995540261</v>
      </c>
      <c r="AH43" s="73">
        <f t="shared" si="8"/>
        <v>598563984539.48169</v>
      </c>
      <c r="AI43" s="6"/>
      <c r="AM43" s="130"/>
      <c r="AN43" s="209"/>
      <c r="AO43" s="130"/>
      <c r="AP43" s="130"/>
      <c r="AQ43" s="130"/>
      <c r="AR43" s="32"/>
    </row>
    <row r="44" spans="1:44" ht="12.75">
      <c r="A44" s="90">
        <v>38869</v>
      </c>
      <c r="B44" s="153">
        <f>+'Power Purchases'!I44</f>
        <v>42451477.405614369</v>
      </c>
      <c r="C44" s="84">
        <v>19.50</v>
      </c>
      <c r="D44" s="84">
        <v>73.599999999999994</v>
      </c>
      <c r="E44" s="87">
        <v>30</v>
      </c>
      <c r="F44" s="86">
        <v>0</v>
      </c>
      <c r="G44" s="87">
        <v>24291.50</v>
      </c>
      <c r="H44" s="87">
        <v>352.08</v>
      </c>
      <c r="I44" s="87">
        <v>0</v>
      </c>
      <c r="J44" s="87">
        <v>0</v>
      </c>
      <c r="K44" s="184">
        <v>54578.499999999985</v>
      </c>
      <c r="L44" s="186">
        <v>64.30</v>
      </c>
      <c r="M44" s="185">
        <v>0.95435676235937783</v>
      </c>
      <c r="N44" s="248">
        <v>462</v>
      </c>
      <c r="O44" s="91">
        <f t="shared" si="1"/>
        <v>42105852.628117561</v>
      </c>
      <c r="P44" s="88">
        <f t="shared" si="2"/>
        <v>-0.0081416430856914562</v>
      </c>
      <c r="Q44" s="14"/>
      <c r="Z44" s="220">
        <f t="shared" si="0"/>
        <v>0.0081416430856914562</v>
      </c>
      <c r="AB44" s="167">
        <f t="shared" si="3"/>
        <v>345624.77749680728</v>
      </c>
      <c r="AC44" s="167">
        <f t="shared" si="4"/>
        <v>119456486819.71755</v>
      </c>
      <c r="AD44" s="73"/>
      <c r="AE44" s="73">
        <f t="shared" si="5"/>
        <v>345624.77749680728</v>
      </c>
      <c r="AF44" s="168">
        <f t="shared" si="6"/>
        <v>199599.2569802627</v>
      </c>
      <c r="AG44" s="73">
        <f t="shared" si="7"/>
        <v>146025.52051654458</v>
      </c>
      <c r="AH44" s="73">
        <f t="shared" si="8"/>
        <v>21323452642.127781</v>
      </c>
      <c r="AI44" s="6"/>
      <c r="AM44" s="130"/>
      <c r="AN44" s="209"/>
      <c r="AO44" s="130"/>
      <c r="AP44" s="130"/>
      <c r="AQ44" s="130"/>
      <c r="AR44" s="32"/>
    </row>
    <row r="45" spans="1:44" ht="12.75">
      <c r="A45" s="90">
        <v>38899</v>
      </c>
      <c r="B45" s="153">
        <f>+'Power Purchases'!I45</f>
        <v>47348264.115726076</v>
      </c>
      <c r="C45" s="84">
        <v>0</v>
      </c>
      <c r="D45" s="84">
        <v>167.30</v>
      </c>
      <c r="E45" s="87">
        <v>31</v>
      </c>
      <c r="F45" s="86">
        <v>0</v>
      </c>
      <c r="G45" s="87">
        <v>24343.083333333332</v>
      </c>
      <c r="H45" s="87">
        <v>319.92</v>
      </c>
      <c r="I45" s="87">
        <v>0</v>
      </c>
      <c r="J45" s="87">
        <v>0</v>
      </c>
      <c r="K45" s="184">
        <v>54696.91666666665</v>
      </c>
      <c r="L45" s="186">
        <v>64.70</v>
      </c>
      <c r="M45" s="185">
        <v>0.95732240793557288</v>
      </c>
      <c r="N45" s="248">
        <v>467</v>
      </c>
      <c r="O45" s="91">
        <f t="shared" si="1"/>
        <v>48089978.561307602</v>
      </c>
      <c r="P45" s="88">
        <f t="shared" si="2"/>
        <v>0.015665082119350079</v>
      </c>
      <c r="Q45" s="14"/>
      <c r="Z45" s="220">
        <f t="shared" si="0"/>
        <v>0.015665082119350079</v>
      </c>
      <c r="AB45" s="167">
        <f t="shared" si="3"/>
        <v>-741714.44558152556</v>
      </c>
      <c r="AC45" s="167">
        <f t="shared" si="4"/>
        <v>550140318784.30981</v>
      </c>
      <c r="AD45" s="73"/>
      <c r="AE45" s="73">
        <f t="shared" si="5"/>
        <v>-741714.44558152556</v>
      </c>
      <c r="AF45" s="168">
        <f t="shared" si="6"/>
        <v>345624.77749680728</v>
      </c>
      <c r="AG45" s="73">
        <f t="shared" si="7"/>
        <v>-1087339.2230783328</v>
      </c>
      <c r="AH45" s="73">
        <f t="shared" si="8"/>
        <v>1182306586044.5925</v>
      </c>
      <c r="AI45" s="6"/>
      <c r="AM45" s="130"/>
      <c r="AN45" s="209"/>
      <c r="AO45" s="130"/>
      <c r="AP45" s="130"/>
      <c r="AQ45" s="130"/>
      <c r="AR45" s="32"/>
    </row>
    <row r="46" spans="1:44" ht="12.75">
      <c r="A46" s="90">
        <v>38930</v>
      </c>
      <c r="B46" s="153">
        <f>+'Power Purchases'!I46</f>
        <v>44262981.825837776</v>
      </c>
      <c r="C46" s="84">
        <v>4.20</v>
      </c>
      <c r="D46" s="84">
        <v>101.60</v>
      </c>
      <c r="E46" s="87">
        <v>31</v>
      </c>
      <c r="F46" s="86">
        <v>0</v>
      </c>
      <c r="G46" s="87">
        <v>24394.666666666664</v>
      </c>
      <c r="H46" s="87">
        <v>351.91199999999998</v>
      </c>
      <c r="I46" s="87">
        <v>0</v>
      </c>
      <c r="J46" s="87">
        <v>0</v>
      </c>
      <c r="K46" s="184">
        <v>54815.333333333314</v>
      </c>
      <c r="L46" s="186">
        <v>64.599999999999994</v>
      </c>
      <c r="M46" s="185">
        <v>0.96028805351176805</v>
      </c>
      <c r="N46" s="248">
        <v>432</v>
      </c>
      <c r="O46" s="91">
        <f t="shared" si="1"/>
        <v>44781388.991740525</v>
      </c>
      <c r="P46" s="88">
        <f t="shared" si="2"/>
        <v>0.01171198018114851</v>
      </c>
      <c r="Q46" s="14"/>
      <c r="Z46" s="220">
        <f t="shared" si="0"/>
        <v>0.01171198018114851</v>
      </c>
      <c r="AB46" s="167">
        <f t="shared" si="3"/>
        <v>-518407.1659027487</v>
      </c>
      <c r="AC46" s="167">
        <f t="shared" si="4"/>
        <v>268745989659.32001</v>
      </c>
      <c r="AD46" s="73"/>
      <c r="AE46" s="73">
        <f t="shared" si="5"/>
        <v>-518407.1659027487</v>
      </c>
      <c r="AF46" s="168">
        <f t="shared" si="6"/>
        <v>-741714.44558152556</v>
      </c>
      <c r="AG46" s="73">
        <f t="shared" si="7"/>
        <v>223307.27967877686</v>
      </c>
      <c r="AH46" s="73">
        <f t="shared" si="8"/>
        <v>49866141157.535469</v>
      </c>
      <c r="AI46" s="6"/>
      <c r="AM46" s="130"/>
      <c r="AN46" s="209"/>
      <c r="AO46" s="130"/>
      <c r="AP46" s="130"/>
      <c r="AQ46" s="130"/>
      <c r="AR46" s="32"/>
    </row>
    <row r="47" spans="1:44" ht="12.75">
      <c r="A47" s="90">
        <v>38961</v>
      </c>
      <c r="B47" s="153">
        <f>+'Power Purchases'!I47</f>
        <v>37964093.535949484</v>
      </c>
      <c r="C47" s="84">
        <v>80.900000000000006</v>
      </c>
      <c r="D47" s="84">
        <v>12.90</v>
      </c>
      <c r="E47" s="87">
        <v>30</v>
      </c>
      <c r="F47" s="86">
        <v>0</v>
      </c>
      <c r="G47" s="87">
        <v>24446.249999999996</v>
      </c>
      <c r="H47" s="87">
        <v>319.68</v>
      </c>
      <c r="I47" s="87">
        <v>1</v>
      </c>
      <c r="J47" s="87">
        <v>0</v>
      </c>
      <c r="K47" s="184">
        <v>54933.749999999978</v>
      </c>
      <c r="L47" s="186">
        <v>63.90</v>
      </c>
      <c r="M47" s="185">
        <v>0.9632536990879631</v>
      </c>
      <c r="N47" s="248">
        <v>374</v>
      </c>
      <c r="O47" s="91">
        <f t="shared" si="1"/>
        <v>37885536.148091801</v>
      </c>
      <c r="P47" s="88">
        <f t="shared" si="2"/>
        <v>-0.0020692549338309461</v>
      </c>
      <c r="Q47" s="14"/>
      <c r="Z47" s="220">
        <f t="shared" si="0"/>
        <v>0.0020692549338309461</v>
      </c>
      <c r="AB47" s="167">
        <f t="shared" si="3"/>
        <v>78557.387857683003</v>
      </c>
      <c r="AC47" s="167">
        <f t="shared" si="4"/>
        <v>6171263187.0224409</v>
      </c>
      <c r="AD47" s="73"/>
      <c r="AE47" s="73">
        <f t="shared" si="5"/>
        <v>78557.387857683003</v>
      </c>
      <c r="AF47" s="168">
        <f t="shared" si="6"/>
        <v>-518407.1659027487</v>
      </c>
      <c r="AG47" s="73">
        <f t="shared" si="7"/>
        <v>596964.55376043171</v>
      </c>
      <c r="AH47" s="73">
        <f t="shared" si="8"/>
        <v>356366678446.39136</v>
      </c>
      <c r="AI47" s="6"/>
      <c r="AM47" s="130"/>
      <c r="AN47" s="209"/>
      <c r="AO47" s="130"/>
      <c r="AP47" s="130"/>
      <c r="AQ47" s="130"/>
      <c r="AR47" s="32"/>
    </row>
    <row r="48" spans="1:44" ht="12.75">
      <c r="A48" s="90">
        <v>38991</v>
      </c>
      <c r="B48" s="153">
        <f>+'Power Purchases'!I48</f>
        <v>39432108.246061184</v>
      </c>
      <c r="C48" s="84">
        <v>288.30</v>
      </c>
      <c r="D48" s="84">
        <v>1.1000000000000001</v>
      </c>
      <c r="E48" s="87">
        <v>31</v>
      </c>
      <c r="F48" s="86">
        <v>0</v>
      </c>
      <c r="G48" s="87">
        <v>24497.833333333328</v>
      </c>
      <c r="H48" s="87">
        <v>336.28800000000001</v>
      </c>
      <c r="I48" s="87">
        <v>1</v>
      </c>
      <c r="J48" s="87">
        <v>0</v>
      </c>
      <c r="K48" s="184">
        <v>55052.166666666642</v>
      </c>
      <c r="L48" s="186">
        <v>63.40</v>
      </c>
      <c r="M48" s="185">
        <v>0.96621934466415815</v>
      </c>
      <c r="N48" s="248">
        <v>340</v>
      </c>
      <c r="O48" s="91">
        <f t="shared" si="1"/>
        <v>40580261.634692103</v>
      </c>
      <c r="P48" s="88">
        <f t="shared" si="2"/>
        <v>0.029117220450560276</v>
      </c>
      <c r="Q48" s="14"/>
      <c r="Z48" s="220">
        <f t="shared" si="0"/>
        <v>0.029117220450560276</v>
      </c>
      <c r="AB48" s="167">
        <f t="shared" si="3"/>
        <v>-1148153.3886309192</v>
      </c>
      <c r="AC48" s="167">
        <f t="shared" si="4"/>
        <v>1318256203824.6626</v>
      </c>
      <c r="AD48" s="73"/>
      <c r="AE48" s="73">
        <f t="shared" si="5"/>
        <v>-1148153.3886309192</v>
      </c>
      <c r="AF48" s="168">
        <f t="shared" si="6"/>
        <v>78557.387857683003</v>
      </c>
      <c r="AG48" s="73">
        <f t="shared" si="7"/>
        <v>-1226710.7764886022</v>
      </c>
      <c r="AH48" s="73">
        <f t="shared" si="8"/>
        <v>1504819329153.2693</v>
      </c>
      <c r="AI48" s="6"/>
      <c r="AM48" s="130"/>
      <c r="AN48" s="209"/>
      <c r="AO48" s="130"/>
      <c r="AP48" s="130"/>
      <c r="AQ48" s="130"/>
      <c r="AR48" s="32"/>
    </row>
    <row r="49" spans="1:44" ht="12.75">
      <c r="A49" s="90">
        <v>39022</v>
      </c>
      <c r="B49" s="153">
        <f>+'Power Purchases'!I49</f>
        <v>39440744.956172891</v>
      </c>
      <c r="C49" s="84">
        <v>382.20</v>
      </c>
      <c r="D49" s="84">
        <v>0</v>
      </c>
      <c r="E49" s="87">
        <v>30</v>
      </c>
      <c r="F49" s="86">
        <v>0</v>
      </c>
      <c r="G49" s="87">
        <v>24549.416666666664</v>
      </c>
      <c r="H49" s="87">
        <v>352.08</v>
      </c>
      <c r="I49" s="87">
        <v>1</v>
      </c>
      <c r="J49" s="87">
        <v>0</v>
      </c>
      <c r="K49" s="184">
        <v>55170.583333333307</v>
      </c>
      <c r="L49" s="186">
        <v>63.20</v>
      </c>
      <c r="M49" s="185">
        <v>0.96918499024035332</v>
      </c>
      <c r="N49" s="248">
        <v>290</v>
      </c>
      <c r="O49" s="91">
        <f t="shared" si="1"/>
        <v>40868581.047323257</v>
      </c>
      <c r="P49" s="88">
        <f t="shared" si="2"/>
        <v>0.036202056851030506</v>
      </c>
      <c r="Q49" s="14"/>
      <c r="Z49" s="220">
        <f t="shared" si="0"/>
        <v>0.036202056851030506</v>
      </c>
      <c r="AB49" s="167">
        <f t="shared" si="3"/>
        <v>-1427836.0911503658</v>
      </c>
      <c r="AC49" s="167">
        <f t="shared" si="4"/>
        <v>2038715903191.5557</v>
      </c>
      <c r="AD49" s="73"/>
      <c r="AE49" s="73">
        <f t="shared" si="5"/>
        <v>-1427836.0911503658</v>
      </c>
      <c r="AF49" s="168">
        <f t="shared" si="6"/>
        <v>-1148153.3886309192</v>
      </c>
      <c r="AG49" s="73">
        <f t="shared" si="7"/>
        <v>-279682.70251944661</v>
      </c>
      <c r="AH49" s="73">
        <f t="shared" si="8"/>
        <v>78222414088.581268</v>
      </c>
      <c r="AI49" s="6"/>
      <c r="AM49" s="130"/>
      <c r="AN49" s="209"/>
      <c r="AO49" s="130"/>
      <c r="AP49" s="130"/>
      <c r="AQ49" s="130"/>
      <c r="AR49" s="32"/>
    </row>
    <row r="50" spans="1:44" ht="12.75">
      <c r="A50" s="90">
        <v>39052</v>
      </c>
      <c r="B50" s="153">
        <f>+'Power Purchases'!I50</f>
        <v>43294908.666284591</v>
      </c>
      <c r="C50" s="84">
        <v>500.50</v>
      </c>
      <c r="D50" s="84">
        <v>0</v>
      </c>
      <c r="E50" s="87">
        <v>31</v>
      </c>
      <c r="F50" s="86">
        <v>0</v>
      </c>
      <c r="G50" s="87">
        <v>24601</v>
      </c>
      <c r="H50" s="87">
        <v>304.29599999999999</v>
      </c>
      <c r="I50" s="87">
        <v>0</v>
      </c>
      <c r="J50" s="87">
        <v>0</v>
      </c>
      <c r="K50" s="184">
        <v>55289</v>
      </c>
      <c r="L50" s="186">
        <v>63.70</v>
      </c>
      <c r="M50" s="185">
        <v>0.97215063581654926</v>
      </c>
      <c r="N50" s="248">
        <v>269</v>
      </c>
      <c r="O50" s="91">
        <f t="shared" si="1"/>
        <v>42926139.727692321</v>
      </c>
      <c r="P50" s="88">
        <f t="shared" si="2"/>
        <v>-0.0085176051862062147</v>
      </c>
      <c r="Q50" s="14"/>
      <c r="Z50" s="220">
        <f t="shared" si="0"/>
        <v>0.0085176051862062147</v>
      </c>
      <c r="AB50" s="167">
        <f t="shared" si="3"/>
        <v>368768.93859227002</v>
      </c>
      <c r="AC50" s="167">
        <f t="shared" si="4"/>
        <v>135990530070.46942</v>
      </c>
      <c r="AD50" s="73"/>
      <c r="AE50" s="73">
        <f t="shared" si="5"/>
        <v>368768.93859227002</v>
      </c>
      <c r="AF50" s="168">
        <f t="shared" si="6"/>
        <v>-1427836.0911503658</v>
      </c>
      <c r="AG50" s="73">
        <f t="shared" si="7"/>
        <v>1796605.0297426358</v>
      </c>
      <c r="AH50" s="73">
        <f t="shared" si="8"/>
        <v>3227789632896.5371</v>
      </c>
      <c r="AI50" s="6"/>
      <c r="AM50" s="130"/>
      <c r="AN50" s="209"/>
      <c r="AO50" s="130"/>
      <c r="AP50" s="130"/>
      <c r="AQ50" s="130"/>
      <c r="AR50" s="32"/>
    </row>
    <row r="51" spans="1:44" ht="12.75">
      <c r="A51" s="90">
        <v>39083</v>
      </c>
      <c r="B51" s="153">
        <f>+'Power Purchases'!I51</f>
        <v>44991099.144584909</v>
      </c>
      <c r="C51" s="84">
        <v>647.10</v>
      </c>
      <c r="D51" s="84">
        <v>0</v>
      </c>
      <c r="E51" s="87">
        <v>31</v>
      </c>
      <c r="F51" s="86">
        <v>0</v>
      </c>
      <c r="G51" s="87">
        <v>24625.000000000004</v>
      </c>
      <c r="H51" s="87">
        <v>351.91199999999998</v>
      </c>
      <c r="I51" s="87">
        <v>0</v>
      </c>
      <c r="J51" s="87">
        <v>0</v>
      </c>
      <c r="K51" s="184">
        <v>55350.983333333337</v>
      </c>
      <c r="L51" s="186">
        <v>63.80</v>
      </c>
      <c r="M51" s="185">
        <v>0.97447141616517019</v>
      </c>
      <c r="N51" s="248">
        <v>290</v>
      </c>
      <c r="O51" s="91">
        <f t="shared" si="1"/>
        <v>45320649.992991455</v>
      </c>
      <c r="P51" s="88">
        <f t="shared" si="2"/>
        <v>0.007324801008917122</v>
      </c>
      <c r="Q51" s="14"/>
      <c r="Z51" s="220">
        <f t="shared" si="0"/>
        <v>0.007324801008917122</v>
      </c>
      <c r="AB51" s="167">
        <f t="shared" si="3"/>
        <v>-329550.84840654582</v>
      </c>
      <c r="AC51" s="167">
        <f t="shared" si="4"/>
        <v>108603761685.47414</v>
      </c>
      <c r="AD51" s="167"/>
      <c r="AE51" s="73">
        <f t="shared" si="5"/>
        <v>-329550.84840654582</v>
      </c>
      <c r="AF51" s="168">
        <f t="shared" si="6"/>
        <v>368768.93859227002</v>
      </c>
      <c r="AG51" s="73">
        <f t="shared" si="7"/>
        <v>-698319.78699881583</v>
      </c>
      <c r="AH51" s="73">
        <f t="shared" si="8"/>
        <v>487650524914.07153</v>
      </c>
      <c r="AI51" s="6"/>
      <c r="AM51" s="130"/>
      <c r="AN51" s="209"/>
      <c r="AO51" s="130"/>
      <c r="AP51" s="130"/>
      <c r="AQ51" s="130"/>
      <c r="AR51" s="32"/>
    </row>
    <row r="52" spans="1:44" ht="12.75">
      <c r="A52" s="90">
        <v>39114</v>
      </c>
      <c r="B52" s="153">
        <f>+'Power Purchases'!I52</f>
        <v>42541554.702167049</v>
      </c>
      <c r="C52" s="84">
        <v>740.10</v>
      </c>
      <c r="D52" s="84">
        <v>0</v>
      </c>
      <c r="E52" s="87">
        <v>28</v>
      </c>
      <c r="F52" s="86">
        <v>0</v>
      </c>
      <c r="G52" s="87">
        <v>24649.000000000004</v>
      </c>
      <c r="H52" s="87">
        <v>303.83999999999997</v>
      </c>
      <c r="I52" s="87">
        <v>0</v>
      </c>
      <c r="J52" s="87">
        <v>0</v>
      </c>
      <c r="K52" s="184">
        <v>55412.966666666674</v>
      </c>
      <c r="L52" s="186">
        <v>63.90</v>
      </c>
      <c r="M52" s="185">
        <v>0.97679219651379112</v>
      </c>
      <c r="N52" s="248">
        <v>305</v>
      </c>
      <c r="O52" s="91">
        <f t="shared" si="1"/>
        <v>42512473.067013949</v>
      </c>
      <c r="P52" s="88">
        <f t="shared" si="2"/>
        <v>-0.0006836053678973441</v>
      </c>
      <c r="Q52" s="14"/>
      <c r="Z52" s="220">
        <f t="shared" si="0"/>
        <v>0.0006836053678973441</v>
      </c>
      <c r="AB52" s="167">
        <f t="shared" si="3"/>
        <v>29081.635153099895</v>
      </c>
      <c r="AC52" s="167">
        <f t="shared" si="4"/>
        <v>845741503.17801547</v>
      </c>
      <c r="AD52" s="73"/>
      <c r="AE52" s="73">
        <f t="shared" si="5"/>
        <v>29081.635153099895</v>
      </c>
      <c r="AF52" s="168">
        <f t="shared" si="6"/>
        <v>-329550.84840654582</v>
      </c>
      <c r="AG52" s="73">
        <f t="shared" si="7"/>
        <v>358632.48355964571</v>
      </c>
      <c r="AH52" s="73">
        <f t="shared" si="8"/>
        <v>128617258264.15955</v>
      </c>
      <c r="AI52" s="6"/>
      <c r="AM52" s="130"/>
      <c r="AN52" s="209"/>
      <c r="AO52" s="130"/>
      <c r="AP52" s="130"/>
      <c r="AQ52" s="130"/>
      <c r="AR52" s="32"/>
    </row>
    <row r="53" spans="1:44" ht="12.75">
      <c r="A53" s="90">
        <v>39142</v>
      </c>
      <c r="B53" s="153">
        <f>+'Power Purchases'!I53</f>
        <v>42850933.259749189</v>
      </c>
      <c r="C53" s="84">
        <v>546.70000000000005</v>
      </c>
      <c r="D53" s="84">
        <v>0</v>
      </c>
      <c r="E53" s="87">
        <v>31</v>
      </c>
      <c r="F53" s="86">
        <v>1</v>
      </c>
      <c r="G53" s="87">
        <v>24673.000000000004</v>
      </c>
      <c r="H53" s="87">
        <v>351.91199999999998</v>
      </c>
      <c r="I53" s="87">
        <v>0</v>
      </c>
      <c r="J53" s="87">
        <v>0</v>
      </c>
      <c r="K53" s="184">
        <v>55474.950000000012</v>
      </c>
      <c r="L53" s="186">
        <v>63.60</v>
      </c>
      <c r="M53" s="185">
        <v>0.97911297686241217</v>
      </c>
      <c r="N53" s="248">
        <v>371</v>
      </c>
      <c r="O53" s="91">
        <f t="shared" si="1"/>
        <v>42634281.266326495</v>
      </c>
      <c r="P53" s="88">
        <f t="shared" si="2"/>
        <v>-0.0050559457389041376</v>
      </c>
      <c r="Q53" s="14"/>
      <c r="Z53" s="220">
        <f t="shared" si="0"/>
        <v>0.0050559457389041376</v>
      </c>
      <c r="AB53" s="167">
        <f t="shared" si="3"/>
        <v>216651.9934226945</v>
      </c>
      <c r="AC53" s="167">
        <f t="shared" si="4"/>
        <v>46938086254.02726</v>
      </c>
      <c r="AD53" s="73"/>
      <c r="AE53" s="73">
        <f t="shared" si="5"/>
        <v>216651.9934226945</v>
      </c>
      <c r="AF53" s="168">
        <f t="shared" si="6"/>
        <v>29081.635153099895</v>
      </c>
      <c r="AG53" s="73">
        <f t="shared" si="7"/>
        <v>187570.35826959461</v>
      </c>
      <c r="AH53" s="73">
        <f t="shared" si="8"/>
        <v>35182639301.384079</v>
      </c>
      <c r="AI53" s="6"/>
      <c r="AM53" s="130"/>
      <c r="AN53" s="209"/>
      <c r="AO53" s="130"/>
      <c r="AP53" s="130"/>
      <c r="AQ53" s="130"/>
      <c r="AR53" s="32"/>
    </row>
    <row r="54" spans="1:44" ht="12.75">
      <c r="A54" s="90">
        <v>39173</v>
      </c>
      <c r="B54" s="153">
        <f>+'Power Purchases'!I54</f>
        <v>39892269.817331329</v>
      </c>
      <c r="C54" s="84">
        <v>356.40</v>
      </c>
      <c r="D54" s="84">
        <v>0</v>
      </c>
      <c r="E54" s="87">
        <v>30</v>
      </c>
      <c r="F54" s="86">
        <v>1</v>
      </c>
      <c r="G54" s="87">
        <v>24697.000000000007</v>
      </c>
      <c r="H54" s="87">
        <v>319.68</v>
      </c>
      <c r="I54" s="87">
        <v>0</v>
      </c>
      <c r="J54" s="87">
        <v>0</v>
      </c>
      <c r="K54" s="184">
        <v>55536.933333333349</v>
      </c>
      <c r="L54" s="186">
        <v>63.60</v>
      </c>
      <c r="M54" s="185">
        <v>0.9814337572110331</v>
      </c>
      <c r="N54" s="248">
        <v>405</v>
      </c>
      <c r="O54" s="91">
        <f t="shared" si="1"/>
        <v>39208337.679529414</v>
      </c>
      <c r="P54" s="88">
        <f t="shared" si="2"/>
        <v>-0.017144477888414833</v>
      </c>
      <c r="Q54" s="14"/>
      <c r="Z54" s="220">
        <f t="shared" si="0"/>
        <v>0.017144477888414833</v>
      </c>
      <c r="AB54" s="167">
        <f t="shared" si="3"/>
        <v>683932.13780191541</v>
      </c>
      <c r="AC54" s="167">
        <f t="shared" si="4"/>
        <v>467763169118.29822</v>
      </c>
      <c r="AD54" s="73"/>
      <c r="AE54" s="73">
        <f t="shared" si="5"/>
        <v>683932.13780191541</v>
      </c>
      <c r="AF54" s="168">
        <f t="shared" si="6"/>
        <v>216651.9934226945</v>
      </c>
      <c r="AG54" s="73">
        <f t="shared" si="7"/>
        <v>467280.1443792209</v>
      </c>
      <c r="AH54" s="73">
        <f t="shared" si="8"/>
        <v>218350733331.06552</v>
      </c>
      <c r="AI54" s="6"/>
      <c r="AM54" s="130"/>
      <c r="AN54" s="209"/>
      <c r="AO54" s="130"/>
      <c r="AP54" s="130"/>
      <c r="AQ54" s="130"/>
      <c r="AR54" s="32"/>
    </row>
    <row r="55" spans="1:44" ht="12.75">
      <c r="A55" s="90">
        <v>39203</v>
      </c>
      <c r="B55" s="153">
        <f>+'Power Purchases'!I55</f>
        <v>40107867.374913462</v>
      </c>
      <c r="C55" s="84">
        <v>136.40</v>
      </c>
      <c r="D55" s="84">
        <v>22.40</v>
      </c>
      <c r="E55" s="87">
        <v>31</v>
      </c>
      <c r="F55" s="86">
        <v>1</v>
      </c>
      <c r="G55" s="87">
        <v>24721.000000000007</v>
      </c>
      <c r="H55" s="87">
        <v>351.91199999999998</v>
      </c>
      <c r="I55" s="87">
        <v>0</v>
      </c>
      <c r="J55" s="87">
        <v>0</v>
      </c>
      <c r="K55" s="184">
        <v>55598.916666666686</v>
      </c>
      <c r="L55" s="186">
        <v>63.90</v>
      </c>
      <c r="M55" s="185">
        <v>0.98375453755965403</v>
      </c>
      <c r="N55" s="248">
        <v>457</v>
      </c>
      <c r="O55" s="91">
        <f t="shared" si="1"/>
        <v>39983949.305145293</v>
      </c>
      <c r="P55" s="88">
        <f t="shared" si="2"/>
        <v>-0.0030896200141939212</v>
      </c>
      <c r="Q55" s="14"/>
      <c r="Z55" s="220">
        <f t="shared" si="0"/>
        <v>0.0030896200141939212</v>
      </c>
      <c r="AB55" s="167">
        <f t="shared" si="3"/>
        <v>123918.06976816803</v>
      </c>
      <c r="AC55" s="167">
        <f t="shared" si="4"/>
        <v>15355688015.06856</v>
      </c>
      <c r="AD55" s="73"/>
      <c r="AE55" s="73">
        <f t="shared" si="5"/>
        <v>123918.06976816803</v>
      </c>
      <c r="AF55" s="168">
        <f t="shared" si="6"/>
        <v>683932.13780191541</v>
      </c>
      <c r="AG55" s="73">
        <f t="shared" si="7"/>
        <v>-560014.06803374738</v>
      </c>
      <c r="AH55" s="73">
        <f t="shared" si="8"/>
        <v>313615756395.7066</v>
      </c>
      <c r="AI55" s="6"/>
      <c r="AM55" s="130"/>
      <c r="AN55" s="209"/>
      <c r="AO55" s="130"/>
      <c r="AP55" s="130"/>
      <c r="AQ55" s="130"/>
      <c r="AR55" s="32"/>
    </row>
    <row r="56" spans="1:44" ht="12.75">
      <c r="A56" s="90">
        <v>39234</v>
      </c>
      <c r="B56" s="153">
        <f>+'Power Purchases'!I56</f>
        <v>44991162.932495601</v>
      </c>
      <c r="C56" s="84">
        <v>16.50</v>
      </c>
      <c r="D56" s="84">
        <v>99.20</v>
      </c>
      <c r="E56" s="87">
        <v>30</v>
      </c>
      <c r="F56" s="86">
        <v>0</v>
      </c>
      <c r="G56" s="87">
        <v>24745.000000000007</v>
      </c>
      <c r="H56" s="87">
        <v>336.24</v>
      </c>
      <c r="I56" s="87">
        <v>0</v>
      </c>
      <c r="J56" s="87">
        <v>0</v>
      </c>
      <c r="K56" s="184">
        <v>55660.900000000023</v>
      </c>
      <c r="L56" s="186">
        <v>64.400000000000006</v>
      </c>
      <c r="M56" s="185">
        <v>0.98607531790827496</v>
      </c>
      <c r="N56" s="248">
        <v>462</v>
      </c>
      <c r="O56" s="91">
        <f t="shared" si="1"/>
        <v>44039356.888624609</v>
      </c>
      <c r="P56" s="88">
        <f t="shared" si="2"/>
        <v>-0.021155399901511225</v>
      </c>
      <c r="Q56" s="14"/>
      <c r="Z56" s="220">
        <f t="shared" si="0"/>
        <v>0.021155399901511225</v>
      </c>
      <c r="AB56" s="167">
        <f t="shared" si="3"/>
        <v>951806.04387099296</v>
      </c>
      <c r="AC56" s="167">
        <f t="shared" si="4"/>
        <v>905934745149.35059</v>
      </c>
      <c r="AD56" s="73"/>
      <c r="AE56" s="73">
        <f t="shared" si="5"/>
        <v>951806.04387099296</v>
      </c>
      <c r="AF56" s="168">
        <f t="shared" si="6"/>
        <v>123918.06976816803</v>
      </c>
      <c r="AG56" s="73">
        <f t="shared" si="7"/>
        <v>827887.97410282493</v>
      </c>
      <c r="AH56" s="73">
        <f t="shared" si="8"/>
        <v>685398497664.07971</v>
      </c>
      <c r="AI56" s="6"/>
      <c r="AM56" s="130"/>
      <c r="AN56" s="209"/>
      <c r="AO56" s="130"/>
      <c r="AP56" s="130"/>
      <c r="AQ56" s="130"/>
      <c r="AR56" s="32"/>
    </row>
    <row r="57" spans="1:44" ht="12.75">
      <c r="A57" s="90">
        <v>39264</v>
      </c>
      <c r="B57" s="153">
        <f>+'Power Purchases'!I57</f>
        <v>44565689.490077741</v>
      </c>
      <c r="C57" s="84">
        <v>3.20</v>
      </c>
      <c r="D57" s="84">
        <v>106.10</v>
      </c>
      <c r="E57" s="87">
        <v>31</v>
      </c>
      <c r="F57" s="86">
        <v>0</v>
      </c>
      <c r="G57" s="87">
        <v>24769.000000000011</v>
      </c>
      <c r="H57" s="87">
        <v>336.28800000000001</v>
      </c>
      <c r="I57" s="87">
        <v>0</v>
      </c>
      <c r="J57" s="87">
        <v>0</v>
      </c>
      <c r="K57" s="184">
        <v>55722.88333333336</v>
      </c>
      <c r="L57" s="186">
        <v>64.70</v>
      </c>
      <c r="M57" s="185">
        <v>0.98839609825689601</v>
      </c>
      <c r="N57" s="248">
        <v>467</v>
      </c>
      <c r="O57" s="91">
        <f t="shared" si="1"/>
        <v>45324175.826788694</v>
      </c>
      <c r="P57" s="88">
        <f t="shared" si="2"/>
        <v>0.017019513114002741</v>
      </c>
      <c r="Q57" s="14"/>
      <c r="Z57" s="220">
        <f t="shared" si="0"/>
        <v>0.017019513114002741</v>
      </c>
      <c r="AB57" s="167">
        <f t="shared" si="3"/>
        <v>-758486.33671095222</v>
      </c>
      <c r="AC57" s="167">
        <f t="shared" si="4"/>
        <v>575301522977.19995</v>
      </c>
      <c r="AD57" s="73"/>
      <c r="AE57" s="73">
        <f t="shared" si="5"/>
        <v>-758486.33671095222</v>
      </c>
      <c r="AF57" s="168">
        <f t="shared" si="6"/>
        <v>951806.04387099296</v>
      </c>
      <c r="AG57" s="73">
        <f t="shared" si="7"/>
        <v>-1710292.3805819452</v>
      </c>
      <c r="AH57" s="73">
        <f t="shared" si="8"/>
        <v>2925100027076.6572</v>
      </c>
      <c r="AI57" s="6"/>
      <c r="AM57" s="130"/>
      <c r="AN57" s="209"/>
      <c r="AO57" s="130"/>
      <c r="AP57" s="130"/>
      <c r="AQ57" s="130"/>
      <c r="AR57" s="32"/>
    </row>
    <row r="58" spans="1:44" ht="12.75">
      <c r="A58" s="90">
        <v>39295</v>
      </c>
      <c r="B58" s="153">
        <f>+'Power Purchases'!I58</f>
        <v>46716181.047659874</v>
      </c>
      <c r="C58" s="84">
        <v>5.20</v>
      </c>
      <c r="D58" s="84">
        <v>141</v>
      </c>
      <c r="E58" s="87">
        <v>31</v>
      </c>
      <c r="F58" s="86">
        <v>0</v>
      </c>
      <c r="G58" s="87">
        <v>24793.000000000011</v>
      </c>
      <c r="H58" s="87">
        <v>351.91199999999998</v>
      </c>
      <c r="I58" s="87">
        <v>0</v>
      </c>
      <c r="J58" s="87">
        <v>0</v>
      </c>
      <c r="K58" s="184">
        <v>55784.866666666698</v>
      </c>
      <c r="L58" s="186">
        <v>64.70</v>
      </c>
      <c r="M58" s="185">
        <v>0.99071687860551694</v>
      </c>
      <c r="N58" s="248">
        <v>432</v>
      </c>
      <c r="O58" s="91">
        <f t="shared" si="1"/>
        <v>47814640.822485946</v>
      </c>
      <c r="P58" s="88">
        <f t="shared" si="2"/>
        <v>0.023513475420977217</v>
      </c>
      <c r="Q58" s="14"/>
      <c r="Z58" s="220">
        <f t="shared" si="0"/>
        <v>0.023513475420977217</v>
      </c>
      <c r="AB58" s="167">
        <f t="shared" si="3"/>
        <v>-1098459.7748260722</v>
      </c>
      <c r="AC58" s="167">
        <f t="shared" si="4"/>
        <v>1206613876910.9451</v>
      </c>
      <c r="AD58" s="73"/>
      <c r="AE58" s="73">
        <f t="shared" si="5"/>
        <v>-1098459.7748260722</v>
      </c>
      <c r="AF58" s="168">
        <f t="shared" si="6"/>
        <v>-758486.33671095222</v>
      </c>
      <c r="AG58" s="73">
        <f t="shared" si="7"/>
        <v>-339973.43811511993</v>
      </c>
      <c r="AH58" s="73">
        <f t="shared" si="8"/>
        <v>115581938623.81528</v>
      </c>
      <c r="AI58" s="6"/>
      <c r="AM58" s="130"/>
      <c r="AN58" s="209"/>
      <c r="AO58" s="130"/>
      <c r="AP58" s="130"/>
      <c r="AQ58" s="130"/>
      <c r="AR58" s="32"/>
    </row>
    <row r="59" spans="1:44" ht="12.75">
      <c r="A59" s="90">
        <v>39326</v>
      </c>
      <c r="B59" s="153">
        <f>+'Power Purchases'!I59</f>
        <v>40527152.605242014</v>
      </c>
      <c r="C59" s="84">
        <v>36.90</v>
      </c>
      <c r="D59" s="84">
        <v>47.50</v>
      </c>
      <c r="E59" s="87">
        <v>30</v>
      </c>
      <c r="F59" s="86">
        <v>0</v>
      </c>
      <c r="G59" s="87">
        <v>24817.000000000015</v>
      </c>
      <c r="H59" s="87">
        <v>303.83999999999997</v>
      </c>
      <c r="I59" s="87">
        <v>1</v>
      </c>
      <c r="J59" s="87">
        <v>0</v>
      </c>
      <c r="K59" s="184">
        <v>55846.850000000035</v>
      </c>
      <c r="L59" s="186">
        <v>64.099999999999994</v>
      </c>
      <c r="M59" s="185">
        <v>0.99303765895413787</v>
      </c>
      <c r="N59" s="248">
        <v>374</v>
      </c>
      <c r="O59" s="91">
        <f t="shared" si="1"/>
        <v>39835597.358871311</v>
      </c>
      <c r="P59" s="88">
        <f t="shared" si="2"/>
        <v>-0.017063997885734841</v>
      </c>
      <c r="Q59" s="14"/>
      <c r="Z59" s="220">
        <f t="shared" si="0"/>
        <v>0.017063997885734841</v>
      </c>
      <c r="AB59" s="167">
        <f t="shared" si="3"/>
        <v>691555.24637070298</v>
      </c>
      <c r="AC59" s="167">
        <f t="shared" si="4"/>
        <v>478248658782.84369</v>
      </c>
      <c r="AD59" s="73"/>
      <c r="AE59" s="73">
        <f t="shared" si="5"/>
        <v>691555.24637070298</v>
      </c>
      <c r="AF59" s="168">
        <f t="shared" si="6"/>
        <v>-1098459.7748260722</v>
      </c>
      <c r="AG59" s="73">
        <f t="shared" si="7"/>
        <v>1790015.0211967751</v>
      </c>
      <c r="AH59" s="73">
        <f t="shared" si="8"/>
        <v>3204153776110.0913</v>
      </c>
      <c r="AI59" s="6"/>
      <c r="AM59" s="130"/>
      <c r="AN59" s="209"/>
      <c r="AO59" s="130"/>
      <c r="AP59" s="130"/>
      <c r="AQ59" s="130"/>
      <c r="AR59" s="32"/>
    </row>
    <row r="60" spans="1:44" ht="12.75">
      <c r="A60" s="90">
        <v>39356</v>
      </c>
      <c r="B60" s="153">
        <f>+'Power Purchases'!I60</f>
        <v>40215914.162824154</v>
      </c>
      <c r="C60" s="84">
        <v>137.69999999999999</v>
      </c>
      <c r="D60" s="84">
        <v>19.80</v>
      </c>
      <c r="E60" s="87">
        <v>31</v>
      </c>
      <c r="F60" s="86">
        <v>0</v>
      </c>
      <c r="G60" s="87">
        <v>24841.000000000018</v>
      </c>
      <c r="H60" s="87">
        <v>351.91199999999998</v>
      </c>
      <c r="I60" s="87">
        <v>1</v>
      </c>
      <c r="J60" s="87">
        <v>0</v>
      </c>
      <c r="K60" s="184">
        <v>55908.833333333372</v>
      </c>
      <c r="L60" s="186">
        <v>64.099999999999994</v>
      </c>
      <c r="M60" s="185">
        <v>0.99535843930275891</v>
      </c>
      <c r="N60" s="248">
        <v>340</v>
      </c>
      <c r="O60" s="91">
        <f t="shared" si="1"/>
        <v>41039279.22979904</v>
      </c>
      <c r="P60" s="88">
        <f t="shared" si="2"/>
        <v>0.020473613098568069</v>
      </c>
      <c r="Q60" s="14"/>
      <c r="Z60" s="220">
        <f t="shared" si="0"/>
        <v>0.020473613098568069</v>
      </c>
      <c r="AB60" s="167">
        <f t="shared" si="3"/>
        <v>-823365.06697488576</v>
      </c>
      <c r="AC60" s="167">
        <f t="shared" si="4"/>
        <v>677930033514.55811</v>
      </c>
      <c r="AD60" s="73"/>
      <c r="AE60" s="73">
        <f t="shared" si="5"/>
        <v>-823365.06697488576</v>
      </c>
      <c r="AF60" s="168">
        <f t="shared" si="6"/>
        <v>691555.24637070298</v>
      </c>
      <c r="AG60" s="73">
        <f t="shared" si="7"/>
        <v>-1514920.3133455887</v>
      </c>
      <c r="AH60" s="73">
        <f t="shared" si="8"/>
        <v>2294983555787.0967</v>
      </c>
      <c r="AI60" s="6"/>
      <c r="AM60" s="130"/>
      <c r="AN60" s="209"/>
      <c r="AO60" s="130"/>
      <c r="AP60" s="130"/>
      <c r="AQ60" s="130"/>
      <c r="AR60" s="32"/>
    </row>
    <row r="61" spans="1:44" ht="12.75">
      <c r="A61" s="90">
        <v>39387</v>
      </c>
      <c r="B61" s="153">
        <f>+'Power Purchases'!I61</f>
        <v>41589815.720406294</v>
      </c>
      <c r="C61" s="84">
        <v>462.50</v>
      </c>
      <c r="D61" s="84">
        <v>0</v>
      </c>
      <c r="E61" s="87">
        <v>30</v>
      </c>
      <c r="F61" s="86">
        <v>0</v>
      </c>
      <c r="G61" s="87">
        <v>24865.000000000015</v>
      </c>
      <c r="H61" s="87">
        <v>352.08</v>
      </c>
      <c r="I61" s="87">
        <v>1</v>
      </c>
      <c r="J61" s="87">
        <v>0</v>
      </c>
      <c r="K61" s="184">
        <v>55970.816666666709</v>
      </c>
      <c r="L61" s="186">
        <v>63.90</v>
      </c>
      <c r="M61" s="185">
        <v>0.99767921965137984</v>
      </c>
      <c r="N61" s="248">
        <v>290</v>
      </c>
      <c r="O61" s="91">
        <f t="shared" si="1"/>
        <v>42151100.512537077</v>
      </c>
      <c r="P61" s="88">
        <f t="shared" si="2"/>
        <v>0.013495726836206813</v>
      </c>
      <c r="Q61" s="14"/>
      <c r="Z61" s="220">
        <f t="shared" si="0"/>
        <v>0.013495726836206813</v>
      </c>
      <c r="AB61" s="167">
        <f t="shared" si="3"/>
        <v>-561284.7921307832</v>
      </c>
      <c r="AC61" s="167">
        <f t="shared" si="4"/>
        <v>315040617877.29651</v>
      </c>
      <c r="AD61" s="73"/>
      <c r="AE61" s="73">
        <f t="shared" si="5"/>
        <v>-561284.7921307832</v>
      </c>
      <c r="AF61" s="168">
        <f t="shared" si="6"/>
        <v>-823365.06697488576</v>
      </c>
      <c r="AG61" s="73">
        <f t="shared" si="7"/>
        <v>262080.27484410256</v>
      </c>
      <c r="AH61" s="73">
        <f t="shared" si="8"/>
        <v>68686070462.360336</v>
      </c>
      <c r="AI61" s="6"/>
      <c r="AM61" s="130"/>
      <c r="AN61" s="209"/>
      <c r="AO61" s="130"/>
      <c r="AP61" s="130"/>
      <c r="AQ61" s="130"/>
      <c r="AR61" s="32"/>
    </row>
    <row r="62" spans="1:44" ht="12.75">
      <c r="A62" s="90">
        <v>39417</v>
      </c>
      <c r="B62" s="153">
        <f>+'Power Purchases'!I62</f>
        <v>46253017.277988426</v>
      </c>
      <c r="C62" s="84">
        <v>630.70000000000005</v>
      </c>
      <c r="D62" s="84">
        <v>0</v>
      </c>
      <c r="E62" s="87">
        <v>31</v>
      </c>
      <c r="F62" s="86">
        <v>0</v>
      </c>
      <c r="G62" s="87">
        <v>24889</v>
      </c>
      <c r="H62" s="87">
        <v>304.29599999999999</v>
      </c>
      <c r="I62" s="87">
        <v>0</v>
      </c>
      <c r="J62" s="87">
        <v>0</v>
      </c>
      <c r="K62" s="184">
        <v>56032.80</v>
      </c>
      <c r="L62" s="186">
        <v>64.20</v>
      </c>
      <c r="M62" s="185">
        <v>1</v>
      </c>
      <c r="N62" s="248">
        <v>269</v>
      </c>
      <c r="O62" s="91">
        <f t="shared" si="1"/>
        <v>44664962.942825243</v>
      </c>
      <c r="P62" s="88">
        <f t="shared" si="2"/>
        <v>-0.034334070048202679</v>
      </c>
      <c r="Q62" s="14"/>
      <c r="Z62" s="220">
        <f t="shared" si="0"/>
        <v>0.034334070048202679</v>
      </c>
      <c r="AB62" s="167">
        <f t="shared" si="3"/>
        <v>1588054.3351631835</v>
      </c>
      <c r="AC62" s="167">
        <f t="shared" si="4"/>
        <v>2521916571430.5806</v>
      </c>
      <c r="AD62" s="73"/>
      <c r="AE62" s="73">
        <f t="shared" si="5"/>
        <v>1588054.3351631835</v>
      </c>
      <c r="AF62" s="168">
        <f t="shared" si="6"/>
        <v>-561284.7921307832</v>
      </c>
      <c r="AG62" s="73">
        <f t="shared" si="7"/>
        <v>2149339.1272939667</v>
      </c>
      <c r="AH62" s="73">
        <f t="shared" si="8"/>
        <v>4619658684116.79</v>
      </c>
      <c r="AI62" s="6"/>
      <c r="AM62" s="130"/>
      <c r="AN62" s="209"/>
      <c r="AO62" s="130"/>
      <c r="AP62" s="130"/>
      <c r="AQ62" s="130"/>
      <c r="AR62" s="32"/>
    </row>
    <row r="63" spans="1:44" ht="12.75">
      <c r="A63" s="90">
        <v>39448</v>
      </c>
      <c r="B63" s="153">
        <f>+'Power Purchases'!I63</f>
        <v>45575389.037415668</v>
      </c>
      <c r="C63" s="84">
        <v>623.50</v>
      </c>
      <c r="D63" s="84">
        <v>0</v>
      </c>
      <c r="E63" s="87">
        <v>31</v>
      </c>
      <c r="F63" s="86">
        <v>0</v>
      </c>
      <c r="G63" s="87">
        <v>24904.166666666664</v>
      </c>
      <c r="H63" s="87">
        <v>352</v>
      </c>
      <c r="I63" s="87">
        <v>0</v>
      </c>
      <c r="J63" s="87">
        <v>0</v>
      </c>
      <c r="K63" s="184">
        <v>56094.78333333334</v>
      </c>
      <c r="L63" s="189">
        <v>63.80</v>
      </c>
      <c r="M63" s="188">
        <v>1.1877189885107424</v>
      </c>
      <c r="N63" s="248">
        <v>290</v>
      </c>
      <c r="O63" s="91">
        <f t="shared" si="1"/>
        <v>45511791.417843856</v>
      </c>
      <c r="P63" s="88">
        <f t="shared" si="2"/>
        <v>-0.0013954377771652419</v>
      </c>
      <c r="Z63" s="220">
        <f t="shared" si="0"/>
        <v>0.0013954377771652419</v>
      </c>
      <c r="AB63" s="167">
        <f t="shared" si="3"/>
        <v>63597.619571812451</v>
      </c>
      <c r="AC63" s="167">
        <f t="shared" si="4"/>
        <v>4044657215.2009821</v>
      </c>
      <c r="AD63" s="73"/>
      <c r="AE63" s="73">
        <f t="shared" si="5"/>
        <v>63597.619571812451</v>
      </c>
      <c r="AF63" s="168">
        <f t="shared" si="6"/>
        <v>1588054.3351631835</v>
      </c>
      <c r="AG63" s="73">
        <f t="shared" si="7"/>
        <v>-1524456.7155913711</v>
      </c>
      <c r="AH63" s="73">
        <f t="shared" si="8"/>
        <v>2323968277711.6304</v>
      </c>
      <c r="AI63" s="6"/>
      <c r="AM63" s="131"/>
      <c r="AN63" s="210"/>
      <c r="AO63" s="130"/>
      <c r="AP63" s="130"/>
      <c r="AQ63" s="130"/>
      <c r="AR63" s="32"/>
    </row>
    <row r="64" spans="1:44" ht="12.75">
      <c r="A64" s="90">
        <v>39479</v>
      </c>
      <c r="B64" s="153">
        <f>+'Power Purchases'!I64</f>
        <v>43068120.020668089</v>
      </c>
      <c r="C64" s="84">
        <v>674.70</v>
      </c>
      <c r="D64" s="84">
        <v>0</v>
      </c>
      <c r="E64" s="87">
        <v>29</v>
      </c>
      <c r="F64" s="86">
        <v>0</v>
      </c>
      <c r="G64" s="87">
        <v>24919.333333333336</v>
      </c>
      <c r="H64" s="87">
        <v>320</v>
      </c>
      <c r="I64" s="87">
        <v>0</v>
      </c>
      <c r="J64" s="87">
        <v>0</v>
      </c>
      <c r="K64" s="184">
        <v>56156.766666666677</v>
      </c>
      <c r="L64" s="189">
        <v>63.80</v>
      </c>
      <c r="M64" s="188">
        <v>1.1901535870762043</v>
      </c>
      <c r="N64" s="248">
        <v>305</v>
      </c>
      <c r="O64" s="91">
        <f t="shared" si="1"/>
        <v>43531454.306155697</v>
      </c>
      <c r="P64" s="88">
        <f t="shared" si="2"/>
        <v>0.010758172988866388</v>
      </c>
      <c r="Z64" s="220">
        <f t="shared" si="0"/>
        <v>0.010758172988866388</v>
      </c>
      <c r="AB64" s="167">
        <f t="shared" si="3"/>
        <v>-463334.28548760712</v>
      </c>
      <c r="AC64" s="167">
        <f t="shared" si="4"/>
        <v>214678660108.31143</v>
      </c>
      <c r="AD64" s="73"/>
      <c r="AE64" s="73">
        <f t="shared" si="5"/>
        <v>-463334.28548760712</v>
      </c>
      <c r="AF64" s="168">
        <f t="shared" si="6"/>
        <v>63597.619571812451</v>
      </c>
      <c r="AG64" s="73">
        <f t="shared" si="7"/>
        <v>-526931.90505941957</v>
      </c>
      <c r="AH64" s="73">
        <f t="shared" si="8"/>
        <v>277657232569.54913</v>
      </c>
      <c r="AI64" s="6"/>
      <c r="AM64" s="131"/>
      <c r="AN64" s="210"/>
      <c r="AO64" s="130"/>
      <c r="AP64" s="130"/>
      <c r="AQ64" s="130"/>
      <c r="AR64" s="32"/>
    </row>
    <row r="65" spans="1:44" ht="12.75">
      <c r="A65" s="90">
        <v>39508</v>
      </c>
      <c r="B65" s="153">
        <f>+'Power Purchases'!I65</f>
        <v>43360205.00392051</v>
      </c>
      <c r="C65" s="84">
        <v>610.20000000000005</v>
      </c>
      <c r="D65" s="84">
        <v>0</v>
      </c>
      <c r="E65" s="87">
        <v>31</v>
      </c>
      <c r="F65" s="86">
        <v>1</v>
      </c>
      <c r="G65" s="87">
        <v>24934.499999999996</v>
      </c>
      <c r="H65" s="87">
        <v>304</v>
      </c>
      <c r="I65" s="87">
        <v>0</v>
      </c>
      <c r="J65" s="87">
        <v>0</v>
      </c>
      <c r="K65" s="184">
        <v>56218.750000000015</v>
      </c>
      <c r="L65" s="189">
        <v>63.80</v>
      </c>
      <c r="M65" s="188">
        <v>1.1925881856416665</v>
      </c>
      <c r="N65" s="248">
        <v>371</v>
      </c>
      <c r="O65" s="91">
        <f t="shared" si="1"/>
        <v>42767128.624551088</v>
      </c>
      <c r="P65" s="88">
        <f t="shared" si="2"/>
        <v>-0.013677896110403501</v>
      </c>
      <c r="Z65" s="220">
        <f t="shared" si="0"/>
        <v>0.013677896110403501</v>
      </c>
      <c r="AB65" s="167">
        <f t="shared" si="3"/>
        <v>593076.37936942279</v>
      </c>
      <c r="AC65" s="167">
        <f t="shared" si="4"/>
        <v>351739591765.94348</v>
      </c>
      <c r="AD65" s="73"/>
      <c r="AE65" s="73">
        <f t="shared" si="5"/>
        <v>593076.37936942279</v>
      </c>
      <c r="AF65" s="168">
        <f t="shared" si="6"/>
        <v>-463334.28548760712</v>
      </c>
      <c r="AG65" s="73">
        <f t="shared" si="7"/>
        <v>1056410.6648570299</v>
      </c>
      <c r="AH65" s="73">
        <f t="shared" si="8"/>
        <v>1116003492823.6719</v>
      </c>
      <c r="AI65" s="6"/>
      <c r="AM65" s="131"/>
      <c r="AN65" s="210"/>
      <c r="AO65" s="130"/>
      <c r="AP65" s="130"/>
      <c r="AQ65" s="130"/>
      <c r="AR65" s="32"/>
    </row>
    <row r="66" spans="1:44" ht="12.75">
      <c r="A66" s="90">
        <v>39539</v>
      </c>
      <c r="B66" s="153">
        <f>+'Power Purchases'!I66</f>
        <v>38631236.987172931</v>
      </c>
      <c r="C66" s="84">
        <v>253.90</v>
      </c>
      <c r="D66" s="84">
        <v>0</v>
      </c>
      <c r="E66" s="87">
        <v>30</v>
      </c>
      <c r="F66" s="86">
        <v>1</v>
      </c>
      <c r="G66" s="87">
        <v>24949.666666666661</v>
      </c>
      <c r="H66" s="87">
        <v>352</v>
      </c>
      <c r="I66" s="87">
        <v>0</v>
      </c>
      <c r="J66" s="87">
        <v>0</v>
      </c>
      <c r="K66" s="184">
        <v>56280.733333333352</v>
      </c>
      <c r="L66" s="189">
        <v>64.20</v>
      </c>
      <c r="M66" s="188">
        <v>1.1950227842071284</v>
      </c>
      <c r="N66" s="248">
        <v>405</v>
      </c>
      <c r="O66" s="91">
        <f t="shared" si="1"/>
        <v>39176355.124910012</v>
      </c>
      <c r="P66" s="88">
        <f t="shared" si="2"/>
        <v>0.014110812395628978</v>
      </c>
      <c r="Z66" s="220">
        <f t="shared" si="0"/>
        <v>0.014110812395628978</v>
      </c>
      <c r="AB66" s="167">
        <f t="shared" si="3"/>
        <v>-545118.13773708045</v>
      </c>
      <c r="AC66" s="167">
        <f t="shared" si="4"/>
        <v>297153784089.94263</v>
      </c>
      <c r="AD66" s="73"/>
      <c r="AE66" s="73">
        <f t="shared" si="5"/>
        <v>-545118.13773708045</v>
      </c>
      <c r="AF66" s="168">
        <f t="shared" si="6"/>
        <v>593076.37936942279</v>
      </c>
      <c r="AG66" s="73">
        <f t="shared" si="7"/>
        <v>-1138194.5171065033</v>
      </c>
      <c r="AH66" s="73">
        <f t="shared" si="8"/>
        <v>1295486758771.3062</v>
      </c>
      <c r="AI66" s="6"/>
      <c r="AM66" s="131"/>
      <c r="AN66" s="210"/>
      <c r="AO66" s="130"/>
      <c r="AP66" s="130"/>
      <c r="AQ66" s="130"/>
      <c r="AR66" s="32"/>
    </row>
    <row r="67" spans="1:44" ht="12.75">
      <c r="A67" s="90">
        <v>39569</v>
      </c>
      <c r="B67" s="153">
        <f>+'Power Purchases'!I67</f>
        <v>38599061.970425352</v>
      </c>
      <c r="C67" s="84">
        <v>193.50</v>
      </c>
      <c r="D67" s="84">
        <v>2.50</v>
      </c>
      <c r="E67" s="87">
        <v>31</v>
      </c>
      <c r="F67" s="86">
        <v>1</v>
      </c>
      <c r="G67" s="87">
        <v>24964.833333333332</v>
      </c>
      <c r="H67" s="87">
        <v>336</v>
      </c>
      <c r="I67" s="87">
        <v>0</v>
      </c>
      <c r="J67" s="87">
        <v>0</v>
      </c>
      <c r="K67" s="184">
        <v>56342.716666666689</v>
      </c>
      <c r="L67" s="189">
        <v>64.70</v>
      </c>
      <c r="M67" s="188">
        <v>1.1974573827725905</v>
      </c>
      <c r="N67" s="248">
        <v>457</v>
      </c>
      <c r="O67" s="91">
        <f t="shared" si="1"/>
        <v>39406197.172640562</v>
      </c>
      <c r="P67" s="88">
        <f t="shared" si="2"/>
        <v>0.020910746557355139</v>
      </c>
      <c r="Z67" s="220">
        <f t="shared" si="0"/>
        <v>0.020910746557355139</v>
      </c>
      <c r="AB67" s="167">
        <f t="shared" si="3"/>
        <v>-807135.2022152096</v>
      </c>
      <c r="AC67" s="167">
        <f t="shared" si="4"/>
        <v>651467234654.9873</v>
      </c>
      <c r="AD67" s="73"/>
      <c r="AE67" s="73">
        <f t="shared" si="5"/>
        <v>-807135.2022152096</v>
      </c>
      <c r="AF67" s="168">
        <f t="shared" si="6"/>
        <v>-545118.13773708045</v>
      </c>
      <c r="AG67" s="73">
        <f t="shared" si="7"/>
        <v>-262017.06447812915</v>
      </c>
      <c r="AH67" s="73">
        <f t="shared" si="8"/>
        <v>68652942077.736084</v>
      </c>
      <c r="AI67" s="6"/>
      <c r="AM67" s="131"/>
      <c r="AN67" s="210"/>
      <c r="AO67" s="130"/>
      <c r="AP67" s="130"/>
      <c r="AQ67" s="130"/>
      <c r="AR67" s="32"/>
    </row>
    <row r="68" spans="1:44" ht="12.75">
      <c r="A68" s="90">
        <v>39600</v>
      </c>
      <c r="B68" s="153">
        <f>+'Power Purchases'!I68</f>
        <v>42814268.953677781</v>
      </c>
      <c r="C68" s="84">
        <v>22.70</v>
      </c>
      <c r="D68" s="84">
        <v>71.50</v>
      </c>
      <c r="E68" s="87">
        <v>30</v>
      </c>
      <c r="F68" s="86">
        <v>0</v>
      </c>
      <c r="G68" s="87">
        <v>24979.999999999993</v>
      </c>
      <c r="H68" s="87">
        <v>336</v>
      </c>
      <c r="I68" s="87">
        <v>0</v>
      </c>
      <c r="J68" s="87">
        <v>0</v>
      </c>
      <c r="K68" s="184">
        <v>56404.700000000026</v>
      </c>
      <c r="L68" s="189">
        <v>65</v>
      </c>
      <c r="M68" s="188">
        <v>1.1998919813380524</v>
      </c>
      <c r="N68" s="248">
        <v>462</v>
      </c>
      <c r="O68" s="91">
        <f t="shared" si="9" ref="O68:O131">+$S$19+C68*$S$20+D68*$S$21+E68*$S$22+F68*$S$23+G68*$S$24+H68*$S$25+I68*$S$26+J68*$S$27</f>
        <v>42755675.12445271</v>
      </c>
      <c r="P68" s="88">
        <f t="shared" si="10" ref="P68:P131">+(O68-B68)/B68</f>
        <v>-0.0013685584422442304</v>
      </c>
      <c r="Z68" s="220">
        <f t="shared" si="11" ref="Z68:Z131">ABS(P68)</f>
        <v>0.0013685584422442304</v>
      </c>
      <c r="AB68" s="167">
        <f t="shared" si="12" ref="AB68:AB131">+B68-O68</f>
        <v>58593.829225070775</v>
      </c>
      <c r="AC68" s="167">
        <f t="shared" si="13" ref="AC68:AC131">+AB68*AB68</f>
        <v>3433236823.2567582</v>
      </c>
      <c r="AD68" s="73"/>
      <c r="AE68" s="73">
        <f t="shared" si="14" ref="AE68:AE131">+AB68</f>
        <v>58593.829225070775</v>
      </c>
      <c r="AF68" s="168">
        <f t="shared" si="6"/>
        <v>-807135.2022152096</v>
      </c>
      <c r="AG68" s="73">
        <f t="shared" si="7"/>
        <v>865729.03144028038</v>
      </c>
      <c r="AH68" s="73">
        <f t="shared" si="8"/>
        <v>749486755878.526</v>
      </c>
      <c r="AI68" s="6"/>
      <c r="AM68" s="131"/>
      <c r="AN68" s="210"/>
      <c r="AO68" s="130"/>
      <c r="AP68" s="130"/>
      <c r="AQ68" s="130"/>
      <c r="AR68" s="32"/>
    </row>
    <row r="69" spans="1:44" ht="12.75">
      <c r="A69" s="90">
        <v>39630</v>
      </c>
      <c r="B69" s="153">
        <f>+'Power Purchases'!I69</f>
        <v>46740881.936930202</v>
      </c>
      <c r="C69" s="84">
        <v>1</v>
      </c>
      <c r="D69" s="84">
        <v>111</v>
      </c>
      <c r="E69" s="87">
        <v>31</v>
      </c>
      <c r="F69" s="86">
        <v>0</v>
      </c>
      <c r="G69" s="87">
        <v>24995.166666666657</v>
      </c>
      <c r="H69" s="87">
        <v>352</v>
      </c>
      <c r="I69" s="87">
        <v>0</v>
      </c>
      <c r="J69" s="87">
        <v>0</v>
      </c>
      <c r="K69" s="184">
        <v>56466.683333333363</v>
      </c>
      <c r="L69" s="189">
        <v>64.900000000000006</v>
      </c>
      <c r="M69" s="188">
        <v>1.2023265799035146</v>
      </c>
      <c r="N69" s="248">
        <v>467</v>
      </c>
      <c r="O69" s="91">
        <f t="shared" si="9"/>
        <v>46242184.739663072</v>
      </c>
      <c r="P69" s="88">
        <f t="shared" si="10"/>
        <v>-0.010669400674553959</v>
      </c>
      <c r="Z69" s="220">
        <f t="shared" si="11"/>
        <v>0.010669400674553959</v>
      </c>
      <c r="AB69" s="167">
        <f t="shared" si="12"/>
        <v>498697.19726713002</v>
      </c>
      <c r="AC69" s="167">
        <f t="shared" si="13"/>
        <v>248698894562.09079</v>
      </c>
      <c r="AD69" s="73"/>
      <c r="AE69" s="73">
        <f t="shared" si="14"/>
        <v>498697.19726713002</v>
      </c>
      <c r="AF69" s="168">
        <f t="shared" si="15" ref="AF69:AF132">+AE68</f>
        <v>58593.829225070775</v>
      </c>
      <c r="AG69" s="73">
        <f t="shared" si="16" ref="AG69:AG132">+AE69-AF69</f>
        <v>440103.36804205924</v>
      </c>
      <c r="AH69" s="73">
        <f t="shared" si="17" ref="AH69:AH132">+AG69*AG69</f>
        <v>193690974561.96426</v>
      </c>
      <c r="AI69" s="6"/>
      <c r="AM69" s="131"/>
      <c r="AN69" s="210"/>
      <c r="AO69" s="130"/>
      <c r="AP69" s="130"/>
      <c r="AQ69" s="130"/>
      <c r="AR69" s="32"/>
    </row>
    <row r="70" spans="1:44" ht="12.75">
      <c r="A70" s="90">
        <v>39661</v>
      </c>
      <c r="B70" s="153">
        <f>+'Power Purchases'!I70</f>
        <v>43536624.920182623</v>
      </c>
      <c r="C70" s="84">
        <v>12.70</v>
      </c>
      <c r="D70" s="84">
        <v>64</v>
      </c>
      <c r="E70" s="87">
        <v>31</v>
      </c>
      <c r="F70" s="86">
        <v>0</v>
      </c>
      <c r="G70" s="87">
        <v>25010.333333333325</v>
      </c>
      <c r="H70" s="87">
        <v>320</v>
      </c>
      <c r="I70" s="87">
        <v>0</v>
      </c>
      <c r="J70" s="87">
        <v>0</v>
      </c>
      <c r="K70" s="184">
        <v>56528.666666666701</v>
      </c>
      <c r="L70" s="189">
        <v>64.400000000000006</v>
      </c>
      <c r="M70" s="188">
        <v>1.2047611784689765</v>
      </c>
      <c r="N70" s="248">
        <v>432</v>
      </c>
      <c r="O70" s="91">
        <f t="shared" si="9"/>
        <v>42898567.557877116</v>
      </c>
      <c r="P70" s="88">
        <f t="shared" si="10"/>
        <v>-0.014655645987149493</v>
      </c>
      <c r="Z70" s="220">
        <f t="shared" si="11"/>
        <v>0.014655645987149493</v>
      </c>
      <c r="AB70" s="167">
        <f t="shared" si="12"/>
        <v>638057.36230550706</v>
      </c>
      <c r="AC70" s="167">
        <f t="shared" si="13"/>
        <v>407117197592.26111</v>
      </c>
      <c r="AD70" s="73"/>
      <c r="AE70" s="73">
        <f t="shared" si="14"/>
        <v>638057.36230550706</v>
      </c>
      <c r="AF70" s="168">
        <f t="shared" si="15"/>
        <v>498697.19726713002</v>
      </c>
      <c r="AG70" s="73">
        <f t="shared" si="16"/>
        <v>139360.16503837705</v>
      </c>
      <c r="AH70" s="73">
        <f t="shared" si="17"/>
        <v>19421255599.523689</v>
      </c>
      <c r="AI70" s="6"/>
      <c r="AM70" s="131"/>
      <c r="AN70" s="210"/>
      <c r="AO70" s="130"/>
      <c r="AP70" s="130"/>
      <c r="AQ70" s="130"/>
      <c r="AR70" s="32"/>
    </row>
    <row r="71" spans="1:44" ht="12.75">
      <c r="A71" s="90">
        <v>39692</v>
      </c>
      <c r="B71" s="153">
        <f>+'Power Purchases'!I71</f>
        <v>41096137.903435044</v>
      </c>
      <c r="C71" s="84">
        <v>59</v>
      </c>
      <c r="D71" s="84">
        <v>26.70</v>
      </c>
      <c r="E71" s="87">
        <v>30</v>
      </c>
      <c r="F71" s="86">
        <v>0</v>
      </c>
      <c r="G71" s="87">
        <v>25025.499999999993</v>
      </c>
      <c r="H71" s="87">
        <v>336</v>
      </c>
      <c r="I71" s="87">
        <v>1</v>
      </c>
      <c r="J71" s="87">
        <v>0</v>
      </c>
      <c r="K71" s="184">
        <v>56590.650000000038</v>
      </c>
      <c r="L71" s="189">
        <v>63.90</v>
      </c>
      <c r="M71" s="188">
        <v>1.2071957770344386</v>
      </c>
      <c r="N71" s="248">
        <v>374</v>
      </c>
      <c r="O71" s="91">
        <f t="shared" si="9"/>
        <v>39701853.712088659</v>
      </c>
      <c r="P71" s="88">
        <f t="shared" si="10"/>
        <v>-0.03392737766800813</v>
      </c>
      <c r="Z71" s="220">
        <f t="shared" si="11"/>
        <v>0.03392737766800813</v>
      </c>
      <c r="AB71" s="167">
        <f t="shared" si="12"/>
        <v>1394284.1913463846</v>
      </c>
      <c r="AC71" s="167">
        <f t="shared" si="13"/>
        <v>1944028406238.4417</v>
      </c>
      <c r="AD71" s="73"/>
      <c r="AE71" s="73">
        <f t="shared" si="14"/>
        <v>1394284.1913463846</v>
      </c>
      <c r="AF71" s="168">
        <f t="shared" si="15"/>
        <v>638057.36230550706</v>
      </c>
      <c r="AG71" s="73">
        <f t="shared" si="16"/>
        <v>756226.82904087752</v>
      </c>
      <c r="AH71" s="73">
        <f t="shared" si="17"/>
        <v>571879016961.22058</v>
      </c>
      <c r="AI71" s="6"/>
      <c r="AM71" s="131"/>
      <c r="AN71" s="210"/>
      <c r="AO71" s="130"/>
      <c r="AP71" s="130"/>
      <c r="AQ71" s="130"/>
      <c r="AR71" s="32"/>
    </row>
    <row r="72" spans="1:44" ht="12.75">
      <c r="A72" s="90">
        <v>39722</v>
      </c>
      <c r="B72" s="153">
        <f>+'Power Purchases'!I72</f>
        <v>41016710.886687465</v>
      </c>
      <c r="C72" s="84">
        <v>278.60000000000002</v>
      </c>
      <c r="D72" s="84">
        <v>0</v>
      </c>
      <c r="E72" s="87">
        <v>31</v>
      </c>
      <c r="F72" s="86">
        <v>0</v>
      </c>
      <c r="G72" s="87">
        <v>25040.666666666657</v>
      </c>
      <c r="H72" s="87">
        <v>352</v>
      </c>
      <c r="I72" s="87">
        <v>1</v>
      </c>
      <c r="J72" s="87">
        <v>0</v>
      </c>
      <c r="K72" s="184">
        <v>56652.633333333375</v>
      </c>
      <c r="L72" s="189">
        <v>63.90</v>
      </c>
      <c r="M72" s="188">
        <v>1.2096303755999005</v>
      </c>
      <c r="N72" s="248">
        <v>340</v>
      </c>
      <c r="O72" s="91">
        <f t="shared" si="9"/>
        <v>41537637.354618691</v>
      </c>
      <c r="P72" s="88">
        <f t="shared" si="10"/>
        <v>0.012700347167532142</v>
      </c>
      <c r="Z72" s="220">
        <f t="shared" si="11"/>
        <v>0.012700347167532142</v>
      </c>
      <c r="AB72" s="167">
        <f t="shared" si="12"/>
        <v>-520926.4679312259</v>
      </c>
      <c r="AC72" s="167">
        <f t="shared" si="13"/>
        <v>271364384991.30252</v>
      </c>
      <c r="AD72" s="73"/>
      <c r="AE72" s="73">
        <f t="shared" si="14"/>
        <v>-520926.4679312259</v>
      </c>
      <c r="AF72" s="168">
        <f t="shared" si="15"/>
        <v>1394284.1913463846</v>
      </c>
      <c r="AG72" s="73">
        <f t="shared" si="16"/>
        <v>-1915210.6592776105</v>
      </c>
      <c r="AH72" s="73">
        <f t="shared" si="17"/>
        <v>3668031869410.5796</v>
      </c>
      <c r="AI72" s="6"/>
      <c r="AM72" s="131"/>
      <c r="AN72" s="210"/>
      <c r="AO72" s="130"/>
      <c r="AP72" s="130"/>
      <c r="AQ72" s="130"/>
      <c r="AR72" s="32"/>
    </row>
    <row r="73" spans="1:44" ht="12.75">
      <c r="A73" s="90">
        <v>39753</v>
      </c>
      <c r="B73" s="153">
        <f>+'Power Purchases'!I73</f>
        <v>41226233.869939886</v>
      </c>
      <c r="C73" s="84">
        <v>451.60</v>
      </c>
      <c r="D73" s="84">
        <v>0</v>
      </c>
      <c r="E73" s="87">
        <v>30</v>
      </c>
      <c r="F73" s="86">
        <v>0</v>
      </c>
      <c r="G73" s="87">
        <v>25055.833333333321</v>
      </c>
      <c r="H73" s="87">
        <v>304</v>
      </c>
      <c r="I73" s="87">
        <v>1</v>
      </c>
      <c r="J73" s="87">
        <v>0</v>
      </c>
      <c r="K73" s="184">
        <v>56714.616666666712</v>
      </c>
      <c r="L73" s="189">
        <v>63.60</v>
      </c>
      <c r="M73" s="188">
        <v>1.2120649741653626</v>
      </c>
      <c r="N73" s="248">
        <v>290</v>
      </c>
      <c r="O73" s="91">
        <f t="shared" si="9"/>
        <v>41430195.132859424</v>
      </c>
      <c r="P73" s="88">
        <f t="shared" si="10"/>
        <v>0.004947365882680254</v>
      </c>
      <c r="Z73" s="220">
        <f t="shared" si="11"/>
        <v>0.004947365882680254</v>
      </c>
      <c r="AB73" s="167">
        <f t="shared" si="12"/>
        <v>-203961.26291953772</v>
      </c>
      <c r="AC73" s="167">
        <f t="shared" si="13"/>
        <v>41600196771.732796</v>
      </c>
      <c r="AD73" s="73"/>
      <c r="AE73" s="73">
        <f t="shared" si="14"/>
        <v>-203961.26291953772</v>
      </c>
      <c r="AF73" s="168">
        <f t="shared" si="15"/>
        <v>-520926.4679312259</v>
      </c>
      <c r="AG73" s="73">
        <f t="shared" si="16"/>
        <v>316965.20501168817</v>
      </c>
      <c r="AH73" s="73">
        <f t="shared" si="17"/>
        <v>100466941188.10152</v>
      </c>
      <c r="AI73" s="6"/>
      <c r="AM73" s="131"/>
      <c r="AN73" s="210"/>
      <c r="AO73" s="130"/>
      <c r="AP73" s="130"/>
      <c r="AQ73" s="130"/>
      <c r="AR73" s="32"/>
    </row>
    <row r="74" spans="1:44" ht="12.75">
      <c r="A74" s="90">
        <v>39783</v>
      </c>
      <c r="B74" s="153">
        <f>+'Power Purchases'!I74</f>
        <v>46223996.853192307</v>
      </c>
      <c r="C74" s="84">
        <v>654.60</v>
      </c>
      <c r="D74" s="84">
        <v>0</v>
      </c>
      <c r="E74" s="87">
        <v>31</v>
      </c>
      <c r="F74" s="86">
        <v>0</v>
      </c>
      <c r="G74" s="87">
        <v>25071</v>
      </c>
      <c r="H74" s="87">
        <v>336</v>
      </c>
      <c r="I74" s="87">
        <v>0</v>
      </c>
      <c r="J74" s="87">
        <v>0</v>
      </c>
      <c r="K74" s="184">
        <v>56776.600000000006</v>
      </c>
      <c r="L74" s="189">
        <v>63.50</v>
      </c>
      <c r="M74" s="188">
        <v>1.2144995727308245</v>
      </c>
      <c r="N74" s="248">
        <v>269</v>
      </c>
      <c r="O74" s="91">
        <f t="shared" si="9"/>
        <v>45776050.031878397</v>
      </c>
      <c r="P74" s="88">
        <f t="shared" si="10"/>
        <v>-0.0096907851291309147</v>
      </c>
      <c r="Q74" s="24"/>
      <c r="Z74" s="220">
        <f t="shared" si="11"/>
        <v>0.0096907851291309147</v>
      </c>
      <c r="AB74" s="167">
        <f t="shared" si="12"/>
        <v>447946.82131391019</v>
      </c>
      <c r="AC74" s="167">
        <f t="shared" si="13"/>
        <v>200656354725.23618</v>
      </c>
      <c r="AD74" s="73"/>
      <c r="AE74" s="73">
        <f t="shared" si="14"/>
        <v>447946.82131391019</v>
      </c>
      <c r="AF74" s="168">
        <f t="shared" si="15"/>
        <v>-203961.26291953772</v>
      </c>
      <c r="AG74" s="73">
        <f t="shared" si="16"/>
        <v>651908.08423344791</v>
      </c>
      <c r="AH74" s="73">
        <f t="shared" si="17"/>
        <v>424984150288.92419</v>
      </c>
      <c r="AI74" s="6"/>
      <c r="AM74" s="131"/>
      <c r="AN74" s="210"/>
      <c r="AO74" s="130"/>
      <c r="AP74" s="130"/>
      <c r="AQ74" s="130"/>
      <c r="AR74" s="32"/>
    </row>
    <row r="75" spans="1:44" ht="12.75">
      <c r="A75" s="90">
        <v>39814</v>
      </c>
      <c r="B75" s="153">
        <f>+'Power Purchases'!I75</f>
        <v>48012645.866910294</v>
      </c>
      <c r="C75" s="84">
        <v>830.20</v>
      </c>
      <c r="D75" s="84">
        <v>0</v>
      </c>
      <c r="E75" s="87">
        <v>31</v>
      </c>
      <c r="F75" s="86">
        <v>0</v>
      </c>
      <c r="G75" s="87">
        <v>25092.499999999996</v>
      </c>
      <c r="H75" s="87">
        <v>336</v>
      </c>
      <c r="I75" s="87">
        <v>0</v>
      </c>
      <c r="J75" s="87">
        <v>0</v>
      </c>
      <c r="K75" s="184">
        <v>56838.583333333343</v>
      </c>
      <c r="L75" s="189">
        <v>62.80</v>
      </c>
      <c r="M75" s="188">
        <v>1.2138229761474457</v>
      </c>
      <c r="N75" s="248">
        <v>290</v>
      </c>
      <c r="O75" s="91">
        <f t="shared" si="9"/>
        <v>47562374.67780605</v>
      </c>
      <c r="P75" s="88">
        <f t="shared" si="10"/>
        <v>-0.0093781790395885117</v>
      </c>
      <c r="Z75" s="220">
        <f t="shared" si="11"/>
        <v>0.0093781790395885117</v>
      </c>
      <c r="AB75" s="167">
        <f t="shared" si="12"/>
        <v>450271.18910424411</v>
      </c>
      <c r="AC75" s="167">
        <f t="shared" si="13"/>
        <v>202744143737.34998</v>
      </c>
      <c r="AD75" s="73"/>
      <c r="AE75" s="73">
        <f t="shared" si="14"/>
        <v>450271.18910424411</v>
      </c>
      <c r="AF75" s="168">
        <f t="shared" si="15"/>
        <v>447946.82131391019</v>
      </c>
      <c r="AG75" s="73">
        <f t="shared" si="16"/>
        <v>2324.3677903339267</v>
      </c>
      <c r="AH75" s="73">
        <f t="shared" si="17"/>
        <v>5402685.6247418206</v>
      </c>
      <c r="AI75" s="6"/>
      <c r="AM75" s="131"/>
      <c r="AN75" s="210"/>
      <c r="AO75" s="130"/>
      <c r="AP75" s="130"/>
      <c r="AQ75" s="130"/>
      <c r="AR75" s="32"/>
    </row>
    <row r="76" spans="1:44" ht="12.75">
      <c r="A76" s="90">
        <v>39845</v>
      </c>
      <c r="B76" s="153">
        <f>+'Power Purchases'!I76</f>
        <v>41520924.606054671</v>
      </c>
      <c r="C76" s="84">
        <v>606.40</v>
      </c>
      <c r="D76" s="84">
        <v>0</v>
      </c>
      <c r="E76" s="87">
        <v>28</v>
      </c>
      <c r="F76" s="86">
        <v>0</v>
      </c>
      <c r="G76" s="87">
        <v>25114</v>
      </c>
      <c r="H76" s="87">
        <v>304</v>
      </c>
      <c r="I76" s="87">
        <v>0</v>
      </c>
      <c r="J76" s="87">
        <v>0</v>
      </c>
      <c r="K76" s="184">
        <v>56900.56666666668</v>
      </c>
      <c r="L76" s="189">
        <v>62.30</v>
      </c>
      <c r="M76" s="188">
        <v>1.2131463795640669</v>
      </c>
      <c r="N76" s="248">
        <v>305</v>
      </c>
      <c r="O76" s="91">
        <f t="shared" si="9"/>
        <v>41888502.863065131</v>
      </c>
      <c r="P76" s="88">
        <f t="shared" si="10"/>
        <v>0.0088528437287463211</v>
      </c>
      <c r="Z76" s="220">
        <f t="shared" si="11"/>
        <v>0.0088528437287463211</v>
      </c>
      <c r="AB76" s="167">
        <f t="shared" si="12"/>
        <v>-367578.2570104599</v>
      </c>
      <c r="AC76" s="167">
        <f t="shared" si="13"/>
        <v>135113775026.84772</v>
      </c>
      <c r="AD76" s="73"/>
      <c r="AE76" s="73">
        <f t="shared" si="14"/>
        <v>-367578.2570104599</v>
      </c>
      <c r="AF76" s="168">
        <f t="shared" si="15"/>
        <v>450271.18910424411</v>
      </c>
      <c r="AG76" s="73">
        <f t="shared" si="16"/>
        <v>-817849.44611470401</v>
      </c>
      <c r="AH76" s="73">
        <f t="shared" si="17"/>
        <v>668877716510.12817</v>
      </c>
      <c r="AI76" s="6"/>
      <c r="AM76" s="131"/>
      <c r="AN76" s="210"/>
      <c r="AO76" s="130"/>
      <c r="AP76" s="130"/>
      <c r="AQ76" s="130"/>
      <c r="AR76" s="32"/>
    </row>
    <row r="77" spans="1:44" ht="12.75">
      <c r="A77" s="90">
        <v>39873</v>
      </c>
      <c r="B77" s="153">
        <f>+'Power Purchases'!I77</f>
        <v>42885574.345199056</v>
      </c>
      <c r="C77" s="84">
        <v>533.79999999999995</v>
      </c>
      <c r="D77" s="84">
        <v>0</v>
      </c>
      <c r="E77" s="87">
        <v>31</v>
      </c>
      <c r="F77" s="86">
        <v>1</v>
      </c>
      <c r="G77" s="87">
        <v>25135.499999999996</v>
      </c>
      <c r="H77" s="87">
        <v>352</v>
      </c>
      <c r="I77" s="87">
        <v>0</v>
      </c>
      <c r="J77" s="87">
        <v>0</v>
      </c>
      <c r="K77" s="184">
        <v>56962.550000000017</v>
      </c>
      <c r="L77" s="189">
        <v>61.90</v>
      </c>
      <c r="M77" s="188">
        <v>1.2124697829806881</v>
      </c>
      <c r="N77" s="248">
        <v>371</v>
      </c>
      <c r="O77" s="91">
        <f t="shared" si="9"/>
        <v>43211487.51419726</v>
      </c>
      <c r="P77" s="88">
        <f t="shared" si="10"/>
        <v>0.0075995990254165598</v>
      </c>
      <c r="Z77" s="220">
        <f t="shared" si="11"/>
        <v>0.0075995990254165598</v>
      </c>
      <c r="AB77" s="167">
        <f t="shared" si="12"/>
        <v>-325913.16899820417</v>
      </c>
      <c r="AC77" s="167">
        <f t="shared" si="13"/>
        <v>106219393726.452</v>
      </c>
      <c r="AD77" s="73"/>
      <c r="AE77" s="73">
        <f t="shared" si="14"/>
        <v>-325913.16899820417</v>
      </c>
      <c r="AF77" s="168">
        <f t="shared" si="15"/>
        <v>-367578.2570104599</v>
      </c>
      <c r="AG77" s="73">
        <f t="shared" si="16"/>
        <v>41665.088012255728</v>
      </c>
      <c r="AH77" s="73">
        <f t="shared" si="17"/>
        <v>1735979559.069016</v>
      </c>
      <c r="AI77" s="6"/>
      <c r="AM77" s="131"/>
      <c r="AN77" s="210"/>
      <c r="AO77" s="130"/>
      <c r="AP77" s="130"/>
      <c r="AQ77" s="130"/>
      <c r="AR77" s="32"/>
    </row>
    <row r="78" spans="1:44" ht="12.75">
      <c r="A78" s="90">
        <v>39904</v>
      </c>
      <c r="B78" s="153">
        <f>+'Power Purchases'!I78</f>
        <v>39060747.084343433</v>
      </c>
      <c r="C78" s="84">
        <v>305.80</v>
      </c>
      <c r="D78" s="84">
        <v>1.20</v>
      </c>
      <c r="E78" s="87">
        <v>30</v>
      </c>
      <c r="F78" s="86">
        <v>1</v>
      </c>
      <c r="G78" s="87">
        <v>25156.999999999993</v>
      </c>
      <c r="H78" s="87">
        <v>320</v>
      </c>
      <c r="I78" s="87">
        <v>0</v>
      </c>
      <c r="J78" s="87">
        <v>0</v>
      </c>
      <c r="K78" s="184">
        <v>57024.533333333355</v>
      </c>
      <c r="L78" s="189">
        <v>62.10</v>
      </c>
      <c r="M78" s="188">
        <v>1.2117931863973093</v>
      </c>
      <c r="N78" s="248">
        <v>405</v>
      </c>
      <c r="O78" s="91">
        <f t="shared" si="9"/>
        <v>39483214.086742163</v>
      </c>
      <c r="P78" s="88">
        <f t="shared" si="10"/>
        <v>0.010815640609394927</v>
      </c>
      <c r="Q78" s="48"/>
      <c r="Z78" s="220">
        <f t="shared" si="11"/>
        <v>0.010815640609394927</v>
      </c>
      <c r="AB78" s="167">
        <f t="shared" si="12"/>
        <v>-422467.00239872932</v>
      </c>
      <c r="AC78" s="167">
        <f t="shared" si="13"/>
        <v>178478368115.76798</v>
      </c>
      <c r="AD78" s="73"/>
      <c r="AE78" s="73">
        <f t="shared" si="14"/>
        <v>-422467.00239872932</v>
      </c>
      <c r="AF78" s="168">
        <f t="shared" si="15"/>
        <v>-325913.16899820417</v>
      </c>
      <c r="AG78" s="73">
        <f t="shared" si="16"/>
        <v>-96553.833400525153</v>
      </c>
      <c r="AH78" s="73">
        <f t="shared" si="17"/>
        <v>9322642744.3363667</v>
      </c>
      <c r="AI78" s="6"/>
      <c r="AM78" s="131"/>
      <c r="AN78" s="210"/>
      <c r="AO78" s="130"/>
      <c r="AP78" s="130"/>
      <c r="AQ78" s="130"/>
      <c r="AR78" s="32"/>
    </row>
    <row r="79" spans="1:44" ht="12.75">
      <c r="A79" s="90">
        <v>39934</v>
      </c>
      <c r="B79" s="153">
        <f>+'Power Purchases'!I79</f>
        <v>38596545.823487811</v>
      </c>
      <c r="C79" s="84">
        <v>158.80000000000001</v>
      </c>
      <c r="D79" s="84">
        <v>6.90</v>
      </c>
      <c r="E79" s="87">
        <v>31</v>
      </c>
      <c r="F79" s="86">
        <v>1</v>
      </c>
      <c r="G79" s="87">
        <v>25178.499999999993</v>
      </c>
      <c r="H79" s="87">
        <v>320</v>
      </c>
      <c r="I79" s="87">
        <v>0</v>
      </c>
      <c r="J79" s="87">
        <v>0</v>
      </c>
      <c r="K79" s="184">
        <v>57086.516666666692</v>
      </c>
      <c r="L79" s="189">
        <v>62.20</v>
      </c>
      <c r="M79" s="188">
        <v>1.2111165898139302</v>
      </c>
      <c r="N79" s="248">
        <v>457</v>
      </c>
      <c r="O79" s="91">
        <f t="shared" si="9"/>
        <v>39354564.010347739</v>
      </c>
      <c r="P79" s="88">
        <f t="shared" si="10"/>
        <v>0.019639534333630405</v>
      </c>
      <c r="Z79" s="220">
        <f t="shared" si="11"/>
        <v>0.019639534333630405</v>
      </c>
      <c r="AB79" s="167">
        <f t="shared" si="12"/>
        <v>-758018.18685992807</v>
      </c>
      <c r="AC79" s="167">
        <f t="shared" si="13"/>
        <v>574591571610.41284</v>
      </c>
      <c r="AD79" s="73"/>
      <c r="AE79" s="73">
        <f t="shared" si="14"/>
        <v>-758018.18685992807</v>
      </c>
      <c r="AF79" s="168">
        <f t="shared" si="15"/>
        <v>-422467.00239872932</v>
      </c>
      <c r="AG79" s="73">
        <f t="shared" si="16"/>
        <v>-335551.18446119875</v>
      </c>
      <c r="AH79" s="73">
        <f t="shared" si="17"/>
        <v>112594597393.31343</v>
      </c>
      <c r="AI79" s="6"/>
      <c r="AM79" s="131"/>
      <c r="AN79" s="210"/>
      <c r="AO79" s="130"/>
      <c r="AP79" s="130"/>
      <c r="AQ79" s="130"/>
      <c r="AR79" s="32"/>
    </row>
    <row r="80" spans="1:44" ht="12.75">
      <c r="A80" s="90">
        <v>39965</v>
      </c>
      <c r="B80" s="153">
        <f>+'Power Purchases'!I80</f>
        <v>40892227.562632196</v>
      </c>
      <c r="C80" s="84">
        <v>49.30</v>
      </c>
      <c r="D80" s="84">
        <v>34.200000000000003</v>
      </c>
      <c r="E80" s="87">
        <v>30</v>
      </c>
      <c r="F80" s="86">
        <v>0</v>
      </c>
      <c r="G80" s="87">
        <v>25199.999999999993</v>
      </c>
      <c r="H80" s="87">
        <v>352</v>
      </c>
      <c r="I80" s="87">
        <v>0</v>
      </c>
      <c r="J80" s="87">
        <v>0</v>
      </c>
      <c r="K80" s="184">
        <v>57148.500000000029</v>
      </c>
      <c r="L80" s="189">
        <v>62</v>
      </c>
      <c r="M80" s="188">
        <v>1.2104399932305514</v>
      </c>
      <c r="N80" s="248">
        <v>462</v>
      </c>
      <c r="O80" s="91">
        <f t="shared" si="9"/>
        <v>41368950.100516222</v>
      </c>
      <c r="P80" s="88">
        <f t="shared" si="10"/>
        <v>0.011658023206338153</v>
      </c>
      <c r="Z80" s="220">
        <f t="shared" si="11"/>
        <v>0.011658023206338153</v>
      </c>
      <c r="AB80" s="167">
        <f t="shared" si="12"/>
        <v>-476722.53788402677</v>
      </c>
      <c r="AC80" s="167">
        <f t="shared" si="13"/>
        <v>227264378126.58734</v>
      </c>
      <c r="AD80" s="73"/>
      <c r="AE80" s="73">
        <f t="shared" si="14"/>
        <v>-476722.53788402677</v>
      </c>
      <c r="AF80" s="168">
        <f t="shared" si="15"/>
        <v>-758018.18685992807</v>
      </c>
      <c r="AG80" s="73">
        <f t="shared" si="16"/>
        <v>281295.64897590131</v>
      </c>
      <c r="AH80" s="73">
        <f t="shared" si="17"/>
        <v>79127242132.773483</v>
      </c>
      <c r="AI80" s="6"/>
      <c r="AM80" s="131"/>
      <c r="AN80" s="210"/>
      <c r="AO80" s="130"/>
      <c r="AP80" s="130"/>
      <c r="AQ80" s="130"/>
      <c r="AR80" s="32"/>
    </row>
    <row r="81" spans="1:44" ht="12.75">
      <c r="A81" s="90">
        <v>39995</v>
      </c>
      <c r="B81" s="153">
        <f>+'Power Purchases'!I81</f>
        <v>41797242.301776573</v>
      </c>
      <c r="C81" s="84">
        <v>6.20</v>
      </c>
      <c r="D81" s="84">
        <v>43.70</v>
      </c>
      <c r="E81" s="87">
        <v>31</v>
      </c>
      <c r="F81" s="86">
        <v>0</v>
      </c>
      <c r="G81" s="87">
        <v>25221.499999999989</v>
      </c>
      <c r="H81" s="87">
        <v>352</v>
      </c>
      <c r="I81" s="87">
        <v>0</v>
      </c>
      <c r="J81" s="87">
        <v>0</v>
      </c>
      <c r="K81" s="184">
        <v>57210.483333333366</v>
      </c>
      <c r="L81" s="189">
        <v>61.80</v>
      </c>
      <c r="M81" s="188">
        <v>1.2097633966471726</v>
      </c>
      <c r="N81" s="248">
        <v>467</v>
      </c>
      <c r="O81" s="91">
        <f t="shared" si="9"/>
        <v>42510942.941836037</v>
      </c>
      <c r="P81" s="88">
        <f t="shared" si="10"/>
        <v>0.017075304511875132</v>
      </c>
      <c r="Z81" s="220">
        <f t="shared" si="11"/>
        <v>0.017075304511875132</v>
      </c>
      <c r="AB81" s="167">
        <f t="shared" si="12"/>
        <v>-713700.64005946368</v>
      </c>
      <c r="AC81" s="167">
        <f t="shared" si="13"/>
        <v>509368603621.28815</v>
      </c>
      <c r="AD81" s="73"/>
      <c r="AE81" s="73">
        <f t="shared" si="14"/>
        <v>-713700.64005946368</v>
      </c>
      <c r="AF81" s="168">
        <f t="shared" si="15"/>
        <v>-476722.53788402677</v>
      </c>
      <c r="AG81" s="73">
        <f t="shared" si="16"/>
        <v>-236978.10217543691</v>
      </c>
      <c r="AH81" s="73">
        <f t="shared" si="17"/>
        <v>56158620910.671822</v>
      </c>
      <c r="AI81" s="6"/>
      <c r="AM81" s="131"/>
      <c r="AN81" s="210"/>
      <c r="AO81" s="130"/>
      <c r="AP81" s="130"/>
      <c r="AQ81" s="130"/>
      <c r="AR81" s="32"/>
    </row>
    <row r="82" spans="1:44" ht="12.75">
      <c r="A82" s="90">
        <v>40026</v>
      </c>
      <c r="B82" s="153">
        <f>+'Power Purchases'!I82</f>
        <v>45518971.040920958</v>
      </c>
      <c r="C82" s="84">
        <v>9.8000000000000007</v>
      </c>
      <c r="D82" s="84">
        <v>91</v>
      </c>
      <c r="E82" s="87">
        <v>31</v>
      </c>
      <c r="F82" s="86">
        <v>0</v>
      </c>
      <c r="G82" s="87">
        <v>25242.999999999993</v>
      </c>
      <c r="H82" s="87">
        <v>320</v>
      </c>
      <c r="I82" s="87">
        <v>0</v>
      </c>
      <c r="J82" s="87">
        <v>0</v>
      </c>
      <c r="K82" s="184">
        <v>57272.466666666704</v>
      </c>
      <c r="L82" s="189">
        <v>61.80</v>
      </c>
      <c r="M82" s="188">
        <v>1.2090868000637938</v>
      </c>
      <c r="N82" s="248">
        <v>432</v>
      </c>
      <c r="O82" s="91">
        <f t="shared" si="9"/>
        <v>44880008.204998031</v>
      </c>
      <c r="P82" s="88">
        <f t="shared" si="10"/>
        <v>-0.014037286461253868</v>
      </c>
      <c r="Z82" s="220">
        <f t="shared" si="11"/>
        <v>0.014037286461253868</v>
      </c>
      <c r="AB82" s="167">
        <f t="shared" si="12"/>
        <v>638962.83592292666</v>
      </c>
      <c r="AC82" s="167">
        <f t="shared" si="13"/>
        <v>408273505690.66888</v>
      </c>
      <c r="AD82" s="73"/>
      <c r="AE82" s="73">
        <f t="shared" si="14"/>
        <v>638962.83592292666</v>
      </c>
      <c r="AF82" s="168">
        <f t="shared" si="15"/>
        <v>-713700.64005946368</v>
      </c>
      <c r="AG82" s="73">
        <f t="shared" si="16"/>
        <v>1352663.4759823903</v>
      </c>
      <c r="AH82" s="73">
        <f t="shared" si="17"/>
        <v>1829698479256.7627</v>
      </c>
      <c r="AI82" s="6"/>
      <c r="AM82" s="131"/>
      <c r="AN82" s="210"/>
      <c r="AO82" s="130"/>
      <c r="AP82" s="130"/>
      <c r="AQ82" s="130"/>
      <c r="AR82" s="32"/>
    </row>
    <row r="83" spans="1:44" ht="12.75">
      <c r="A83" s="90">
        <v>40057</v>
      </c>
      <c r="B83" s="153">
        <f>+'Power Purchases'!I83</f>
        <v>40332197.780065335</v>
      </c>
      <c r="C83" s="84">
        <v>55.20</v>
      </c>
      <c r="D83" s="84">
        <v>20.90</v>
      </c>
      <c r="E83" s="87">
        <v>30</v>
      </c>
      <c r="F83" s="86">
        <v>0</v>
      </c>
      <c r="G83" s="87">
        <v>25264.499999999985</v>
      </c>
      <c r="H83" s="87">
        <v>336</v>
      </c>
      <c r="I83" s="87">
        <v>1</v>
      </c>
      <c r="J83" s="87">
        <v>0</v>
      </c>
      <c r="K83" s="184">
        <v>57334.450000000041</v>
      </c>
      <c r="L83" s="189">
        <v>61.50</v>
      </c>
      <c r="M83" s="188">
        <v>1.208410203480415</v>
      </c>
      <c r="N83" s="248">
        <v>374</v>
      </c>
      <c r="O83" s="91">
        <f t="shared" si="9"/>
        <v>39672152.156977341</v>
      </c>
      <c r="P83" s="88">
        <f t="shared" si="10"/>
        <v>-0.016365228264704934</v>
      </c>
      <c r="Z83" s="220">
        <f t="shared" si="11"/>
        <v>0.016365228264704934</v>
      </c>
      <c r="AB83" s="167">
        <f t="shared" si="12"/>
        <v>660045.62308799475</v>
      </c>
      <c r="AC83" s="167">
        <f t="shared" si="13"/>
        <v>435660224557.61926</v>
      </c>
      <c r="AD83" s="73"/>
      <c r="AE83" s="73">
        <f t="shared" si="14"/>
        <v>660045.62308799475</v>
      </c>
      <c r="AF83" s="168">
        <f t="shared" si="15"/>
        <v>638962.83592292666</v>
      </c>
      <c r="AG83" s="73">
        <f t="shared" si="16"/>
        <v>21082.78716506809</v>
      </c>
      <c r="AH83" s="73">
        <f t="shared" si="17"/>
        <v>444483914.64755976</v>
      </c>
      <c r="AI83" s="6"/>
      <c r="AM83" s="131"/>
      <c r="AN83" s="210"/>
      <c r="AO83" s="130"/>
      <c r="AP83" s="130"/>
      <c r="AQ83" s="130"/>
      <c r="AR83" s="32"/>
    </row>
    <row r="84" spans="1:44" ht="12.75">
      <c r="A84" s="90">
        <v>40087</v>
      </c>
      <c r="B84" s="153">
        <f>+'Power Purchases'!I84</f>
        <v>40749924.519209713</v>
      </c>
      <c r="C84" s="84">
        <v>287.80</v>
      </c>
      <c r="D84" s="84">
        <v>0</v>
      </c>
      <c r="E84" s="87">
        <v>31</v>
      </c>
      <c r="F84" s="86">
        <v>0</v>
      </c>
      <c r="G84" s="87">
        <v>25285.999999999985</v>
      </c>
      <c r="H84" s="87">
        <v>336</v>
      </c>
      <c r="I84" s="87">
        <v>1</v>
      </c>
      <c r="J84" s="87">
        <v>0</v>
      </c>
      <c r="K84" s="184">
        <v>57396.433333333378</v>
      </c>
      <c r="L84" s="189">
        <v>61.50</v>
      </c>
      <c r="M84" s="188">
        <v>1.2077336068970361</v>
      </c>
      <c r="N84" s="248">
        <v>340</v>
      </c>
      <c r="O84" s="91">
        <f t="shared" si="9"/>
        <v>41702751.302399725</v>
      </c>
      <c r="P84" s="88">
        <f t="shared" si="10"/>
        <v>0.023382295658997965</v>
      </c>
      <c r="Z84" s="220">
        <f t="shared" si="11"/>
        <v>0.023382295658997965</v>
      </c>
      <c r="AB84" s="167">
        <f t="shared" si="12"/>
        <v>-952826.78319001198</v>
      </c>
      <c r="AC84" s="167">
        <f t="shared" si="13"/>
        <v>907878878764.22607</v>
      </c>
      <c r="AD84" s="73"/>
      <c r="AE84" s="73">
        <f t="shared" si="14"/>
        <v>-952826.78319001198</v>
      </c>
      <c r="AF84" s="168">
        <f t="shared" si="15"/>
        <v>660045.62308799475</v>
      </c>
      <c r="AG84" s="73">
        <f t="shared" si="16"/>
        <v>-1612872.4062780067</v>
      </c>
      <c r="AH84" s="73">
        <f t="shared" si="17"/>
        <v>2601357398933.0078</v>
      </c>
      <c r="AI84" s="6"/>
      <c r="AM84" s="131"/>
      <c r="AN84" s="210"/>
      <c r="AO84" s="130"/>
      <c r="AP84" s="130"/>
      <c r="AQ84" s="130"/>
      <c r="AR84" s="32"/>
    </row>
    <row r="85" spans="1:44" ht="12.75">
      <c r="A85" s="90">
        <v>40118</v>
      </c>
      <c r="B85" s="153">
        <f>+'Power Purchases'!I85</f>
        <v>40287601.258354098</v>
      </c>
      <c r="C85" s="84">
        <v>361.20</v>
      </c>
      <c r="D85" s="84">
        <v>0</v>
      </c>
      <c r="E85" s="87">
        <v>30</v>
      </c>
      <c r="F85" s="86">
        <v>0</v>
      </c>
      <c r="G85" s="87">
        <v>25307.499999999989</v>
      </c>
      <c r="H85" s="87">
        <v>320</v>
      </c>
      <c r="I85" s="87">
        <v>1</v>
      </c>
      <c r="J85" s="87">
        <v>0</v>
      </c>
      <c r="K85" s="184">
        <v>57458.416666666715</v>
      </c>
      <c r="L85" s="189">
        <v>61.40</v>
      </c>
      <c r="M85" s="188">
        <v>1.2070570103136571</v>
      </c>
      <c r="N85" s="248">
        <v>290</v>
      </c>
      <c r="O85" s="91">
        <f t="shared" si="9"/>
        <v>41211118.927862972</v>
      </c>
      <c r="P85" s="88">
        <f t="shared" si="10"/>
        <v>0.022923123756775476</v>
      </c>
      <c r="Z85" s="220">
        <f t="shared" si="11"/>
        <v>0.022923123756775476</v>
      </c>
      <c r="AB85" s="167">
        <f t="shared" si="12"/>
        <v>-923517.66950887442</v>
      </c>
      <c r="AC85" s="167">
        <f t="shared" si="13"/>
        <v>852884885895.10254</v>
      </c>
      <c r="AD85" s="73"/>
      <c r="AE85" s="73">
        <f t="shared" si="14"/>
        <v>-923517.66950887442</v>
      </c>
      <c r="AF85" s="168">
        <f t="shared" si="15"/>
        <v>-952826.78319001198</v>
      </c>
      <c r="AG85" s="73">
        <f t="shared" si="16"/>
        <v>29309.113681137562</v>
      </c>
      <c r="AH85" s="73">
        <f t="shared" si="17"/>
        <v>859024144.77384496</v>
      </c>
      <c r="AI85" s="6"/>
      <c r="AM85" s="131"/>
      <c r="AN85" s="210"/>
      <c r="AO85" s="130"/>
      <c r="AP85" s="130"/>
      <c r="AQ85" s="130"/>
      <c r="AR85" s="32"/>
    </row>
    <row r="86" spans="1:44" ht="12.75">
      <c r="A86" s="90">
        <v>40148</v>
      </c>
      <c r="B86" s="153">
        <f>+'Power Purchases'!I86</f>
        <v>46543020.238622397</v>
      </c>
      <c r="C86" s="84">
        <v>631.29999999999995</v>
      </c>
      <c r="D86" s="84">
        <v>0</v>
      </c>
      <c r="E86" s="87">
        <v>31</v>
      </c>
      <c r="F86" s="86">
        <v>0</v>
      </c>
      <c r="G86" s="87">
        <v>25329</v>
      </c>
      <c r="H86" s="87">
        <v>352</v>
      </c>
      <c r="I86" s="87">
        <v>0</v>
      </c>
      <c r="J86" s="87">
        <v>0</v>
      </c>
      <c r="K86" s="184">
        <v>57520.400000000009</v>
      </c>
      <c r="L86" s="189">
        <v>61.70</v>
      </c>
      <c r="M86" s="188">
        <v>1.2063804137302794</v>
      </c>
      <c r="N86" s="248">
        <v>269</v>
      </c>
      <c r="O86" s="91">
        <f t="shared" si="9"/>
        <v>46236694.868078478</v>
      </c>
      <c r="P86" s="88">
        <f t="shared" si="10"/>
        <v>-0.0065815533451291618</v>
      </c>
      <c r="Z86" s="220">
        <f t="shared" si="11"/>
        <v>0.0065815533451291618</v>
      </c>
      <c r="AB86" s="167">
        <f t="shared" si="12"/>
        <v>306325.3705439195</v>
      </c>
      <c r="AC86" s="167">
        <f t="shared" si="13"/>
        <v>93835232638.869583</v>
      </c>
      <c r="AD86" s="73"/>
      <c r="AE86" s="73">
        <f t="shared" si="14"/>
        <v>306325.3705439195</v>
      </c>
      <c r="AF86" s="168">
        <f t="shared" si="15"/>
        <v>-923517.66950887442</v>
      </c>
      <c r="AG86" s="73">
        <f t="shared" si="16"/>
        <v>1229843.0400527939</v>
      </c>
      <c r="AH86" s="73">
        <f t="shared" si="17"/>
        <v>1512513903166.2981</v>
      </c>
      <c r="AI86" s="6"/>
      <c r="AM86" s="131"/>
      <c r="AN86" s="210"/>
      <c r="AO86" s="130"/>
      <c r="AP86" s="130"/>
      <c r="AQ86" s="130"/>
      <c r="AR86" s="32"/>
    </row>
    <row r="87" spans="1:44" ht="12.75">
      <c r="A87" s="90">
        <v>40179</v>
      </c>
      <c r="B87" s="153">
        <f>+'Power Purchases'!I87</f>
        <v>47505435.101892591</v>
      </c>
      <c r="C87" s="84">
        <v>720</v>
      </c>
      <c r="D87" s="84">
        <v>0</v>
      </c>
      <c r="E87" s="87">
        <v>31</v>
      </c>
      <c r="F87" s="86">
        <v>0</v>
      </c>
      <c r="G87" s="87">
        <v>25353.750000000004</v>
      </c>
      <c r="H87" s="87">
        <v>320</v>
      </c>
      <c r="I87" s="87">
        <v>0</v>
      </c>
      <c r="J87" s="87">
        <v>0</v>
      </c>
      <c r="K87" s="184">
        <v>57582.383333333346</v>
      </c>
      <c r="L87" s="189">
        <v>61.50</v>
      </c>
      <c r="M87" s="188">
        <v>1.2107384200303233</v>
      </c>
      <c r="N87" s="248">
        <v>290</v>
      </c>
      <c r="O87" s="91">
        <f t="shared" si="9"/>
        <v>46559374.362588957</v>
      </c>
      <c r="P87" s="88">
        <f t="shared" si="10"/>
        <v>-0.019914789481971149</v>
      </c>
      <c r="Z87" s="220">
        <f t="shared" si="11"/>
        <v>0.019914789481971149</v>
      </c>
      <c r="AB87" s="167">
        <f t="shared" si="12"/>
        <v>946060.73930363357</v>
      </c>
      <c r="AC87" s="167">
        <f t="shared" si="13"/>
        <v>895030922451.73767</v>
      </c>
      <c r="AD87" s="73"/>
      <c r="AE87" s="73">
        <f t="shared" si="14"/>
        <v>946060.73930363357</v>
      </c>
      <c r="AF87" s="168">
        <f t="shared" si="15"/>
        <v>306325.3705439195</v>
      </c>
      <c r="AG87" s="73">
        <f t="shared" si="16"/>
        <v>639735.36875971407</v>
      </c>
      <c r="AH87" s="73">
        <f t="shared" si="17"/>
        <v>409261342042.12732</v>
      </c>
      <c r="AI87" s="6"/>
      <c r="AM87" s="131"/>
      <c r="AN87" s="210"/>
      <c r="AO87" s="130"/>
      <c r="AP87" s="130"/>
      <c r="AQ87" s="130"/>
      <c r="AR87" s="32"/>
    </row>
    <row r="88" spans="1:44" ht="12.75">
      <c r="A88" s="90">
        <v>40210</v>
      </c>
      <c r="B88" s="153">
        <f>+'Power Purchases'!I88</f>
        <v>42555995.450102702</v>
      </c>
      <c r="C88" s="84">
        <v>598.29999999999995</v>
      </c>
      <c r="D88" s="84">
        <v>0</v>
      </c>
      <c r="E88" s="87">
        <v>28</v>
      </c>
      <c r="F88" s="86">
        <v>0</v>
      </c>
      <c r="G88" s="87">
        <v>25378.499999999993</v>
      </c>
      <c r="H88" s="87">
        <v>304</v>
      </c>
      <c r="I88" s="87">
        <v>0</v>
      </c>
      <c r="J88" s="87">
        <v>0</v>
      </c>
      <c r="K88" s="184">
        <v>57644.366666666683</v>
      </c>
      <c r="L88" s="189">
        <v>61.20</v>
      </c>
      <c r="M88" s="188">
        <v>1.2150964263303674</v>
      </c>
      <c r="N88" s="248">
        <v>305</v>
      </c>
      <c r="O88" s="91">
        <f t="shared" si="9"/>
        <v>42210441.578453556</v>
      </c>
      <c r="P88" s="88">
        <f t="shared" si="10"/>
        <v>-0.0081199809332227046</v>
      </c>
      <c r="Z88" s="220">
        <f t="shared" si="11"/>
        <v>0.0081199809332227046</v>
      </c>
      <c r="AB88" s="167">
        <f t="shared" si="12"/>
        <v>345553.87164914608</v>
      </c>
      <c r="AC88" s="167">
        <f t="shared" si="13"/>
        <v>119407478211.71452</v>
      </c>
      <c r="AD88" s="73"/>
      <c r="AE88" s="73">
        <f t="shared" si="14"/>
        <v>345553.87164914608</v>
      </c>
      <c r="AF88" s="168">
        <f t="shared" si="15"/>
        <v>946060.73930363357</v>
      </c>
      <c r="AG88" s="73">
        <f t="shared" si="16"/>
        <v>-600506.86765448749</v>
      </c>
      <c r="AH88" s="73">
        <f t="shared" si="17"/>
        <v>360608498100.20416</v>
      </c>
      <c r="AI88" s="6"/>
      <c r="AM88" s="131"/>
      <c r="AN88" s="210"/>
      <c r="AO88" s="130"/>
      <c r="AP88" s="130"/>
      <c r="AQ88" s="130"/>
      <c r="AR88" s="32"/>
    </row>
    <row r="89" spans="1:44" ht="12.75">
      <c r="A89" s="90">
        <v>40238</v>
      </c>
      <c r="B89" s="153">
        <f>+'Power Purchases'!I89</f>
        <v>42729524.726698726</v>
      </c>
      <c r="C89" s="84">
        <v>422.80</v>
      </c>
      <c r="D89" s="84">
        <v>0</v>
      </c>
      <c r="E89" s="87">
        <v>31</v>
      </c>
      <c r="F89" s="86">
        <v>1</v>
      </c>
      <c r="G89" s="87">
        <v>25403.249999999996</v>
      </c>
      <c r="H89" s="87">
        <v>368</v>
      </c>
      <c r="I89" s="87">
        <v>0</v>
      </c>
      <c r="J89" s="87">
        <v>0</v>
      </c>
      <c r="K89" s="184">
        <v>57706.35000000002</v>
      </c>
      <c r="L89" s="189">
        <v>61.10</v>
      </c>
      <c r="M89" s="188">
        <v>1.2194544326304113</v>
      </c>
      <c r="N89" s="248">
        <v>371</v>
      </c>
      <c r="O89" s="91">
        <f t="shared" si="9"/>
        <v>42811189.654994406</v>
      </c>
      <c r="P89" s="88">
        <f t="shared" si="10"/>
        <v>0.0019112060997171032</v>
      </c>
      <c r="Z89" s="220">
        <f t="shared" si="11"/>
        <v>0.0019112060997171032</v>
      </c>
      <c r="AB89" s="167">
        <f t="shared" si="12"/>
        <v>-81664.92829567939</v>
      </c>
      <c r="AC89" s="167">
        <f t="shared" si="13"/>
        <v>6669160513.538456</v>
      </c>
      <c r="AD89" s="73"/>
      <c r="AE89" s="73">
        <f t="shared" si="14"/>
        <v>-81664.92829567939</v>
      </c>
      <c r="AF89" s="168">
        <f t="shared" si="15"/>
        <v>345553.87164914608</v>
      </c>
      <c r="AG89" s="73">
        <f t="shared" si="16"/>
        <v>-427218.79994482547</v>
      </c>
      <c r="AH89" s="73">
        <f t="shared" si="17"/>
        <v>182515903026.29681</v>
      </c>
      <c r="AI89" s="6"/>
      <c r="AM89" s="131"/>
      <c r="AN89" s="210"/>
      <c r="AO89" s="130"/>
      <c r="AP89" s="130"/>
      <c r="AQ89" s="130"/>
      <c r="AR89" s="32"/>
    </row>
    <row r="90" spans="1:44" ht="12.75">
      <c r="A90" s="90">
        <v>40269</v>
      </c>
      <c r="B90" s="153">
        <f>+'Power Purchases'!I90</f>
        <v>38194633.322163783</v>
      </c>
      <c r="C90" s="84">
        <v>225.10</v>
      </c>
      <c r="D90" s="84">
        <v>0</v>
      </c>
      <c r="E90" s="87">
        <v>30</v>
      </c>
      <c r="F90" s="86">
        <v>1</v>
      </c>
      <c r="G90" s="87">
        <v>25428</v>
      </c>
      <c r="H90" s="87">
        <v>320</v>
      </c>
      <c r="I90" s="87">
        <v>0</v>
      </c>
      <c r="J90" s="87">
        <v>0</v>
      </c>
      <c r="K90" s="184">
        <v>57768.333333333358</v>
      </c>
      <c r="L90" s="189">
        <v>61.10</v>
      </c>
      <c r="M90" s="188">
        <v>1.2238124389304554</v>
      </c>
      <c r="N90" s="248">
        <v>405</v>
      </c>
      <c r="O90" s="91">
        <f t="shared" si="9"/>
        <v>39016449.951102637</v>
      </c>
      <c r="P90" s="88">
        <f t="shared" si="10"/>
        <v>0.021516547154858158</v>
      </c>
      <c r="Z90" s="220">
        <f t="shared" si="11"/>
        <v>0.021516547154858158</v>
      </c>
      <c r="AB90" s="167">
        <f t="shared" si="12"/>
        <v>-821816.62893885374</v>
      </c>
      <c r="AC90" s="167">
        <f t="shared" si="13"/>
        <v>675382571600.42163</v>
      </c>
      <c r="AD90" s="73"/>
      <c r="AE90" s="73">
        <f t="shared" si="14"/>
        <v>-821816.62893885374</v>
      </c>
      <c r="AF90" s="168">
        <f t="shared" si="15"/>
        <v>-81664.92829567939</v>
      </c>
      <c r="AG90" s="73">
        <f t="shared" si="16"/>
        <v>-740151.70064317435</v>
      </c>
      <c r="AH90" s="73">
        <f t="shared" si="17"/>
        <v>547824539964.98315</v>
      </c>
      <c r="AI90" s="6"/>
      <c r="AM90" s="131"/>
      <c r="AN90" s="210"/>
      <c r="AO90" s="130"/>
      <c r="AP90" s="130"/>
      <c r="AQ90" s="130"/>
      <c r="AR90" s="32"/>
    </row>
    <row r="91" spans="1:44" ht="12.75">
      <c r="A91" s="90">
        <v>40299</v>
      </c>
      <c r="B91" s="153">
        <f>+'Power Purchases'!I91</f>
        <v>42962938.157116264</v>
      </c>
      <c r="C91" s="84">
        <v>107.90</v>
      </c>
      <c r="D91" s="84">
        <v>45.70</v>
      </c>
      <c r="E91" s="87">
        <v>31</v>
      </c>
      <c r="F91" s="86">
        <v>1</v>
      </c>
      <c r="G91" s="87">
        <v>25452.749999999989</v>
      </c>
      <c r="H91" s="87">
        <v>320</v>
      </c>
      <c r="I91" s="87">
        <v>0</v>
      </c>
      <c r="J91" s="87">
        <v>0</v>
      </c>
      <c r="K91" s="184">
        <v>57830.316666666695</v>
      </c>
      <c r="L91" s="189">
        <v>61.40</v>
      </c>
      <c r="M91" s="188">
        <v>1.2281704452304993</v>
      </c>
      <c r="N91" s="248">
        <v>457</v>
      </c>
      <c r="O91" s="91">
        <f t="shared" si="9"/>
        <v>41643753.751149192</v>
      </c>
      <c r="P91" s="88">
        <f t="shared" si="10"/>
        <v>-0.030705172005294185</v>
      </c>
      <c r="Z91" s="220">
        <f t="shared" si="11"/>
        <v>0.030705172005294185</v>
      </c>
      <c r="AB91" s="167">
        <f t="shared" si="12"/>
        <v>1319184.4059670717</v>
      </c>
      <c r="AC91" s="167">
        <f t="shared" si="13"/>
        <v>1740247496946.6958</v>
      </c>
      <c r="AD91" s="73"/>
      <c r="AE91" s="73">
        <f t="shared" si="14"/>
        <v>1319184.4059670717</v>
      </c>
      <c r="AF91" s="168">
        <f t="shared" si="15"/>
        <v>-821816.62893885374</v>
      </c>
      <c r="AG91" s="73">
        <f t="shared" si="16"/>
        <v>2141001.0349059254</v>
      </c>
      <c r="AH91" s="73">
        <f t="shared" si="17"/>
        <v>4583885431468.2432</v>
      </c>
      <c r="AI91" s="6"/>
      <c r="AM91" s="131"/>
      <c r="AN91" s="210"/>
      <c r="AO91" s="130"/>
      <c r="AP91" s="130"/>
      <c r="AQ91" s="130"/>
      <c r="AR91" s="32"/>
    </row>
    <row r="92" spans="1:44" ht="12.75">
      <c r="A92" s="90">
        <v>40330</v>
      </c>
      <c r="B92" s="153">
        <f>+'Power Purchases'!I92</f>
        <v>44748882.502333112</v>
      </c>
      <c r="C92" s="84">
        <v>21.70</v>
      </c>
      <c r="D92" s="84">
        <v>58.70</v>
      </c>
      <c r="E92" s="87">
        <v>30</v>
      </c>
      <c r="F92" s="86">
        <v>0</v>
      </c>
      <c r="G92" s="87">
        <v>25477.499999999993</v>
      </c>
      <c r="H92" s="87">
        <v>352</v>
      </c>
      <c r="I92" s="87">
        <v>0</v>
      </c>
      <c r="J92" s="87">
        <v>0</v>
      </c>
      <c r="K92" s="184">
        <v>57892.300000000032</v>
      </c>
      <c r="L92" s="189">
        <v>61.90</v>
      </c>
      <c r="M92" s="188">
        <v>1.2325284515305435</v>
      </c>
      <c r="N92" s="248">
        <v>462</v>
      </c>
      <c r="O92" s="91">
        <f t="shared" si="9"/>
        <v>43018672.714096211</v>
      </c>
      <c r="P92" s="88">
        <f t="shared" si="10"/>
        <v>-0.038664871422134213</v>
      </c>
      <c r="Z92" s="220">
        <f t="shared" si="11"/>
        <v>0.038664871422134213</v>
      </c>
      <c r="AB92" s="167">
        <f t="shared" si="12"/>
        <v>1730209.7882369012</v>
      </c>
      <c r="AC92" s="167">
        <f t="shared" si="13"/>
        <v>2993625911310.7822</v>
      </c>
      <c r="AD92" s="73"/>
      <c r="AE92" s="73">
        <f t="shared" si="14"/>
        <v>1730209.7882369012</v>
      </c>
      <c r="AF92" s="168">
        <f t="shared" si="15"/>
        <v>1319184.4059670717</v>
      </c>
      <c r="AG92" s="73">
        <f t="shared" si="16"/>
        <v>411025.38226982951</v>
      </c>
      <c r="AH92" s="73">
        <f t="shared" si="17"/>
        <v>168941864870.05948</v>
      </c>
      <c r="AI92" s="6"/>
      <c r="AM92" s="131"/>
      <c r="AN92" s="210"/>
      <c r="AO92" s="130"/>
      <c r="AP92" s="130"/>
      <c r="AQ92" s="130"/>
      <c r="AR92" s="32"/>
    </row>
    <row r="93" spans="1:44" ht="12.75">
      <c r="A93" s="90">
        <v>40360</v>
      </c>
      <c r="B93" s="153">
        <f>+'Power Purchases'!I93</f>
        <v>51663603.870971993</v>
      </c>
      <c r="C93" s="84">
        <v>1.80</v>
      </c>
      <c r="D93" s="84">
        <v>164.90</v>
      </c>
      <c r="E93" s="87">
        <v>31</v>
      </c>
      <c r="F93" s="86">
        <v>0</v>
      </c>
      <c r="G93" s="87">
        <v>25502.249999999996</v>
      </c>
      <c r="H93" s="87">
        <v>336</v>
      </c>
      <c r="I93" s="87">
        <v>0</v>
      </c>
      <c r="J93" s="87">
        <v>0</v>
      </c>
      <c r="K93" s="184">
        <v>57954.283333333369</v>
      </c>
      <c r="L93" s="189">
        <v>62.60</v>
      </c>
      <c r="M93" s="188">
        <v>1.2368864578305874</v>
      </c>
      <c r="N93" s="248">
        <v>467</v>
      </c>
      <c r="O93" s="91">
        <f t="shared" si="9"/>
        <v>50028029.762343258</v>
      </c>
      <c r="P93" s="88">
        <f t="shared" si="10"/>
        <v>-0.031658149762713472</v>
      </c>
      <c r="Z93" s="220">
        <f t="shared" si="11"/>
        <v>0.031658149762713472</v>
      </c>
      <c r="AB93" s="167">
        <f t="shared" si="12"/>
        <v>1635574.108628735</v>
      </c>
      <c r="AC93" s="167">
        <f t="shared" si="13"/>
        <v>2675102664816.6807</v>
      </c>
      <c r="AD93" s="73"/>
      <c r="AE93" s="73">
        <f t="shared" si="14"/>
        <v>1635574.108628735</v>
      </c>
      <c r="AF93" s="168">
        <f t="shared" si="15"/>
        <v>1730209.7882369012</v>
      </c>
      <c r="AG93" s="73">
        <f t="shared" si="16"/>
        <v>-94635.679608166218</v>
      </c>
      <c r="AH93" s="73">
        <f t="shared" si="17"/>
        <v>8955911854.8994865</v>
      </c>
      <c r="AI93" s="6"/>
      <c r="AM93" s="131"/>
      <c r="AN93" s="210"/>
      <c r="AO93" s="130"/>
      <c r="AP93" s="130"/>
      <c r="AQ93" s="130"/>
      <c r="AR93" s="32"/>
    </row>
    <row r="94" spans="1:44" ht="12.75">
      <c r="A94" s="90">
        <v>40391</v>
      </c>
      <c r="B94" s="153">
        <f>+'Power Purchases'!I94</f>
        <v>49628311.25019943</v>
      </c>
      <c r="C94" s="84">
        <v>2.10</v>
      </c>
      <c r="D94" s="84">
        <v>138.80000000000001</v>
      </c>
      <c r="E94" s="87">
        <v>31</v>
      </c>
      <c r="F94" s="86">
        <v>0</v>
      </c>
      <c r="G94" s="87">
        <v>25526.999999999989</v>
      </c>
      <c r="H94" s="87">
        <v>336</v>
      </c>
      <c r="I94" s="87">
        <v>0</v>
      </c>
      <c r="J94" s="87">
        <v>0</v>
      </c>
      <c r="K94" s="184">
        <v>58016.266666666706</v>
      </c>
      <c r="L94" s="189">
        <v>63.10</v>
      </c>
      <c r="M94" s="188">
        <v>1.2412444641306315</v>
      </c>
      <c r="N94" s="248">
        <v>432</v>
      </c>
      <c r="O94" s="91">
        <f t="shared" si="9"/>
        <v>48467866.140873224</v>
      </c>
      <c r="P94" s="88">
        <f t="shared" si="10"/>
        <v>-0.023382724096249457</v>
      </c>
      <c r="Z94" s="220">
        <f t="shared" si="11"/>
        <v>0.023382724096249457</v>
      </c>
      <c r="AB94" s="167">
        <f t="shared" si="12"/>
        <v>1160445.1093262062</v>
      </c>
      <c r="AC94" s="167">
        <f t="shared" si="13"/>
        <v>1346632851759.1106</v>
      </c>
      <c r="AD94" s="73"/>
      <c r="AE94" s="73">
        <f t="shared" si="14"/>
        <v>1160445.1093262062</v>
      </c>
      <c r="AF94" s="168">
        <f t="shared" si="15"/>
        <v>1635574.108628735</v>
      </c>
      <c r="AG94" s="73">
        <f t="shared" si="16"/>
        <v>-475128.9993025288</v>
      </c>
      <c r="AH94" s="73">
        <f t="shared" si="17"/>
        <v>225747565978.22241</v>
      </c>
      <c r="AI94" s="6"/>
      <c r="AM94" s="131"/>
      <c r="AN94" s="210"/>
      <c r="AO94" s="130"/>
      <c r="AP94" s="130"/>
      <c r="AQ94" s="130"/>
      <c r="AR94" s="32"/>
    </row>
    <row r="95" spans="1:44" ht="12.75">
      <c r="A95" s="90">
        <v>40422</v>
      </c>
      <c r="B95" s="153">
        <f>+'Power Purchases'!I95</f>
        <v>41644347.483829267</v>
      </c>
      <c r="C95" s="84">
        <v>78.099999999999994</v>
      </c>
      <c r="D95" s="84">
        <v>31.50</v>
      </c>
      <c r="E95" s="87">
        <v>30</v>
      </c>
      <c r="F95" s="86">
        <v>0</v>
      </c>
      <c r="G95" s="87">
        <v>25551.749999999989</v>
      </c>
      <c r="H95" s="87">
        <v>336</v>
      </c>
      <c r="I95" s="87">
        <v>1</v>
      </c>
      <c r="J95" s="87">
        <v>0</v>
      </c>
      <c r="K95" s="184">
        <v>58078.250000000044</v>
      </c>
      <c r="L95" s="189">
        <v>62.80</v>
      </c>
      <c r="M95" s="188">
        <v>1.2456024704306756</v>
      </c>
      <c r="N95" s="248">
        <v>374</v>
      </c>
      <c r="O95" s="91">
        <f t="shared" si="9"/>
        <v>40988466.385269627</v>
      </c>
      <c r="P95" s="88">
        <f t="shared" si="10"/>
        <v>-0.015749582793062676</v>
      </c>
      <c r="Z95" s="220">
        <f t="shared" si="11"/>
        <v>0.015749582793062676</v>
      </c>
      <c r="AB95" s="167">
        <f t="shared" si="12"/>
        <v>655881.09855964035</v>
      </c>
      <c r="AC95" s="167">
        <f t="shared" si="13"/>
        <v>430180015447.80066</v>
      </c>
      <c r="AD95" s="73"/>
      <c r="AE95" s="73">
        <f t="shared" si="14"/>
        <v>655881.09855964035</v>
      </c>
      <c r="AF95" s="168">
        <f t="shared" si="15"/>
        <v>1160445.1093262062</v>
      </c>
      <c r="AG95" s="73">
        <f t="shared" si="16"/>
        <v>-504564.0107665658</v>
      </c>
      <c r="AH95" s="73">
        <f t="shared" si="17"/>
        <v>254584840960.84314</v>
      </c>
      <c r="AI95" s="6"/>
      <c r="AM95" s="131"/>
      <c r="AN95" s="210"/>
      <c r="AO95" s="130"/>
      <c r="AP95" s="130"/>
      <c r="AQ95" s="130"/>
      <c r="AR95" s="32"/>
    </row>
    <row r="96" spans="1:44" ht="12.75">
      <c r="A96" s="90">
        <v>40452</v>
      </c>
      <c r="B96" s="153">
        <f>+'Power Purchases'!I96</f>
        <v>41107066.535911337</v>
      </c>
      <c r="C96" s="84">
        <v>241.60</v>
      </c>
      <c r="D96" s="84">
        <v>0</v>
      </c>
      <c r="E96" s="87">
        <v>31</v>
      </c>
      <c r="F96" s="86">
        <v>0</v>
      </c>
      <c r="G96" s="87">
        <v>25576.499999999993</v>
      </c>
      <c r="H96" s="87">
        <v>320</v>
      </c>
      <c r="I96" s="87">
        <v>1</v>
      </c>
      <c r="J96" s="87">
        <v>0</v>
      </c>
      <c r="K96" s="184">
        <v>58140.233333333381</v>
      </c>
      <c r="L96" s="189">
        <v>62.70</v>
      </c>
      <c r="M96" s="188">
        <v>1.2499604767307195</v>
      </c>
      <c r="N96" s="248">
        <v>340</v>
      </c>
      <c r="O96" s="91">
        <f t="shared" si="9"/>
        <v>41383416.269070804</v>
      </c>
      <c r="P96" s="88">
        <f t="shared" si="10"/>
        <v>0.0067226819242391595</v>
      </c>
      <c r="Z96" s="220">
        <f t="shared" si="11"/>
        <v>0.0067226819242391595</v>
      </c>
      <c r="AB96" s="167">
        <f t="shared" si="12"/>
        <v>-276349.73315946758</v>
      </c>
      <c r="AC96" s="167">
        <f t="shared" si="13"/>
        <v>76369175017.308929</v>
      </c>
      <c r="AD96" s="73"/>
      <c r="AE96" s="73">
        <f t="shared" si="14"/>
        <v>-276349.73315946758</v>
      </c>
      <c r="AF96" s="168">
        <f t="shared" si="15"/>
        <v>655881.09855964035</v>
      </c>
      <c r="AG96" s="73">
        <f t="shared" si="16"/>
        <v>-932230.83171910793</v>
      </c>
      <c r="AH96" s="73">
        <f t="shared" si="17"/>
        <v>869054323607.69971</v>
      </c>
      <c r="AI96" s="6"/>
      <c r="AM96" s="131"/>
      <c r="AN96" s="210"/>
      <c r="AO96" s="130"/>
      <c r="AP96" s="130"/>
      <c r="AQ96" s="130"/>
      <c r="AR96" s="32"/>
    </row>
    <row r="97" spans="1:44" ht="12.75">
      <c r="A97" s="90">
        <v>40483</v>
      </c>
      <c r="B97" s="153">
        <f>+'Power Purchases'!I97</f>
        <v>42224280.30329068</v>
      </c>
      <c r="C97" s="84">
        <v>405.30</v>
      </c>
      <c r="D97" s="84">
        <v>0</v>
      </c>
      <c r="E97" s="87">
        <v>30</v>
      </c>
      <c r="F97" s="86">
        <v>0</v>
      </c>
      <c r="G97" s="87">
        <v>25601.249999999985</v>
      </c>
      <c r="H97" s="87">
        <v>336</v>
      </c>
      <c r="I97" s="87">
        <v>1</v>
      </c>
      <c r="J97" s="87">
        <v>0</v>
      </c>
      <c r="K97" s="184">
        <v>58202.216666666718</v>
      </c>
      <c r="L97" s="189">
        <v>62.30</v>
      </c>
      <c r="M97" s="188">
        <v>1.2543184830307637</v>
      </c>
      <c r="N97" s="248">
        <v>290</v>
      </c>
      <c r="O97" s="91">
        <f t="shared" si="9"/>
        <v>42399281.545478597</v>
      </c>
      <c r="P97" s="88">
        <f t="shared" si="10"/>
        <v>0.0041445642396012328</v>
      </c>
      <c r="Z97" s="220">
        <f t="shared" si="11"/>
        <v>0.0041445642396012328</v>
      </c>
      <c r="AB97" s="167">
        <f t="shared" si="12"/>
        <v>-175001.24218791723</v>
      </c>
      <c r="AC97" s="167">
        <f t="shared" si="13"/>
        <v>30625434767.314064</v>
      </c>
      <c r="AD97" s="73"/>
      <c r="AE97" s="73">
        <f t="shared" si="14"/>
        <v>-175001.24218791723</v>
      </c>
      <c r="AF97" s="168">
        <f t="shared" si="15"/>
        <v>-276349.73315946758</v>
      </c>
      <c r="AG97" s="73">
        <f t="shared" si="16"/>
        <v>101348.49097155035</v>
      </c>
      <c r="AH97" s="73">
        <f t="shared" si="17"/>
        <v>10271516622.210423</v>
      </c>
      <c r="AI97" s="6"/>
      <c r="AM97" s="131"/>
      <c r="AN97" s="210"/>
      <c r="AO97" s="130"/>
      <c r="AP97" s="130"/>
      <c r="AQ97" s="130"/>
      <c r="AR97" s="32"/>
    </row>
    <row r="98" spans="1:44" ht="12.75">
      <c r="A98" s="90">
        <v>40513</v>
      </c>
      <c r="B98" s="153">
        <f>+'Power Purchases'!I98</f>
        <v>48337979.56977348</v>
      </c>
      <c r="C98" s="84">
        <v>676.20</v>
      </c>
      <c r="D98" s="84">
        <v>0</v>
      </c>
      <c r="E98" s="87">
        <v>31</v>
      </c>
      <c r="F98" s="86">
        <v>0</v>
      </c>
      <c r="G98" s="87">
        <v>25626</v>
      </c>
      <c r="H98" s="87">
        <v>368</v>
      </c>
      <c r="I98" s="87">
        <v>0</v>
      </c>
      <c r="J98" s="87">
        <v>0</v>
      </c>
      <c r="K98" s="184">
        <v>58264.200000000012</v>
      </c>
      <c r="L98" s="189">
        <v>62.70</v>
      </c>
      <c r="M98" s="188">
        <v>1.2586764893308067</v>
      </c>
      <c r="N98" s="248">
        <v>269</v>
      </c>
      <c r="O98" s="91">
        <f t="shared" si="9"/>
        <v>47437796.135239825</v>
      </c>
      <c r="P98" s="88">
        <f t="shared" si="10"/>
        <v>-0.018622694670849562</v>
      </c>
      <c r="Z98" s="220">
        <f t="shared" si="11"/>
        <v>0.018622694670849562</v>
      </c>
      <c r="AB98" s="167">
        <f t="shared" si="12"/>
        <v>900183.43453365564</v>
      </c>
      <c r="AC98" s="167">
        <f t="shared" si="13"/>
        <v>810330215808.80835</v>
      </c>
      <c r="AD98" s="73"/>
      <c r="AE98" s="73">
        <f t="shared" si="14"/>
        <v>900183.43453365564</v>
      </c>
      <c r="AF98" s="168">
        <f t="shared" si="15"/>
        <v>-175001.24218791723</v>
      </c>
      <c r="AG98" s="73">
        <f t="shared" si="16"/>
        <v>1075184.6767215729</v>
      </c>
      <c r="AH98" s="73">
        <f t="shared" si="17"/>
        <v>1156022089056.8733</v>
      </c>
      <c r="AI98" s="6"/>
      <c r="AM98" s="131"/>
      <c r="AN98" s="210"/>
      <c r="AO98" s="130"/>
      <c r="AP98" s="130"/>
      <c r="AQ98" s="130"/>
      <c r="AR98" s="32"/>
    </row>
    <row r="99" spans="1:44" ht="12.75">
      <c r="A99" s="90">
        <v>40544</v>
      </c>
      <c r="B99" s="153">
        <f>+'Power Purchases'!I99</f>
        <v>49042055.254362017</v>
      </c>
      <c r="C99" s="84">
        <v>775.30</v>
      </c>
      <c r="D99" s="84">
        <v>0</v>
      </c>
      <c r="E99" s="85">
        <v>31</v>
      </c>
      <c r="F99" s="86">
        <v>0</v>
      </c>
      <c r="G99" s="87">
        <f t="shared" si="18" ref="G99:G109">+($H$110-$H$98)/12+G98</f>
        <v>25623.333333333332</v>
      </c>
      <c r="H99" s="87">
        <v>336</v>
      </c>
      <c r="I99" s="87">
        <v>0</v>
      </c>
      <c r="J99" s="87">
        <v>0</v>
      </c>
      <c r="K99" s="184">
        <v>58326.183333333342</v>
      </c>
      <c r="L99" s="189">
        <v>62.50</v>
      </c>
      <c r="M99" s="188">
        <v>1.2601856862388683</v>
      </c>
      <c r="N99" s="248">
        <v>290</v>
      </c>
      <c r="O99" s="91">
        <f t="shared" si="9"/>
        <v>47822577.421638131</v>
      </c>
      <c r="P99" s="88">
        <f t="shared" si="10"/>
        <v>-0.024865960987950644</v>
      </c>
      <c r="Q99" s="111"/>
      <c r="Z99" s="220">
        <f t="shared" si="11"/>
        <v>0.024865960987950644</v>
      </c>
      <c r="AB99" s="167">
        <f t="shared" si="12"/>
        <v>1219477.8327238858</v>
      </c>
      <c r="AC99" s="167">
        <f t="shared" si="13"/>
        <v>1487126184504.9456</v>
      </c>
      <c r="AD99" s="73"/>
      <c r="AE99" s="73">
        <f t="shared" si="14"/>
        <v>1219477.8327238858</v>
      </c>
      <c r="AF99" s="168">
        <f t="shared" si="15"/>
        <v>900183.43453365564</v>
      </c>
      <c r="AG99" s="73">
        <f t="shared" si="16"/>
        <v>319294.39819023013</v>
      </c>
      <c r="AH99" s="73">
        <f t="shared" si="17"/>
        <v>101948912715.66124</v>
      </c>
      <c r="AI99" s="6"/>
      <c r="AM99" s="131"/>
      <c r="AN99" s="210"/>
      <c r="AO99" s="130"/>
      <c r="AP99" s="130"/>
      <c r="AQ99" s="130"/>
      <c r="AR99" s="32"/>
    </row>
    <row r="100" spans="1:44" ht="12.75">
      <c r="A100" s="90">
        <v>40575</v>
      </c>
      <c r="B100" s="153">
        <f>+'Power Purchases'!I100</f>
        <v>43913866.143798321</v>
      </c>
      <c r="C100" s="84">
        <v>654.20000000000005</v>
      </c>
      <c r="D100" s="84">
        <v>0</v>
      </c>
      <c r="E100" s="85">
        <v>28</v>
      </c>
      <c r="F100" s="86">
        <v>0</v>
      </c>
      <c r="G100" s="87">
        <f t="shared" si="18"/>
        <v>25620.666666666664</v>
      </c>
      <c r="H100" s="87">
        <v>304</v>
      </c>
      <c r="I100" s="87">
        <v>0</v>
      </c>
      <c r="J100" s="87">
        <v>0</v>
      </c>
      <c r="K100" s="184">
        <v>58388.166666666672</v>
      </c>
      <c r="L100" s="189">
        <v>62.30</v>
      </c>
      <c r="M100" s="188">
        <v>1.2616948831469299</v>
      </c>
      <c r="N100" s="248">
        <v>305</v>
      </c>
      <c r="O100" s="91">
        <f t="shared" si="9"/>
        <v>43137485.403821044</v>
      </c>
      <c r="P100" s="88">
        <f t="shared" si="10"/>
        <v>-0.017679626235480549</v>
      </c>
      <c r="Z100" s="220">
        <f t="shared" si="11"/>
        <v>0.017679626235480549</v>
      </c>
      <c r="AB100" s="167">
        <f t="shared" si="12"/>
        <v>776380.73997727782</v>
      </c>
      <c r="AC100" s="167">
        <f t="shared" si="13"/>
        <v>602767053407.66553</v>
      </c>
      <c r="AD100" s="73"/>
      <c r="AE100" s="73">
        <f t="shared" si="14"/>
        <v>776380.73997727782</v>
      </c>
      <c r="AF100" s="168">
        <f t="shared" si="15"/>
        <v>1219477.8327238858</v>
      </c>
      <c r="AG100" s="73">
        <f t="shared" si="16"/>
        <v>-443097.09274660796</v>
      </c>
      <c r="AH100" s="73">
        <f t="shared" si="17"/>
        <v>196335033600.49609</v>
      </c>
      <c r="AI100" s="6"/>
      <c r="AM100" s="131"/>
      <c r="AN100" s="210"/>
      <c r="AO100" s="130"/>
      <c r="AP100" s="130"/>
      <c r="AQ100" s="130"/>
      <c r="AR100" s="32"/>
    </row>
    <row r="101" spans="1:44" ht="12.75">
      <c r="A101" s="90">
        <v>40603</v>
      </c>
      <c r="B101" s="153">
        <f>+'Power Purchases'!I101</f>
        <v>45757839.431051284</v>
      </c>
      <c r="C101" s="84">
        <v>572.79999999999995</v>
      </c>
      <c r="D101" s="84">
        <v>0</v>
      </c>
      <c r="E101" s="85">
        <v>31</v>
      </c>
      <c r="F101" s="86">
        <v>1</v>
      </c>
      <c r="G101" s="87">
        <f t="shared" si="18"/>
        <v>25617.999999999996</v>
      </c>
      <c r="H101" s="87">
        <v>368</v>
      </c>
      <c r="I101" s="87">
        <v>0</v>
      </c>
      <c r="J101" s="87">
        <v>0</v>
      </c>
      <c r="K101" s="184">
        <v>58450.15</v>
      </c>
      <c r="L101" s="189">
        <v>61.60</v>
      </c>
      <c r="M101" s="188">
        <v>1.2632040800549915</v>
      </c>
      <c r="N101" s="248">
        <v>371</v>
      </c>
      <c r="O101" s="91">
        <f t="shared" si="9"/>
        <v>44636182.092517868</v>
      </c>
      <c r="P101" s="88">
        <f t="shared" si="10"/>
        <v>-0.024512899920101108</v>
      </c>
      <c r="Q101" s="213"/>
      <c r="Z101" s="220">
        <f t="shared" si="11"/>
        <v>0.024512899920101108</v>
      </c>
      <c r="AB101" s="167">
        <f t="shared" si="12"/>
        <v>1121657.3385334164</v>
      </c>
      <c r="AC101" s="167">
        <f t="shared" si="13"/>
        <v>1258115185085.8669</v>
      </c>
      <c r="AD101" s="73"/>
      <c r="AE101" s="73">
        <f t="shared" si="14"/>
        <v>1121657.3385334164</v>
      </c>
      <c r="AF101" s="168">
        <f t="shared" si="15"/>
        <v>776380.73997727782</v>
      </c>
      <c r="AG101" s="73">
        <f t="shared" si="16"/>
        <v>345276.59855613858</v>
      </c>
      <c r="AH101" s="73">
        <f t="shared" si="17"/>
        <v>119215929510.49687</v>
      </c>
      <c r="AI101" s="6"/>
      <c r="AM101" s="131"/>
      <c r="AN101" s="210"/>
      <c r="AO101" s="130"/>
      <c r="AP101" s="130"/>
      <c r="AQ101" s="130"/>
      <c r="AR101" s="32"/>
    </row>
    <row r="102" spans="1:44" ht="12.75">
      <c r="A102" s="90">
        <v>40634</v>
      </c>
      <c r="B102" s="153">
        <f>+'Power Purchases'!I102</f>
        <v>40867758.358416483</v>
      </c>
      <c r="C102" s="84">
        <v>332.30</v>
      </c>
      <c r="D102" s="84">
        <v>0</v>
      </c>
      <c r="E102" s="85">
        <v>30</v>
      </c>
      <c r="F102" s="86">
        <v>1</v>
      </c>
      <c r="G102" s="87">
        <f t="shared" si="18"/>
        <v>25615.333333333328</v>
      </c>
      <c r="H102" s="87">
        <v>320</v>
      </c>
      <c r="I102" s="87">
        <v>0</v>
      </c>
      <c r="J102" s="87">
        <v>0</v>
      </c>
      <c r="K102" s="184">
        <v>58512.133333333331</v>
      </c>
      <c r="L102" s="189">
        <v>61.60</v>
      </c>
      <c r="M102" s="188">
        <v>1.2647132769630531</v>
      </c>
      <c r="N102" s="248">
        <v>405</v>
      </c>
      <c r="O102" s="91">
        <f t="shared" si="9"/>
        <v>40372277.145409159</v>
      </c>
      <c r="P102" s="88">
        <f t="shared" si="10"/>
        <v>-0.012124012495666572</v>
      </c>
      <c r="Q102" s="213"/>
      <c r="Z102" s="220">
        <f t="shared" si="11"/>
        <v>0.012124012495666572</v>
      </c>
      <c r="AB102" s="167">
        <f t="shared" si="12"/>
        <v>495481.21300732344</v>
      </c>
      <c r="AC102" s="167">
        <f t="shared" si="13"/>
        <v>245501632443.20862</v>
      </c>
      <c r="AD102" s="73"/>
      <c r="AE102" s="73">
        <f t="shared" si="14"/>
        <v>495481.21300732344</v>
      </c>
      <c r="AF102" s="168">
        <f t="shared" si="15"/>
        <v>1121657.3385334164</v>
      </c>
      <c r="AG102" s="73">
        <f t="shared" si="16"/>
        <v>-626176.12552609295</v>
      </c>
      <c r="AH102" s="73">
        <f t="shared" si="17"/>
        <v>392096540178.86932</v>
      </c>
      <c r="AI102" s="6"/>
      <c r="AM102" s="131"/>
      <c r="AN102" s="210"/>
      <c r="AO102" s="130"/>
      <c r="AP102" s="130"/>
      <c r="AQ102" s="130"/>
      <c r="AR102" s="32"/>
    </row>
    <row r="103" spans="1:44" ht="12.75">
      <c r="A103" s="90">
        <v>40664</v>
      </c>
      <c r="B103" s="153">
        <f>+'Power Purchases'!I103</f>
        <v>41674620.7733768</v>
      </c>
      <c r="C103" s="84">
        <v>134.10</v>
      </c>
      <c r="D103" s="84">
        <v>13</v>
      </c>
      <c r="E103" s="85">
        <v>31</v>
      </c>
      <c r="F103" s="86">
        <v>1</v>
      </c>
      <c r="G103" s="87">
        <f t="shared" si="18"/>
        <v>25612.666666666661</v>
      </c>
      <c r="H103" s="87">
        <v>336</v>
      </c>
      <c r="I103" s="87">
        <v>0</v>
      </c>
      <c r="J103" s="87">
        <v>0</v>
      </c>
      <c r="K103" s="184">
        <v>58574.116666666661</v>
      </c>
      <c r="L103" s="189">
        <v>61.80</v>
      </c>
      <c r="M103" s="188">
        <v>1.2662224738711148</v>
      </c>
      <c r="N103" s="248">
        <v>457</v>
      </c>
      <c r="O103" s="91">
        <f t="shared" si="9"/>
        <v>40443671.470605627</v>
      </c>
      <c r="P103" s="88">
        <f t="shared" si="10"/>
        <v>-0.0295371446680937</v>
      </c>
      <c r="Q103" s="213"/>
      <c r="Z103" s="220">
        <f t="shared" si="11"/>
        <v>0.0295371446680937</v>
      </c>
      <c r="AB103" s="167">
        <f t="shared" si="12"/>
        <v>1230949.3027711734</v>
      </c>
      <c r="AC103" s="167">
        <f t="shared" si="13"/>
        <v>1515236185992.8379</v>
      </c>
      <c r="AD103" s="73"/>
      <c r="AE103" s="73">
        <f t="shared" si="14"/>
        <v>1230949.3027711734</v>
      </c>
      <c r="AF103" s="168">
        <f t="shared" si="15"/>
        <v>495481.21300732344</v>
      </c>
      <c r="AG103" s="73">
        <f t="shared" si="16"/>
        <v>735468.08976384997</v>
      </c>
      <c r="AH103" s="73">
        <f t="shared" si="17"/>
        <v>540913311060.88647</v>
      </c>
      <c r="AI103" s="6"/>
      <c r="AM103" s="131"/>
      <c r="AN103" s="210"/>
      <c r="AO103" s="130"/>
      <c r="AP103" s="130"/>
      <c r="AQ103" s="130"/>
      <c r="AR103" s="32"/>
    </row>
    <row r="104" spans="1:44" ht="12.75">
      <c r="A104" s="90">
        <v>40695</v>
      </c>
      <c r="B104" s="153">
        <f>+'Power Purchases'!I104</f>
        <v>43806812.545202099</v>
      </c>
      <c r="C104" s="84">
        <v>19</v>
      </c>
      <c r="D104" s="84">
        <v>52.20</v>
      </c>
      <c r="E104" s="85">
        <v>30</v>
      </c>
      <c r="F104" s="86">
        <v>0</v>
      </c>
      <c r="G104" s="87">
        <f t="shared" si="18"/>
        <v>25609.999999999993</v>
      </c>
      <c r="H104" s="87">
        <v>352</v>
      </c>
      <c r="I104" s="87">
        <v>0</v>
      </c>
      <c r="J104" s="87">
        <v>0</v>
      </c>
      <c r="K104" s="184">
        <v>58636.099999999991</v>
      </c>
      <c r="L104" s="189">
        <v>62.50</v>
      </c>
      <c r="M104" s="188">
        <v>1.2677316707791766</v>
      </c>
      <c r="N104" s="248">
        <v>462</v>
      </c>
      <c r="O104" s="91">
        <f t="shared" si="9"/>
        <v>42794824.315077476</v>
      </c>
      <c r="P104" s="88">
        <f t="shared" si="10"/>
        <v>-0.023101161014177911</v>
      </c>
      <c r="Q104" s="213"/>
      <c r="Z104" s="220">
        <f t="shared" si="11"/>
        <v>0.023101161014177911</v>
      </c>
      <c r="AB104" s="167">
        <f t="shared" si="12"/>
        <v>1011988.2301246226</v>
      </c>
      <c r="AC104" s="167">
        <f t="shared" si="13"/>
        <v>1024120177910.7661</v>
      </c>
      <c r="AD104" s="73"/>
      <c r="AE104" s="73">
        <f t="shared" si="14"/>
        <v>1011988.2301246226</v>
      </c>
      <c r="AF104" s="168">
        <f t="shared" si="15"/>
        <v>1230949.3027711734</v>
      </c>
      <c r="AG104" s="73">
        <f t="shared" si="16"/>
        <v>-218961.07264655083</v>
      </c>
      <c r="AH104" s="73">
        <f t="shared" si="17"/>
        <v>47943951334.528114</v>
      </c>
      <c r="AI104" s="6"/>
      <c r="AM104" s="131"/>
      <c r="AN104" s="210"/>
      <c r="AO104" s="130"/>
      <c r="AP104" s="130"/>
      <c r="AQ104" s="130"/>
      <c r="AR104" s="32"/>
    </row>
    <row r="105" spans="1:44" ht="12.75">
      <c r="A105" s="90">
        <v>40725</v>
      </c>
      <c r="B105" s="153">
        <f>+'Power Purchases'!I105</f>
        <v>52019699.138340995</v>
      </c>
      <c r="C105" s="84">
        <v>0</v>
      </c>
      <c r="D105" s="84">
        <v>198.50</v>
      </c>
      <c r="E105" s="85">
        <v>31</v>
      </c>
      <c r="F105" s="86">
        <v>0</v>
      </c>
      <c r="G105" s="87">
        <f t="shared" si="18"/>
        <v>25607.333333333325</v>
      </c>
      <c r="H105" s="87">
        <v>320</v>
      </c>
      <c r="I105" s="87">
        <v>0</v>
      </c>
      <c r="J105" s="87">
        <v>0</v>
      </c>
      <c r="K105" s="184">
        <v>58698.083333333321</v>
      </c>
      <c r="L105" s="189">
        <v>62.50</v>
      </c>
      <c r="M105" s="188">
        <v>1.2692408676872382</v>
      </c>
      <c r="N105" s="248">
        <v>467</v>
      </c>
      <c r="O105" s="91">
        <f t="shared" si="9"/>
        <v>51930566.30874908</v>
      </c>
      <c r="P105" s="88">
        <f t="shared" si="10"/>
        <v>-0.0017134437735765349</v>
      </c>
      <c r="Q105" s="213"/>
      <c r="Z105" s="220">
        <f t="shared" si="11"/>
        <v>0.0017134437735765349</v>
      </c>
      <c r="AB105" s="167">
        <f t="shared" si="12"/>
        <v>89132.829591915011</v>
      </c>
      <c r="AC105" s="167">
        <f t="shared" si="13"/>
        <v>7944661311.0613604</v>
      </c>
      <c r="AD105" s="73"/>
      <c r="AE105" s="73">
        <f t="shared" si="14"/>
        <v>89132.829591915011</v>
      </c>
      <c r="AF105" s="168">
        <f t="shared" si="15"/>
        <v>1011988.2301246226</v>
      </c>
      <c r="AG105" s="73">
        <f t="shared" si="16"/>
        <v>-922855.40053270757</v>
      </c>
      <c r="AH105" s="73">
        <f t="shared" si="17"/>
        <v>851662090292.38416</v>
      </c>
      <c r="AI105" s="6"/>
      <c r="AM105" s="131"/>
      <c r="AN105" s="210"/>
      <c r="AO105" s="130"/>
      <c r="AP105" s="130"/>
      <c r="AQ105" s="130"/>
      <c r="AR105" s="32"/>
    </row>
    <row r="106" spans="1:44" ht="12.75">
      <c r="A106" s="90">
        <v>40756</v>
      </c>
      <c r="B106" s="153">
        <f>+'Power Purchases'!I106</f>
        <v>48138108.106539458</v>
      </c>
      <c r="C106" s="84">
        <v>0</v>
      </c>
      <c r="D106" s="84">
        <v>122.20</v>
      </c>
      <c r="E106" s="85">
        <v>31</v>
      </c>
      <c r="F106" s="86">
        <v>0</v>
      </c>
      <c r="G106" s="87">
        <f t="shared" si="18"/>
        <v>25604.666666666657</v>
      </c>
      <c r="H106" s="87">
        <v>352</v>
      </c>
      <c r="I106" s="87">
        <v>0</v>
      </c>
      <c r="J106" s="87">
        <v>0</v>
      </c>
      <c r="K106" s="184">
        <v>58760.066666666651</v>
      </c>
      <c r="L106" s="189">
        <v>62.60</v>
      </c>
      <c r="M106" s="188">
        <v>1.2707500645952998</v>
      </c>
      <c r="N106" s="248">
        <v>432</v>
      </c>
      <c r="O106" s="91">
        <f t="shared" si="9"/>
        <v>47847408.446472712</v>
      </c>
      <c r="P106" s="88">
        <f t="shared" si="10"/>
        <v>-0.0060388675729292993</v>
      </c>
      <c r="Q106" s="213"/>
      <c r="Z106" s="220">
        <f t="shared" si="11"/>
        <v>0.0060388675729292993</v>
      </c>
      <c r="AB106" s="167">
        <f t="shared" si="12"/>
        <v>290699.66006674618</v>
      </c>
      <c r="AC106" s="167">
        <f t="shared" si="13"/>
        <v>84506292362.921783</v>
      </c>
      <c r="AD106" s="73"/>
      <c r="AE106" s="73">
        <f t="shared" si="14"/>
        <v>290699.66006674618</v>
      </c>
      <c r="AF106" s="168">
        <f t="shared" si="15"/>
        <v>89132.829591915011</v>
      </c>
      <c r="AG106" s="73">
        <f t="shared" si="16"/>
        <v>201566.83047483116</v>
      </c>
      <c r="AH106" s="73">
        <f t="shared" si="17"/>
        <v>40629187147.669327</v>
      </c>
      <c r="AI106" s="6"/>
      <c r="AM106" s="131"/>
      <c r="AN106" s="210"/>
      <c r="AO106" s="130"/>
      <c r="AP106" s="130"/>
      <c r="AQ106" s="130"/>
      <c r="AR106" s="32"/>
    </row>
    <row r="107" spans="1:44" ht="12.75">
      <c r="A107" s="90">
        <v>40787</v>
      </c>
      <c r="B107" s="153">
        <f>+'Power Purchases'!I107</f>
        <v>41812194.263793148</v>
      </c>
      <c r="C107" s="84">
        <v>48.20</v>
      </c>
      <c r="D107" s="84">
        <v>39.700000000000003</v>
      </c>
      <c r="E107" s="85">
        <v>30</v>
      </c>
      <c r="F107" s="86">
        <v>0</v>
      </c>
      <c r="G107" s="87">
        <f t="shared" si="18"/>
        <v>25601.999999999989</v>
      </c>
      <c r="H107" s="87">
        <v>336</v>
      </c>
      <c r="I107" s="87">
        <v>1</v>
      </c>
      <c r="J107" s="87">
        <v>0</v>
      </c>
      <c r="K107" s="184">
        <v>58822.049999999981</v>
      </c>
      <c r="L107" s="189">
        <v>62.10</v>
      </c>
      <c r="M107" s="188">
        <v>1.2722592615033614</v>
      </c>
      <c r="N107" s="248">
        <v>374</v>
      </c>
      <c r="O107" s="91">
        <f t="shared" si="9"/>
        <v>41269357.89996478</v>
      </c>
      <c r="P107" s="88">
        <f t="shared" si="10"/>
        <v>-0.01298272844528593</v>
      </c>
      <c r="Q107" s="213"/>
      <c r="Z107" s="220">
        <f t="shared" si="11"/>
        <v>0.01298272844528593</v>
      </c>
      <c r="AB107" s="167">
        <f t="shared" si="12"/>
        <v>542836.36382836848</v>
      </c>
      <c r="AC107" s="167">
        <f t="shared" si="13"/>
        <v>294671317894.40485</v>
      </c>
      <c r="AD107" s="73"/>
      <c r="AE107" s="73">
        <f t="shared" si="14"/>
        <v>542836.36382836848</v>
      </c>
      <c r="AF107" s="168">
        <f t="shared" si="15"/>
        <v>290699.66006674618</v>
      </c>
      <c r="AG107" s="73">
        <f t="shared" si="16"/>
        <v>252136.70376162231</v>
      </c>
      <c r="AH107" s="73">
        <f t="shared" si="17"/>
        <v>63572917383.776085</v>
      </c>
      <c r="AI107" s="6"/>
      <c r="AM107" s="131"/>
      <c r="AN107" s="210"/>
      <c r="AO107" s="130"/>
      <c r="AP107" s="130"/>
      <c r="AQ107" s="130"/>
      <c r="AR107" s="32"/>
    </row>
    <row r="108" spans="1:44" ht="12.75">
      <c r="A108" s="90">
        <v>40817</v>
      </c>
      <c r="B108" s="153">
        <f>+'Power Purchases'!I108</f>
        <v>41902284.003408313</v>
      </c>
      <c r="C108" s="84">
        <v>235.50</v>
      </c>
      <c r="D108" s="84">
        <v>2.40</v>
      </c>
      <c r="E108" s="85">
        <v>31</v>
      </c>
      <c r="F108" s="86">
        <v>0</v>
      </c>
      <c r="G108" s="87">
        <f t="shared" si="18"/>
        <v>25599.333333333321</v>
      </c>
      <c r="H108" s="87">
        <v>320</v>
      </c>
      <c r="I108" s="87">
        <v>1</v>
      </c>
      <c r="J108" s="87">
        <v>0</v>
      </c>
      <c r="K108" s="184">
        <v>58884.033333333311</v>
      </c>
      <c r="L108" s="189">
        <v>61.80</v>
      </c>
      <c r="M108" s="188">
        <v>1.2737684584114231</v>
      </c>
      <c r="N108" s="248">
        <v>340</v>
      </c>
      <c r="O108" s="91">
        <f t="shared" si="9"/>
        <v>41504479.814239256</v>
      </c>
      <c r="P108" s="88">
        <f t="shared" si="10"/>
        <v>-0.0094936158882580127</v>
      </c>
      <c r="Q108" s="213"/>
      <c r="Z108" s="220">
        <f t="shared" si="11"/>
        <v>0.0094936158882580127</v>
      </c>
      <c r="AB108" s="167">
        <f t="shared" si="12"/>
        <v>397804.18916905671</v>
      </c>
      <c r="AC108" s="167">
        <f t="shared" si="13"/>
        <v>158248172920.45065</v>
      </c>
      <c r="AD108" s="73"/>
      <c r="AE108" s="73">
        <f t="shared" si="14"/>
        <v>397804.18916905671</v>
      </c>
      <c r="AF108" s="168">
        <f t="shared" si="15"/>
        <v>542836.36382836848</v>
      </c>
      <c r="AG108" s="73">
        <f t="shared" si="16"/>
        <v>-145032.17465931177</v>
      </c>
      <c r="AH108" s="73">
        <f t="shared" si="17"/>
        <v>21034331686.409115</v>
      </c>
      <c r="AI108" s="6"/>
      <c r="AM108" s="131"/>
      <c r="AN108" s="210"/>
      <c r="AO108" s="130"/>
      <c r="AP108" s="130"/>
      <c r="AQ108" s="130"/>
      <c r="AR108" s="32"/>
    </row>
    <row r="109" spans="1:44" ht="12.75">
      <c r="A109" s="90">
        <v>40848</v>
      </c>
      <c r="B109" s="153">
        <f>+'Power Purchases'!I109</f>
        <v>42212942.846173182</v>
      </c>
      <c r="C109" s="84">
        <v>341.90</v>
      </c>
      <c r="D109" s="84">
        <v>0</v>
      </c>
      <c r="E109" s="85">
        <v>30</v>
      </c>
      <c r="F109" s="86">
        <v>0</v>
      </c>
      <c r="G109" s="87">
        <f t="shared" si="18"/>
        <v>25596.666666666653</v>
      </c>
      <c r="H109" s="87">
        <v>352</v>
      </c>
      <c r="I109" s="87">
        <v>1</v>
      </c>
      <c r="J109" s="87">
        <v>0</v>
      </c>
      <c r="K109" s="184">
        <v>58946.016666666641</v>
      </c>
      <c r="L109" s="189">
        <v>61.30</v>
      </c>
      <c r="M109" s="188">
        <v>1.2752776553194847</v>
      </c>
      <c r="N109" s="248">
        <v>290</v>
      </c>
      <c r="O109" s="91">
        <f t="shared" si="9"/>
        <v>42059570.780589618</v>
      </c>
      <c r="P109" s="88">
        <f t="shared" si="10"/>
        <v>-0.0036332947963960372</v>
      </c>
      <c r="Q109" s="213"/>
      <c r="Z109" s="220">
        <f t="shared" si="11"/>
        <v>0.0036332947963960372</v>
      </c>
      <c r="AB109" s="167">
        <f t="shared" si="12"/>
        <v>153372.06558356434</v>
      </c>
      <c r="AC109" s="167">
        <f t="shared" si="13"/>
        <v>23522990501.36916</v>
      </c>
      <c r="AD109" s="73"/>
      <c r="AE109" s="73">
        <f t="shared" si="14"/>
        <v>153372.06558356434</v>
      </c>
      <c r="AF109" s="168">
        <f t="shared" si="15"/>
        <v>397804.18916905671</v>
      </c>
      <c r="AG109" s="73">
        <f t="shared" si="16"/>
        <v>-244432.12358549237</v>
      </c>
      <c r="AH109" s="73">
        <f t="shared" si="17"/>
        <v>59747063040.51342</v>
      </c>
      <c r="AI109" s="6"/>
      <c r="AM109" s="131"/>
      <c r="AN109" s="210"/>
      <c r="AO109" s="130"/>
      <c r="AP109" s="130"/>
      <c r="AQ109" s="130"/>
      <c r="AR109" s="32"/>
    </row>
    <row r="110" spans="1:44" ht="12.75">
      <c r="A110" s="90">
        <v>40878</v>
      </c>
      <c r="B110" s="153">
        <f>+'Power Purchases'!I110</f>
        <v>41906186.539273493</v>
      </c>
      <c r="C110" s="84">
        <v>534</v>
      </c>
      <c r="D110" s="84">
        <v>0</v>
      </c>
      <c r="E110" s="85">
        <v>31</v>
      </c>
      <c r="F110" s="86">
        <v>0</v>
      </c>
      <c r="G110" s="215">
        <f>+'Rate Class Customer Model'!I11</f>
        <v>25704</v>
      </c>
      <c r="H110" s="87">
        <v>336</v>
      </c>
      <c r="I110" s="87">
        <v>0</v>
      </c>
      <c r="J110" s="87">
        <v>0</v>
      </c>
      <c r="K110" s="184">
        <v>59008</v>
      </c>
      <c r="L110" s="189">
        <v>61.20</v>
      </c>
      <c r="M110" s="188">
        <v>1.2767868522275454</v>
      </c>
      <c r="N110" s="248">
        <v>269</v>
      </c>
      <c r="O110" s="91">
        <f t="shared" si="9"/>
        <v>45535755.327750295</v>
      </c>
      <c r="P110" s="88">
        <f t="shared" si="10"/>
        <v>0.086611765188303547</v>
      </c>
      <c r="Q110" s="213"/>
      <c r="Z110" s="220">
        <f t="shared" si="11"/>
        <v>0.086611765188303547</v>
      </c>
      <c r="AB110" s="167">
        <f t="shared" si="12"/>
        <v>-3629568.7884768024</v>
      </c>
      <c r="AC110" s="167">
        <f t="shared" si="13"/>
        <v>13173769590284.963</v>
      </c>
      <c r="AD110" s="73"/>
      <c r="AE110" s="73">
        <f t="shared" si="14"/>
        <v>-3629568.7884768024</v>
      </c>
      <c r="AF110" s="168">
        <f t="shared" si="15"/>
        <v>153372.06558356434</v>
      </c>
      <c r="AG110" s="73">
        <f t="shared" si="16"/>
        <v>-3782940.8540603667</v>
      </c>
      <c r="AH110" s="73">
        <f t="shared" si="17"/>
        <v>14310641505318.977</v>
      </c>
      <c r="AI110" s="6"/>
      <c r="AM110" s="131"/>
      <c r="AN110" s="210"/>
      <c r="AO110" s="130"/>
      <c r="AP110" s="130"/>
      <c r="AQ110" s="130"/>
      <c r="AR110" s="32"/>
    </row>
    <row r="111" spans="1:44" ht="12.75">
      <c r="A111" s="90">
        <v>40909</v>
      </c>
      <c r="B111" s="153">
        <f>+'Power Purchases'!I111</f>
        <v>46487776.470028497</v>
      </c>
      <c r="C111" s="84">
        <v>611.10</v>
      </c>
      <c r="D111" s="84">
        <v>0</v>
      </c>
      <c r="E111" s="87">
        <v>31</v>
      </c>
      <c r="F111" s="86">
        <v>0</v>
      </c>
      <c r="G111" s="87">
        <f>+($G$122-$G$110)/12+G110</f>
        <v>25715.083333333332</v>
      </c>
      <c r="H111" s="87">
        <v>352</v>
      </c>
      <c r="I111" s="87">
        <v>0</v>
      </c>
      <c r="J111" s="87">
        <v>0</v>
      </c>
      <c r="K111" s="184">
        <v>59099.2990228013</v>
      </c>
      <c r="L111" s="189">
        <v>60.80</v>
      </c>
      <c r="M111" s="188">
        <v>1.2782847318999095</v>
      </c>
      <c r="N111" s="248">
        <v>290</v>
      </c>
      <c r="O111" s="91">
        <f t="shared" si="9"/>
        <v>46622968.774386942</v>
      </c>
      <c r="P111" s="88">
        <f t="shared" si="10"/>
        <v>0.002908125847782933</v>
      </c>
      <c r="Q111" s="213"/>
      <c r="Z111" s="220">
        <f t="shared" si="11"/>
        <v>0.002908125847782933</v>
      </c>
      <c r="AB111" s="167">
        <f t="shared" si="12"/>
        <v>-135192.30435844511</v>
      </c>
      <c r="AC111" s="167">
        <f t="shared" si="13"/>
        <v>18276959157.746456</v>
      </c>
      <c r="AD111" s="73"/>
      <c r="AE111" s="73">
        <f t="shared" si="14"/>
        <v>-135192.30435844511</v>
      </c>
      <c r="AF111" s="168">
        <f t="shared" si="15"/>
        <v>-3629568.7884768024</v>
      </c>
      <c r="AG111" s="73">
        <f t="shared" si="16"/>
        <v>3494376.4841183573</v>
      </c>
      <c r="AH111" s="73">
        <f t="shared" si="17"/>
        <v>12210667012759.373</v>
      </c>
      <c r="AI111" s="6"/>
      <c r="AM111" s="131"/>
      <c r="AN111" s="210"/>
      <c r="AO111" s="130"/>
      <c r="AP111" s="130"/>
      <c r="AQ111" s="130"/>
      <c r="AR111" s="32"/>
    </row>
    <row r="112" spans="1:44" ht="12.75">
      <c r="A112" s="90">
        <v>40940</v>
      </c>
      <c r="B112" s="153">
        <f>+'Power Purchases'!I112</f>
        <v>42412932.437790737</v>
      </c>
      <c r="C112" s="84">
        <v>531.70000000000005</v>
      </c>
      <c r="D112" s="84">
        <v>0</v>
      </c>
      <c r="E112" s="87">
        <v>29</v>
      </c>
      <c r="F112" s="86">
        <v>0</v>
      </c>
      <c r="G112" s="87">
        <f t="shared" si="19" ref="G112:G121">+($G$122-$G$110)/12+G111</f>
        <v>25726.166666666664</v>
      </c>
      <c r="H112" s="87">
        <v>320</v>
      </c>
      <c r="I112" s="87">
        <v>0</v>
      </c>
      <c r="J112" s="87">
        <v>0</v>
      </c>
      <c r="K112" s="184">
        <v>59190.598045602601</v>
      </c>
      <c r="L112" s="189">
        <v>60.40</v>
      </c>
      <c r="M112" s="188">
        <v>1.2797826115722737</v>
      </c>
      <c r="N112" s="248">
        <v>305</v>
      </c>
      <c r="O112" s="91">
        <f t="shared" si="9"/>
        <v>43332212.190719686</v>
      </c>
      <c r="P112" s="88">
        <f t="shared" si="10"/>
        <v>0.021674515297363736</v>
      </c>
      <c r="Q112" s="213"/>
      <c r="Z112" s="220">
        <f t="shared" si="11"/>
        <v>0.021674515297363736</v>
      </c>
      <c r="AB112" s="167">
        <f t="shared" si="12"/>
        <v>-919279.75292894989</v>
      </c>
      <c r="AC112" s="167">
        <f t="shared" si="13"/>
        <v>845075264145.11121</v>
      </c>
      <c r="AD112" s="73"/>
      <c r="AE112" s="73">
        <f t="shared" si="14"/>
        <v>-919279.75292894989</v>
      </c>
      <c r="AF112" s="168">
        <f t="shared" si="15"/>
        <v>-135192.30435844511</v>
      </c>
      <c r="AG112" s="73">
        <f t="shared" si="16"/>
        <v>-784087.44857050478</v>
      </c>
      <c r="AH112" s="73">
        <f t="shared" si="17"/>
        <v>614793127005.80396</v>
      </c>
      <c r="AI112" s="6"/>
      <c r="AM112" s="131"/>
      <c r="AN112" s="210"/>
      <c r="AO112" s="130"/>
      <c r="AP112" s="130"/>
      <c r="AQ112" s="130"/>
      <c r="AR112" s="32"/>
    </row>
    <row r="113" spans="1:44" ht="12.75">
      <c r="A113" s="90">
        <v>40969</v>
      </c>
      <c r="B113" s="153">
        <f>+'Power Purchases'!I113</f>
        <v>42027126.375211418</v>
      </c>
      <c r="C113" s="84">
        <v>349.40</v>
      </c>
      <c r="D113" s="84">
        <v>0.20</v>
      </c>
      <c r="E113" s="87">
        <v>31</v>
      </c>
      <c r="F113" s="86">
        <v>1</v>
      </c>
      <c r="G113" s="87">
        <f t="shared" si="19"/>
        <v>25737.249999999996</v>
      </c>
      <c r="H113" s="87">
        <v>352</v>
      </c>
      <c r="I113" s="87">
        <v>0</v>
      </c>
      <c r="J113" s="87">
        <v>0</v>
      </c>
      <c r="K113" s="184">
        <v>59281.897068403901</v>
      </c>
      <c r="L113" s="189">
        <v>60.20</v>
      </c>
      <c r="M113" s="188">
        <v>1.2812804912446381</v>
      </c>
      <c r="N113" s="248">
        <v>371</v>
      </c>
      <c r="O113" s="91">
        <f t="shared" si="9"/>
        <v>42298745.894813024</v>
      </c>
      <c r="P113" s="88">
        <f t="shared" si="10"/>
        <v>0.00646295721426753</v>
      </c>
      <c r="Q113" s="213"/>
      <c r="Z113" s="220">
        <f t="shared" si="11"/>
        <v>0.00646295721426753</v>
      </c>
      <c r="AB113" s="167">
        <f t="shared" si="12"/>
        <v>-271619.51960160583</v>
      </c>
      <c r="AC113" s="167">
        <f t="shared" si="13"/>
        <v>73777163428.607132</v>
      </c>
      <c r="AD113" s="73"/>
      <c r="AE113" s="73">
        <f t="shared" si="14"/>
        <v>-271619.51960160583</v>
      </c>
      <c r="AF113" s="168">
        <f t="shared" si="15"/>
        <v>-919279.75292894989</v>
      </c>
      <c r="AG113" s="73">
        <f t="shared" si="16"/>
        <v>647660.23332734406</v>
      </c>
      <c r="AH113" s="73">
        <f t="shared" si="17"/>
        <v>419463777833.62976</v>
      </c>
      <c r="AI113" s="6"/>
      <c r="AM113" s="131"/>
      <c r="AN113" s="210"/>
      <c r="AO113" s="130"/>
      <c r="AP113" s="130"/>
      <c r="AQ113" s="130"/>
      <c r="AR113" s="32"/>
    </row>
    <row r="114" spans="1:44" ht="12.75">
      <c r="A114" s="90">
        <v>41000</v>
      </c>
      <c r="B114" s="153">
        <f>+'Power Purchases'!I114</f>
        <v>40043417.693525366</v>
      </c>
      <c r="C114" s="84">
        <v>321.70</v>
      </c>
      <c r="D114" s="84">
        <v>0</v>
      </c>
      <c r="E114" s="87">
        <v>30</v>
      </c>
      <c r="F114" s="86">
        <v>1</v>
      </c>
      <c r="G114" s="87">
        <f t="shared" si="19"/>
        <v>25748.333333333328</v>
      </c>
      <c r="H114" s="87">
        <v>320</v>
      </c>
      <c r="I114" s="87">
        <v>0</v>
      </c>
      <c r="J114" s="87">
        <v>0</v>
      </c>
      <c r="K114" s="184">
        <v>59373.196091205202</v>
      </c>
      <c r="L114" s="189">
        <v>60.40</v>
      </c>
      <c r="M114" s="188">
        <v>1.2827783709170022</v>
      </c>
      <c r="N114" s="248">
        <v>405</v>
      </c>
      <c r="O114" s="91">
        <f t="shared" si="9"/>
        <v>40468978.977863476</v>
      </c>
      <c r="P114" s="88">
        <f t="shared" si="10"/>
        <v>0.010627496573723236</v>
      </c>
      <c r="Q114" s="213"/>
      <c r="Z114" s="220">
        <f t="shared" si="11"/>
        <v>0.010627496573723236</v>
      </c>
      <c r="AB114" s="167">
        <f t="shared" si="12"/>
        <v>-425561.2843381092</v>
      </c>
      <c r="AC114" s="167">
        <f t="shared" si="13"/>
        <v>181102406727.50104</v>
      </c>
      <c r="AD114" s="73"/>
      <c r="AE114" s="73">
        <f t="shared" si="14"/>
        <v>-425561.2843381092</v>
      </c>
      <c r="AF114" s="168">
        <f t="shared" si="15"/>
        <v>-271619.51960160583</v>
      </c>
      <c r="AG114" s="73">
        <f t="shared" si="16"/>
        <v>-153941.76473650336</v>
      </c>
      <c r="AH114" s="73">
        <f t="shared" si="17"/>
        <v>23698066930.18895</v>
      </c>
      <c r="AI114" s="6"/>
      <c r="AM114" s="131"/>
      <c r="AN114" s="210"/>
      <c r="AO114" s="130"/>
      <c r="AP114" s="130"/>
      <c r="AQ114" s="130"/>
      <c r="AR114" s="32"/>
    </row>
    <row r="115" spans="1:44" ht="12.75">
      <c r="A115" s="90">
        <v>41030</v>
      </c>
      <c r="B115" s="153">
        <f>+'Power Purchases'!I115</f>
        <v>41299219.79619135</v>
      </c>
      <c r="C115" s="84">
        <v>80.70</v>
      </c>
      <c r="D115" s="84">
        <v>36.700000000000003</v>
      </c>
      <c r="E115" s="87">
        <v>31</v>
      </c>
      <c r="F115" s="86">
        <v>1</v>
      </c>
      <c r="G115" s="87">
        <f t="shared" si="19"/>
        <v>25759.416666666661</v>
      </c>
      <c r="H115" s="87">
        <v>352</v>
      </c>
      <c r="I115" s="87">
        <v>0</v>
      </c>
      <c r="J115" s="87">
        <v>0</v>
      </c>
      <c r="K115" s="184">
        <v>59464.495114006502</v>
      </c>
      <c r="L115" s="189">
        <v>60.80</v>
      </c>
      <c r="M115" s="188">
        <v>1.2842762505893663</v>
      </c>
      <c r="N115" s="248">
        <v>457</v>
      </c>
      <c r="O115" s="91">
        <f t="shared" si="9"/>
        <v>41887948.199643351</v>
      </c>
      <c r="P115" s="88">
        <f t="shared" si="10"/>
        <v>0.014255194319828158</v>
      </c>
      <c r="Q115" s="213"/>
      <c r="Z115" s="220">
        <f t="shared" si="11"/>
        <v>0.014255194319828158</v>
      </c>
      <c r="AB115" s="167">
        <f t="shared" si="12"/>
        <v>-588728.40345200151</v>
      </c>
      <c r="AC115" s="167">
        <f t="shared" si="13"/>
        <v>346601133031.14264</v>
      </c>
      <c r="AD115" s="73"/>
      <c r="AE115" s="73">
        <f t="shared" si="14"/>
        <v>-588728.40345200151</v>
      </c>
      <c r="AF115" s="168">
        <f t="shared" si="15"/>
        <v>-425561.2843381092</v>
      </c>
      <c r="AG115" s="73">
        <f t="shared" si="16"/>
        <v>-163167.11911389232</v>
      </c>
      <c r="AH115" s="73">
        <f t="shared" si="17"/>
        <v>26623508759.927124</v>
      </c>
      <c r="AI115" s="6"/>
      <c r="AM115" s="131"/>
      <c r="AN115" s="210"/>
      <c r="AO115" s="130"/>
      <c r="AP115" s="130"/>
      <c r="AQ115" s="130"/>
      <c r="AR115" s="32"/>
    </row>
    <row r="116" spans="1:44" ht="12.75">
      <c r="A116" s="90">
        <v>41061</v>
      </c>
      <c r="B116" s="153">
        <f>+'Power Purchases'!I116</f>
        <v>46546321.588897116</v>
      </c>
      <c r="C116" s="84">
        <v>23.20</v>
      </c>
      <c r="D116" s="84">
        <v>101.60</v>
      </c>
      <c r="E116" s="87">
        <v>30</v>
      </c>
      <c r="F116" s="86">
        <v>0</v>
      </c>
      <c r="G116" s="87">
        <f t="shared" si="19"/>
        <v>25770.499999999993</v>
      </c>
      <c r="H116" s="87">
        <v>336</v>
      </c>
      <c r="I116" s="87">
        <v>0</v>
      </c>
      <c r="J116" s="87">
        <v>0</v>
      </c>
      <c r="K116" s="184">
        <v>59555.794136807803</v>
      </c>
      <c r="L116" s="189">
        <v>61.30</v>
      </c>
      <c r="M116" s="188">
        <v>1.2857741302617307</v>
      </c>
      <c r="N116" s="248">
        <v>462</v>
      </c>
      <c r="O116" s="91">
        <f t="shared" si="9"/>
        <v>45810775.278637394</v>
      </c>
      <c r="P116" s="88">
        <f t="shared" si="10"/>
        <v>-0.015802458393085458</v>
      </c>
      <c r="Q116" s="213"/>
      <c r="Z116" s="220">
        <f t="shared" si="11"/>
        <v>0.015802458393085458</v>
      </c>
      <c r="AB116" s="167">
        <f t="shared" si="12"/>
        <v>735546.31025972217</v>
      </c>
      <c r="AC116" s="167">
        <f t="shared" si="13"/>
        <v>541028374536.69147</v>
      </c>
      <c r="AD116" s="73"/>
      <c r="AE116" s="73">
        <f t="shared" si="14"/>
        <v>735546.31025972217</v>
      </c>
      <c r="AF116" s="168">
        <f t="shared" si="15"/>
        <v>-588728.40345200151</v>
      </c>
      <c r="AG116" s="73">
        <f t="shared" si="16"/>
        <v>1324274.7137117237</v>
      </c>
      <c r="AH116" s="73">
        <f t="shared" si="17"/>
        <v>1753703517376.2678</v>
      </c>
      <c r="AI116" s="6"/>
      <c r="AM116" s="131"/>
      <c r="AN116" s="210"/>
      <c r="AO116" s="130"/>
      <c r="AP116" s="130"/>
      <c r="AQ116" s="130"/>
      <c r="AR116" s="32"/>
    </row>
    <row r="117" spans="1:44" ht="12.75">
      <c r="A117" s="90">
        <v>41091</v>
      </c>
      <c r="B117" s="153">
        <f>+'Power Purchases'!I117</f>
        <v>52616172.493790604</v>
      </c>
      <c r="C117" s="84">
        <v>0</v>
      </c>
      <c r="D117" s="84">
        <v>195.40</v>
      </c>
      <c r="E117" s="87">
        <v>31</v>
      </c>
      <c r="F117" s="86">
        <v>0</v>
      </c>
      <c r="G117" s="87">
        <f t="shared" si="19"/>
        <v>25781.583333333325</v>
      </c>
      <c r="H117" s="87">
        <v>336</v>
      </c>
      <c r="I117" s="87">
        <v>0</v>
      </c>
      <c r="J117" s="87">
        <v>0</v>
      </c>
      <c r="K117" s="184">
        <v>59647.093159609103</v>
      </c>
      <c r="L117" s="189">
        <v>61.70</v>
      </c>
      <c r="M117" s="188">
        <v>1.2872720099340949</v>
      </c>
      <c r="N117" s="248">
        <v>467</v>
      </c>
      <c r="O117" s="91">
        <f t="shared" si="9"/>
        <v>52306201.254244864</v>
      </c>
      <c r="P117" s="88">
        <f t="shared" si="10"/>
        <v>-0.0058911780324256927</v>
      </c>
      <c r="Q117" s="213"/>
      <c r="Z117" s="220">
        <f t="shared" si="11"/>
        <v>0.0058911780324256927</v>
      </c>
      <c r="AB117" s="167">
        <f t="shared" si="12"/>
        <v>309971.23954574019</v>
      </c>
      <c r="AC117" s="167">
        <f t="shared" si="13"/>
        <v>96082169345.522644</v>
      </c>
      <c r="AD117" s="73"/>
      <c r="AE117" s="73">
        <f t="shared" si="14"/>
        <v>309971.23954574019</v>
      </c>
      <c r="AF117" s="168">
        <f t="shared" si="15"/>
        <v>735546.31025972217</v>
      </c>
      <c r="AG117" s="73">
        <f t="shared" si="16"/>
        <v>-425575.07071398199</v>
      </c>
      <c r="AH117" s="73">
        <f t="shared" si="17"/>
        <v>181114140813.21075</v>
      </c>
      <c r="AI117" s="6"/>
      <c r="AM117" s="131"/>
      <c r="AN117" s="210"/>
      <c r="AO117" s="130"/>
      <c r="AP117" s="130"/>
      <c r="AQ117" s="130"/>
      <c r="AR117" s="32"/>
    </row>
    <row r="118" spans="1:44" ht="12.75">
      <c r="A118" s="90">
        <v>41122</v>
      </c>
      <c r="B118" s="153">
        <f>+'Power Purchases'!I118</f>
        <v>47216643.558583111</v>
      </c>
      <c r="C118" s="84">
        <v>2</v>
      </c>
      <c r="D118" s="84">
        <v>112.10</v>
      </c>
      <c r="E118" s="87">
        <v>31</v>
      </c>
      <c r="F118" s="86">
        <v>0</v>
      </c>
      <c r="G118" s="87">
        <f t="shared" si="19"/>
        <v>25792.666666666657</v>
      </c>
      <c r="H118" s="87">
        <v>352</v>
      </c>
      <c r="I118" s="87">
        <v>0</v>
      </c>
      <c r="J118" s="87">
        <v>0</v>
      </c>
      <c r="K118" s="184">
        <v>59738.392182410404</v>
      </c>
      <c r="L118" s="189">
        <v>62.10</v>
      </c>
      <c r="M118" s="188">
        <v>1.288769889606459</v>
      </c>
      <c r="N118" s="248">
        <v>432</v>
      </c>
      <c r="O118" s="91">
        <f t="shared" si="9"/>
        <v>47534213.123977356</v>
      </c>
      <c r="P118" s="88">
        <f t="shared" si="10"/>
        <v>0.0067257971227926644</v>
      </c>
      <c r="Q118" s="213"/>
      <c r="Z118" s="220">
        <f t="shared" si="11"/>
        <v>0.0067257971227926644</v>
      </c>
      <c r="AB118" s="167">
        <f t="shared" si="12"/>
        <v>-317569.56539424509</v>
      </c>
      <c r="AC118" s="167">
        <f t="shared" si="13"/>
        <v>100850428864.68971</v>
      </c>
      <c r="AD118" s="73"/>
      <c r="AE118" s="73">
        <f t="shared" si="14"/>
        <v>-317569.56539424509</v>
      </c>
      <c r="AF118" s="168">
        <f t="shared" si="15"/>
        <v>309971.23954574019</v>
      </c>
      <c r="AG118" s="73">
        <f t="shared" si="16"/>
        <v>-627540.80493998528</v>
      </c>
      <c r="AH118" s="73">
        <f t="shared" si="17"/>
        <v>393807461864.72467</v>
      </c>
      <c r="AI118" s="6"/>
      <c r="AM118" s="131"/>
      <c r="AN118" s="210"/>
      <c r="AO118" s="130"/>
      <c r="AP118" s="130"/>
      <c r="AQ118" s="130"/>
      <c r="AR118" s="32"/>
    </row>
    <row r="119" spans="1:44" ht="12.75">
      <c r="A119" s="90">
        <v>41153</v>
      </c>
      <c r="B119" s="153">
        <f>+'Power Purchases'!I119</f>
        <v>41263353.530584432</v>
      </c>
      <c r="C119" s="84">
        <v>85</v>
      </c>
      <c r="D119" s="84">
        <v>35.60</v>
      </c>
      <c r="E119" s="87">
        <v>30</v>
      </c>
      <c r="F119" s="86">
        <v>0</v>
      </c>
      <c r="G119" s="87">
        <f t="shared" si="19"/>
        <v>25803.749999999989</v>
      </c>
      <c r="H119" s="87">
        <v>304</v>
      </c>
      <c r="I119" s="87">
        <v>1</v>
      </c>
      <c r="J119" s="87">
        <v>0</v>
      </c>
      <c r="K119" s="184">
        <v>59829.691205211704</v>
      </c>
      <c r="L119" s="189">
        <v>62.10</v>
      </c>
      <c r="M119" s="188">
        <v>1.2902677692788231</v>
      </c>
      <c r="N119" s="248">
        <v>374</v>
      </c>
      <c r="O119" s="91">
        <f t="shared" si="9"/>
        <v>41091844.162905373</v>
      </c>
      <c r="P119" s="88">
        <f t="shared" si="10"/>
        <v>-0.004156457316343341</v>
      </c>
      <c r="Q119" s="213"/>
      <c r="Z119" s="220">
        <f t="shared" si="11"/>
        <v>0.004156457316343341</v>
      </c>
      <c r="AB119" s="167">
        <f t="shared" si="12"/>
        <v>171509.36767905951</v>
      </c>
      <c r="AC119" s="167">
        <f t="shared" si="13"/>
        <v>29415463201.670822</v>
      </c>
      <c r="AD119" s="73"/>
      <c r="AE119" s="73">
        <f t="shared" si="14"/>
        <v>171509.36767905951</v>
      </c>
      <c r="AF119" s="168">
        <f t="shared" si="15"/>
        <v>-317569.56539424509</v>
      </c>
      <c r="AG119" s="73">
        <f t="shared" si="16"/>
        <v>489078.93307330459</v>
      </c>
      <c r="AH119" s="73">
        <f t="shared" si="17"/>
        <v>239198202776.12195</v>
      </c>
      <c r="AI119" s="6"/>
      <c r="AM119" s="131"/>
      <c r="AN119" s="210"/>
      <c r="AO119" s="130"/>
      <c r="AP119" s="130"/>
      <c r="AQ119" s="130"/>
      <c r="AR119" s="32"/>
    </row>
    <row r="120" spans="1:44" ht="12.75">
      <c r="A120" s="90">
        <v>41183</v>
      </c>
      <c r="B120" s="153">
        <f>+'Power Purchases'!I120</f>
        <v>41501368.683087476</v>
      </c>
      <c r="C120" s="84">
        <v>242.50</v>
      </c>
      <c r="D120" s="84">
        <v>1.1000000000000001</v>
      </c>
      <c r="E120" s="87">
        <v>31</v>
      </c>
      <c r="F120" s="86">
        <v>0</v>
      </c>
      <c r="G120" s="87">
        <f t="shared" si="19"/>
        <v>25814.833333333321</v>
      </c>
      <c r="H120" s="87">
        <v>352</v>
      </c>
      <c r="I120" s="87">
        <v>1</v>
      </c>
      <c r="J120" s="87">
        <v>0</v>
      </c>
      <c r="K120" s="184">
        <v>59920.990228013005</v>
      </c>
      <c r="L120" s="189">
        <v>62.20</v>
      </c>
      <c r="M120" s="188">
        <v>1.2917656489511875</v>
      </c>
      <c r="N120" s="248">
        <v>340</v>
      </c>
      <c r="O120" s="91">
        <f t="shared" si="9"/>
        <v>42423640.781894714</v>
      </c>
      <c r="P120" s="88">
        <f t="shared" si="10"/>
        <v>0.022222691156281789</v>
      </c>
      <c r="Q120" s="213"/>
      <c r="Z120" s="220">
        <f t="shared" si="11"/>
        <v>0.022222691156281789</v>
      </c>
      <c r="AB120" s="167">
        <f t="shared" si="12"/>
        <v>-922272.09880723804</v>
      </c>
      <c r="AC120" s="167">
        <f t="shared" si="13"/>
        <v>850585824238.30786</v>
      </c>
      <c r="AD120" s="73"/>
      <c r="AE120" s="73">
        <f t="shared" si="14"/>
        <v>-922272.09880723804</v>
      </c>
      <c r="AF120" s="168">
        <f t="shared" si="15"/>
        <v>171509.36767905951</v>
      </c>
      <c r="AG120" s="73">
        <f t="shared" si="16"/>
        <v>-1093781.4664862976</v>
      </c>
      <c r="AH120" s="73">
        <f t="shared" si="17"/>
        <v>1196357896428.9155</v>
      </c>
      <c r="AI120" s="6"/>
      <c r="AM120" s="131"/>
      <c r="AN120" s="210"/>
      <c r="AO120" s="130"/>
      <c r="AP120" s="130"/>
      <c r="AQ120" s="130"/>
      <c r="AR120" s="32"/>
    </row>
    <row r="121" spans="1:44" ht="12.75">
      <c r="A121" s="90">
        <v>41214</v>
      </c>
      <c r="B121" s="153">
        <f>+'Power Purchases'!I121</f>
        <v>42039260.233970664</v>
      </c>
      <c r="C121" s="84">
        <v>434</v>
      </c>
      <c r="D121" s="84">
        <v>0</v>
      </c>
      <c r="E121" s="87">
        <v>30</v>
      </c>
      <c r="F121" s="86">
        <v>0</v>
      </c>
      <c r="G121" s="87">
        <f t="shared" si="19"/>
        <v>25825.916666666653</v>
      </c>
      <c r="H121" s="87">
        <v>352</v>
      </c>
      <c r="I121" s="87">
        <v>1</v>
      </c>
      <c r="J121" s="87">
        <v>0</v>
      </c>
      <c r="K121" s="184">
        <v>60012.289250814305</v>
      </c>
      <c r="L121" s="189">
        <v>62.40</v>
      </c>
      <c r="M121" s="188">
        <v>1.2932635286235517</v>
      </c>
      <c r="N121" s="248">
        <v>290</v>
      </c>
      <c r="O121" s="91">
        <f t="shared" si="9"/>
        <v>43328444.087526254</v>
      </c>
      <c r="P121" s="88">
        <f t="shared" si="10"/>
        <v>0.030666187901038255</v>
      </c>
      <c r="Q121" s="213"/>
      <c r="Z121" s="220">
        <f t="shared" si="11"/>
        <v>0.030666187901038255</v>
      </c>
      <c r="AB121" s="167">
        <f t="shared" si="12"/>
        <v>-1289183.8535555899</v>
      </c>
      <c r="AC121" s="167">
        <f t="shared" si="13"/>
        <v>1661995008268.4407</v>
      </c>
      <c r="AD121" s="73"/>
      <c r="AE121" s="73">
        <f t="shared" si="14"/>
        <v>-1289183.8535555899</v>
      </c>
      <c r="AF121" s="168">
        <f t="shared" si="15"/>
        <v>-922272.09880723804</v>
      </c>
      <c r="AG121" s="73">
        <f t="shared" si="16"/>
        <v>-366911.75474835187</v>
      </c>
      <c r="AH121" s="73">
        <f t="shared" si="17"/>
        <v>134624235772.51471</v>
      </c>
      <c r="AI121" s="6"/>
      <c r="AM121" s="131"/>
      <c r="AN121" s="210"/>
      <c r="AO121" s="130"/>
      <c r="AP121" s="130"/>
      <c r="AQ121" s="130"/>
      <c r="AR121" s="32"/>
    </row>
    <row r="122" spans="1:44" ht="12.75">
      <c r="A122" s="90">
        <v>41244</v>
      </c>
      <c r="B122" s="153">
        <f>+'Power Purchases'!I122</f>
        <v>43962909.916353256</v>
      </c>
      <c r="C122" s="84">
        <v>533.50</v>
      </c>
      <c r="D122" s="84">
        <v>0</v>
      </c>
      <c r="E122" s="87">
        <v>31</v>
      </c>
      <c r="F122" s="86">
        <v>0</v>
      </c>
      <c r="G122" s="215">
        <f>+'Rate Class Customer Model'!I12</f>
        <v>25837</v>
      </c>
      <c r="H122" s="87">
        <v>304</v>
      </c>
      <c r="I122" s="87">
        <v>0</v>
      </c>
      <c r="J122" s="87">
        <v>0</v>
      </c>
      <c r="K122" s="184">
        <v>60103.588273615635</v>
      </c>
      <c r="L122" s="189">
        <v>62.50</v>
      </c>
      <c r="M122" s="188">
        <v>1.2947614082959169</v>
      </c>
      <c r="N122" s="248">
        <v>269</v>
      </c>
      <c r="O122" s="91">
        <f t="shared" si="9"/>
        <v>45132525.916257538</v>
      </c>
      <c r="P122" s="88">
        <f t="shared" si="10"/>
        <v>0.026604608342115463</v>
      </c>
      <c r="Q122" s="213"/>
      <c r="Z122" s="220">
        <f t="shared" si="11"/>
        <v>0.026604608342115463</v>
      </c>
      <c r="AB122" s="167">
        <f t="shared" si="12"/>
        <v>-1169615.9999042824</v>
      </c>
      <c r="AC122" s="167">
        <f t="shared" si="13"/>
        <v>1368001587232.0942</v>
      </c>
      <c r="AD122" s="73"/>
      <c r="AE122" s="73">
        <f t="shared" si="14"/>
        <v>-1169615.9999042824</v>
      </c>
      <c r="AF122" s="168">
        <f t="shared" si="15"/>
        <v>-1289183.8535555899</v>
      </c>
      <c r="AG122" s="73">
        <f t="shared" si="16"/>
        <v>119567.85365130752</v>
      </c>
      <c r="AH122" s="73">
        <f t="shared" si="17"/>
        <v>14296471626.780495</v>
      </c>
      <c r="AI122" s="6"/>
      <c r="AM122" s="131"/>
      <c r="AN122" s="210"/>
      <c r="AO122" s="130"/>
      <c r="AP122" s="130"/>
      <c r="AQ122" s="130"/>
      <c r="AR122" s="32"/>
    </row>
    <row r="123" spans="1:44" ht="12.75">
      <c r="A123" s="90">
        <v>41275</v>
      </c>
      <c r="B123" s="153">
        <f>+'Power Purchases'!I123</f>
        <v>46307319.045405656</v>
      </c>
      <c r="C123" s="84">
        <v>624.40</v>
      </c>
      <c r="D123" s="84">
        <v>0</v>
      </c>
      <c r="E123" s="87">
        <v>31</v>
      </c>
      <c r="F123" s="86">
        <v>0</v>
      </c>
      <c r="G123" s="217">
        <f>+($G$134-$G$122)/12+G122</f>
        <v>25870.666666666668</v>
      </c>
      <c r="H123" s="87">
        <v>352</v>
      </c>
      <c r="I123" s="87">
        <v>0</v>
      </c>
      <c r="J123" s="87">
        <v>0</v>
      </c>
      <c r="K123" s="184">
        <v>60194.887296416935</v>
      </c>
      <c r="L123" s="189">
        <v>62.20</v>
      </c>
      <c r="M123" s="188">
        <v>1.2970057203142145</v>
      </c>
      <c r="N123" s="248">
        <v>290</v>
      </c>
      <c r="O123" s="91">
        <f t="shared" si="9"/>
        <v>46992735.195448019</v>
      </c>
      <c r="P123" s="88">
        <f t="shared" si="10"/>
        <v>0.014801464739737844</v>
      </c>
      <c r="Q123" s="213"/>
      <c r="Z123" s="220">
        <f t="shared" si="11"/>
        <v>0.014801464739737844</v>
      </c>
      <c r="AB123" s="167">
        <f t="shared" si="12"/>
        <v>-685416.15004236251</v>
      </c>
      <c r="AC123" s="167">
        <f t="shared" si="13"/>
        <v>469795298738.89441</v>
      </c>
      <c r="AD123" s="73"/>
      <c r="AE123" s="73">
        <f t="shared" si="14"/>
        <v>-685416.15004236251</v>
      </c>
      <c r="AF123" s="168">
        <f t="shared" si="15"/>
        <v>-1169615.9999042824</v>
      </c>
      <c r="AG123" s="73">
        <f t="shared" si="16"/>
        <v>484199.84986191988</v>
      </c>
      <c r="AH123" s="73">
        <f t="shared" si="17"/>
        <v>234449494606.30576</v>
      </c>
      <c r="AI123" s="6"/>
      <c r="AM123" s="131"/>
      <c r="AN123" s="210"/>
      <c r="AO123" s="130"/>
      <c r="AP123" s="130"/>
      <c r="AQ123" s="130"/>
      <c r="AR123" s="32"/>
    </row>
    <row r="124" spans="1:44" ht="12.75">
      <c r="A124" s="90">
        <v>41306</v>
      </c>
      <c r="B124" s="153">
        <f>+'Power Purchases'!I124</f>
        <v>42312547.399500698</v>
      </c>
      <c r="C124" s="84">
        <v>631.50</v>
      </c>
      <c r="D124" s="84">
        <v>0</v>
      </c>
      <c r="E124" s="87">
        <v>28</v>
      </c>
      <c r="F124" s="86">
        <v>0</v>
      </c>
      <c r="G124" s="87">
        <f t="shared" si="20" ref="G124:G133">+($G$134-$G$122)/12+G123</f>
        <v>25904.333333333336</v>
      </c>
      <c r="H124" s="87">
        <v>304</v>
      </c>
      <c r="I124" s="87">
        <v>0</v>
      </c>
      <c r="J124" s="87">
        <v>0</v>
      </c>
      <c r="K124" s="184">
        <v>60286.186319218235</v>
      </c>
      <c r="L124" s="189">
        <v>61.70</v>
      </c>
      <c r="M124" s="188">
        <v>1.299253922575458</v>
      </c>
      <c r="N124" s="248">
        <v>305</v>
      </c>
      <c r="O124" s="91">
        <f t="shared" si="9"/>
        <v>43342815.642052077</v>
      </c>
      <c r="P124" s="88">
        <f t="shared" si="10"/>
        <v>0.024349000612606378</v>
      </c>
      <c r="Q124" s="213"/>
      <c r="Z124" s="220">
        <f t="shared" si="11"/>
        <v>0.024349000612606378</v>
      </c>
      <c r="AB124" s="167">
        <f t="shared" si="12"/>
        <v>-1030268.2425513789</v>
      </c>
      <c r="AC124" s="167">
        <f t="shared" si="13"/>
        <v>1061452651609.9069</v>
      </c>
      <c r="AD124" s="73"/>
      <c r="AE124" s="73">
        <f t="shared" si="14"/>
        <v>-1030268.2425513789</v>
      </c>
      <c r="AF124" s="168">
        <f t="shared" si="15"/>
        <v>-685416.15004236251</v>
      </c>
      <c r="AG124" s="73">
        <f t="shared" si="16"/>
        <v>-344852.09250901639</v>
      </c>
      <c r="AH124" s="73">
        <f t="shared" si="17"/>
        <v>118922965707.8472</v>
      </c>
      <c r="AI124" s="6"/>
      <c r="AM124" s="131"/>
      <c r="AN124" s="210"/>
      <c r="AO124" s="130"/>
      <c r="AP124" s="130"/>
      <c r="AQ124" s="130"/>
      <c r="AR124" s="32"/>
    </row>
    <row r="125" spans="1:44" ht="12.75">
      <c r="A125" s="90">
        <v>41334</v>
      </c>
      <c r="B125" s="153">
        <f>+'Power Purchases'!I125</f>
        <v>43827157.863995127</v>
      </c>
      <c r="C125" s="84">
        <v>554.79999999999995</v>
      </c>
      <c r="D125" s="84">
        <v>0</v>
      </c>
      <c r="E125" s="87">
        <v>31</v>
      </c>
      <c r="F125" s="86">
        <v>1</v>
      </c>
      <c r="G125" s="87">
        <f t="shared" si="20"/>
        <v>25938.000000000004</v>
      </c>
      <c r="H125" s="87">
        <v>320</v>
      </c>
      <c r="I125" s="87">
        <v>0</v>
      </c>
      <c r="J125" s="87">
        <v>0</v>
      </c>
      <c r="K125" s="184">
        <v>60377.485342019536</v>
      </c>
      <c r="L125" s="189">
        <v>61.30</v>
      </c>
      <c r="M125" s="188">
        <v>1.3015060218229124</v>
      </c>
      <c r="N125" s="248">
        <v>371</v>
      </c>
      <c r="O125" s="91">
        <f t="shared" si="9"/>
        <v>44042594.229982488</v>
      </c>
      <c r="P125" s="88">
        <f t="shared" si="10"/>
        <v>0.0049155906174866452</v>
      </c>
      <c r="Q125" s="213"/>
      <c r="Z125" s="220">
        <f t="shared" si="11"/>
        <v>0.0049155906174866452</v>
      </c>
      <c r="AB125" s="167">
        <f t="shared" si="12"/>
        <v>-215436.36598736048</v>
      </c>
      <c r="AC125" s="167">
        <f t="shared" si="13"/>
        <v>46412827789.839928</v>
      </c>
      <c r="AD125" s="73"/>
      <c r="AE125" s="73">
        <f t="shared" si="14"/>
        <v>-215436.36598736048</v>
      </c>
      <c r="AF125" s="168">
        <f t="shared" si="15"/>
        <v>-1030268.2425513789</v>
      </c>
      <c r="AG125" s="73">
        <f t="shared" si="16"/>
        <v>814831.87656401843</v>
      </c>
      <c r="AH125" s="73">
        <f t="shared" si="17"/>
        <v>663950987064.83972</v>
      </c>
      <c r="AI125" s="6"/>
      <c r="AM125" s="131"/>
      <c r="AN125" s="210"/>
      <c r="AO125" s="130"/>
      <c r="AP125" s="130"/>
      <c r="AQ125" s="130"/>
      <c r="AR125" s="32"/>
    </row>
    <row r="126" spans="1:44" ht="12.75">
      <c r="A126" s="90">
        <v>41365</v>
      </c>
      <c r="B126" s="153">
        <f>+'Power Purchases'!I126</f>
        <v>41119810.858578935</v>
      </c>
      <c r="C126" s="84">
        <v>358.60</v>
      </c>
      <c r="D126" s="84">
        <v>0</v>
      </c>
      <c r="E126" s="87">
        <v>30</v>
      </c>
      <c r="F126" s="86">
        <v>1</v>
      </c>
      <c r="G126" s="87">
        <f t="shared" si="20"/>
        <v>25971.666666666672</v>
      </c>
      <c r="H126" s="85">
        <v>352</v>
      </c>
      <c r="I126" s="85">
        <v>0</v>
      </c>
      <c r="J126" s="85">
        <v>0</v>
      </c>
      <c r="K126" s="187">
        <v>60468.784364820836</v>
      </c>
      <c r="L126" s="189">
        <v>61.50</v>
      </c>
      <c r="M126" s="188">
        <v>1.3037620248115311</v>
      </c>
      <c r="N126" s="248">
        <v>405</v>
      </c>
      <c r="O126" s="91">
        <f t="shared" si="9"/>
        <v>41778393.955045655</v>
      </c>
      <c r="P126" s="88">
        <f t="shared" si="10"/>
        <v>0.016016199557234056</v>
      </c>
      <c r="Q126" s="213"/>
      <c r="R126" s="154"/>
      <c r="S126" s="154"/>
      <c r="T126" s="154"/>
      <c r="U126" s="154"/>
      <c r="V126" s="154"/>
      <c r="Z126" s="220">
        <f t="shared" si="11"/>
        <v>0.016016199557234056</v>
      </c>
      <c r="AB126" s="167">
        <f t="shared" si="12"/>
        <v>-658583.0964667201</v>
      </c>
      <c r="AC126" s="167">
        <f t="shared" si="13"/>
        <v>433731694951.69318</v>
      </c>
      <c r="AD126" s="73"/>
      <c r="AE126" s="73">
        <f t="shared" si="14"/>
        <v>-658583.0964667201</v>
      </c>
      <c r="AF126" s="168">
        <f t="shared" si="15"/>
        <v>-215436.36598736048</v>
      </c>
      <c r="AG126" s="73">
        <f t="shared" si="16"/>
        <v>-443146.73047935963</v>
      </c>
      <c r="AH126" s="73">
        <f t="shared" si="17"/>
        <v>196379024734.5462</v>
      </c>
      <c r="AI126" s="6"/>
      <c r="AM126" s="131"/>
      <c r="AN126" s="210"/>
      <c r="AO126" s="130"/>
      <c r="AP126" s="131"/>
      <c r="AQ126" s="131"/>
      <c r="AR126" s="32"/>
    </row>
    <row r="127" spans="1:44" ht="12.75">
      <c r="A127" s="90">
        <v>41395</v>
      </c>
      <c r="B127" s="153">
        <f>+'Power Purchases'!I127</f>
        <v>41656140.321234129</v>
      </c>
      <c r="C127" s="84">
        <v>109.10</v>
      </c>
      <c r="D127" s="84">
        <v>23.10</v>
      </c>
      <c r="E127" s="87">
        <v>31</v>
      </c>
      <c r="F127" s="86">
        <v>1</v>
      </c>
      <c r="G127" s="87">
        <f t="shared" si="20"/>
        <v>26005.333333333339</v>
      </c>
      <c r="H127" s="85">
        <v>352</v>
      </c>
      <c r="I127" s="85">
        <v>0</v>
      </c>
      <c r="J127" s="85">
        <v>0</v>
      </c>
      <c r="K127" s="187">
        <v>60560.083387622137</v>
      </c>
      <c r="L127" s="189">
        <v>62.10</v>
      </c>
      <c r="M127" s="188">
        <v>1.3060219383079765</v>
      </c>
      <c r="N127" s="248">
        <v>457</v>
      </c>
      <c r="O127" s="91">
        <f t="shared" si="9"/>
        <v>41711921.043103635</v>
      </c>
      <c r="P127" s="88">
        <f t="shared" si="10"/>
        <v>0.0013390756186086648</v>
      </c>
      <c r="Q127" s="213"/>
      <c r="R127" s="154"/>
      <c r="Z127" s="220">
        <f t="shared" si="11"/>
        <v>0.0013390756186086648</v>
      </c>
      <c r="AB127" s="167">
        <f t="shared" si="12"/>
        <v>-55780.721869505942</v>
      </c>
      <c r="AC127" s="167">
        <f t="shared" si="13"/>
        <v>3111488932.2831783</v>
      </c>
      <c r="AD127" s="73"/>
      <c r="AE127" s="73">
        <f t="shared" si="14"/>
        <v>-55780.721869505942</v>
      </c>
      <c r="AF127" s="168">
        <f t="shared" si="15"/>
        <v>-658583.0964667201</v>
      </c>
      <c r="AG127" s="73">
        <f t="shared" si="16"/>
        <v>602802.37459721416</v>
      </c>
      <c r="AH127" s="73">
        <f t="shared" si="17"/>
        <v>363370702820.0401</v>
      </c>
      <c r="AI127" s="6"/>
      <c r="AM127" s="131"/>
      <c r="AN127" s="210"/>
      <c r="AO127" s="130"/>
      <c r="AP127" s="131"/>
      <c r="AQ127" s="131"/>
      <c r="AR127" s="32"/>
    </row>
    <row r="128" spans="1:44" ht="12.75">
      <c r="A128" s="90">
        <v>41426</v>
      </c>
      <c r="B128" s="153">
        <f>+'Power Purchases'!I128</f>
        <v>44494528.284994669</v>
      </c>
      <c r="C128" s="84">
        <v>33</v>
      </c>
      <c r="D128" s="84">
        <v>59.60</v>
      </c>
      <c r="E128" s="87">
        <v>30</v>
      </c>
      <c r="F128" s="86">
        <v>0</v>
      </c>
      <c r="G128" s="87">
        <f t="shared" si="20"/>
        <v>26039.000000000007</v>
      </c>
      <c r="H128" s="85">
        <v>320</v>
      </c>
      <c r="I128" s="85">
        <v>0</v>
      </c>
      <c r="J128" s="85">
        <v>0</v>
      </c>
      <c r="K128" s="187">
        <v>60651.382410423437</v>
      </c>
      <c r="L128" s="189">
        <v>63</v>
      </c>
      <c r="M128" s="188">
        <v>1.30828576909064</v>
      </c>
      <c r="N128" s="248">
        <v>462</v>
      </c>
      <c r="O128" s="91">
        <f t="shared" si="9"/>
        <v>43441077.719995715</v>
      </c>
      <c r="P128" s="88">
        <f t="shared" si="10"/>
        <v>-0.023675957597559701</v>
      </c>
      <c r="Q128" s="213"/>
      <c r="R128" s="154"/>
      <c r="Z128" s="220">
        <f t="shared" si="11"/>
        <v>0.023675957597559701</v>
      </c>
      <c r="AB128" s="167">
        <f t="shared" si="12"/>
        <v>1053450.5649989545</v>
      </c>
      <c r="AC128" s="167">
        <f t="shared" si="13"/>
        <v>1109758092896.6165</v>
      </c>
      <c r="AD128" s="73"/>
      <c r="AE128" s="73">
        <f t="shared" si="14"/>
        <v>1053450.5649989545</v>
      </c>
      <c r="AF128" s="168">
        <f t="shared" si="15"/>
        <v>-55780.721869505942</v>
      </c>
      <c r="AG128" s="73">
        <f t="shared" si="16"/>
        <v>1109231.2868684605</v>
      </c>
      <c r="AH128" s="73">
        <f t="shared" si="17"/>
        <v>1230394047767.8608</v>
      </c>
      <c r="AI128" s="6"/>
      <c r="AM128" s="131"/>
      <c r="AN128" s="210"/>
      <c r="AO128" s="130"/>
      <c r="AP128" s="131"/>
      <c r="AQ128" s="131"/>
      <c r="AR128" s="32"/>
    </row>
    <row r="129" spans="1:44" ht="12.75">
      <c r="A129" s="90">
        <v>41456</v>
      </c>
      <c r="B129" s="153">
        <f>+'Power Purchases'!I129</f>
        <v>50531096.450563952</v>
      </c>
      <c r="C129" s="84">
        <v>1.30</v>
      </c>
      <c r="D129" s="84">
        <v>120.80</v>
      </c>
      <c r="E129" s="87">
        <v>31</v>
      </c>
      <c r="F129" s="86">
        <v>0</v>
      </c>
      <c r="G129" s="87">
        <f t="shared" si="20"/>
        <v>26072.666666666675</v>
      </c>
      <c r="H129" s="85">
        <v>352</v>
      </c>
      <c r="I129" s="85">
        <v>0</v>
      </c>
      <c r="J129" s="85">
        <v>0</v>
      </c>
      <c r="K129" s="187">
        <v>60742.681433224738</v>
      </c>
      <c r="L129" s="189">
        <v>63.40</v>
      </c>
      <c r="M129" s="188">
        <v>1.3105535239496624</v>
      </c>
      <c r="N129" s="248">
        <v>467</v>
      </c>
      <c r="O129" s="91">
        <f t="shared" si="9"/>
        <v>48487273.725227319</v>
      </c>
      <c r="P129" s="88">
        <f t="shared" si="10"/>
        <v>-0.040446831137657284</v>
      </c>
      <c r="Q129" s="213"/>
      <c r="R129" s="154"/>
      <c r="Z129" s="220">
        <f t="shared" si="11"/>
        <v>0.040446831137657284</v>
      </c>
      <c r="AB129" s="167">
        <f t="shared" si="12"/>
        <v>2043822.7253366336</v>
      </c>
      <c r="AC129" s="167">
        <f t="shared" si="13"/>
        <v>4177211332602.4644</v>
      </c>
      <c r="AD129" s="73"/>
      <c r="AE129" s="73">
        <f t="shared" si="14"/>
        <v>2043822.7253366336</v>
      </c>
      <c r="AF129" s="168">
        <f t="shared" si="15"/>
        <v>1053450.5649989545</v>
      </c>
      <c r="AG129" s="73">
        <f t="shared" si="16"/>
        <v>990372.16033767909</v>
      </c>
      <c r="AH129" s="73">
        <f t="shared" si="17"/>
        <v>980837015971.92151</v>
      </c>
      <c r="AI129" s="6"/>
      <c r="AM129" s="131"/>
      <c r="AN129" s="210"/>
      <c r="AO129" s="130"/>
      <c r="AP129" s="131"/>
      <c r="AQ129" s="131"/>
      <c r="AR129" s="32"/>
    </row>
    <row r="130" spans="1:44" ht="12.75">
      <c r="A130" s="90">
        <v>41487</v>
      </c>
      <c r="B130" s="153">
        <f>+'Power Purchases'!I130</f>
        <v>47766721.349584915</v>
      </c>
      <c r="C130" s="84">
        <v>4.4000000000000004</v>
      </c>
      <c r="D130" s="84">
        <v>93.80</v>
      </c>
      <c r="E130" s="87">
        <v>31</v>
      </c>
      <c r="F130" s="86">
        <v>0</v>
      </c>
      <c r="G130" s="87">
        <f t="shared" si="20"/>
        <v>26106.333333333343</v>
      </c>
      <c r="H130" s="85">
        <v>320</v>
      </c>
      <c r="I130" s="85">
        <v>0</v>
      </c>
      <c r="J130" s="85">
        <v>1</v>
      </c>
      <c r="K130" s="187">
        <v>60833.980456026038</v>
      </c>
      <c r="L130" s="189">
        <v>63.70</v>
      </c>
      <c r="M130" s="188">
        <v>1.3128252096869548</v>
      </c>
      <c r="N130" s="248">
        <v>432</v>
      </c>
      <c r="O130" s="91">
        <f t="shared" si="9"/>
        <v>47385261.162784681</v>
      </c>
      <c r="P130" s="88">
        <f t="shared" si="10"/>
        <v>-0.0079858984670202592</v>
      </c>
      <c r="Q130" s="213"/>
      <c r="R130" s="154"/>
      <c r="Z130" s="220">
        <f t="shared" si="11"/>
        <v>0.0079858984670202592</v>
      </c>
      <c r="AB130" s="167">
        <f t="shared" si="12"/>
        <v>381460.18680023402</v>
      </c>
      <c r="AC130" s="167">
        <f t="shared" si="13"/>
        <v>145511874113.66943</v>
      </c>
      <c r="AD130" s="73"/>
      <c r="AE130" s="73">
        <f t="shared" si="14"/>
        <v>381460.18680023402</v>
      </c>
      <c r="AF130" s="168">
        <f t="shared" si="15"/>
        <v>2043822.7253366336</v>
      </c>
      <c r="AG130" s="73">
        <f t="shared" si="16"/>
        <v>-1662362.5385363996</v>
      </c>
      <c r="AH130" s="73">
        <f t="shared" si="17"/>
        <v>2763449209529.1826</v>
      </c>
      <c r="AI130" s="6"/>
      <c r="AM130" s="131"/>
      <c r="AN130" s="210"/>
      <c r="AO130" s="130"/>
      <c r="AP130" s="131"/>
      <c r="AQ130" s="131"/>
      <c r="AR130" s="32"/>
    </row>
    <row r="131" spans="1:44" ht="12.75">
      <c r="A131" s="90">
        <v>41518</v>
      </c>
      <c r="B131" s="153">
        <f>+'Power Purchases'!I131</f>
        <v>42832570.094645187</v>
      </c>
      <c r="C131" s="84">
        <v>83</v>
      </c>
      <c r="D131" s="84">
        <v>28.10</v>
      </c>
      <c r="E131" s="87">
        <v>30</v>
      </c>
      <c r="F131" s="86">
        <v>0</v>
      </c>
      <c r="G131" s="87">
        <f t="shared" si="20"/>
        <v>26140.000000000011</v>
      </c>
      <c r="H131" s="85">
        <v>320</v>
      </c>
      <c r="I131" s="85">
        <v>1</v>
      </c>
      <c r="J131" s="85">
        <v>1</v>
      </c>
      <c r="K131" s="187">
        <v>60925.279478827339</v>
      </c>
      <c r="L131" s="189">
        <v>63.40</v>
      </c>
      <c r="M131" s="188">
        <v>1.3151008331162182</v>
      </c>
      <c r="N131" s="248">
        <v>374</v>
      </c>
      <c r="O131" s="91">
        <f t="shared" si="9"/>
        <v>42496956.820199221</v>
      </c>
      <c r="P131" s="88">
        <f t="shared" si="10"/>
        <v>-0.007835468983168099</v>
      </c>
      <c r="Q131" s="213"/>
      <c r="R131" s="154"/>
      <c r="Z131" s="220">
        <f t="shared" si="11"/>
        <v>0.007835468983168099</v>
      </c>
      <c r="AB131" s="167">
        <f t="shared" si="12"/>
        <v>335613.27444596589</v>
      </c>
      <c r="AC131" s="167">
        <f t="shared" si="13"/>
        <v>112636269984.34322</v>
      </c>
      <c r="AD131" s="73"/>
      <c r="AE131" s="73">
        <f t="shared" si="14"/>
        <v>335613.27444596589</v>
      </c>
      <c r="AF131" s="168">
        <f t="shared" si="15"/>
        <v>381460.18680023402</v>
      </c>
      <c r="AG131" s="73">
        <f t="shared" si="16"/>
        <v>-45846.912354268134</v>
      </c>
      <c r="AH131" s="73">
        <f t="shared" si="17"/>
        <v>2101939372.4199441</v>
      </c>
      <c r="AI131" s="6"/>
      <c r="AM131" s="131"/>
      <c r="AN131" s="210"/>
      <c r="AO131" s="130"/>
      <c r="AP131" s="131"/>
      <c r="AQ131" s="131"/>
      <c r="AR131" s="32"/>
    </row>
    <row r="132" spans="1:44" ht="12.75">
      <c r="A132" s="90">
        <v>41548</v>
      </c>
      <c r="B132" s="153">
        <f>+'Power Purchases'!I132</f>
        <v>43470143.372696519</v>
      </c>
      <c r="C132" s="84">
        <v>208.50</v>
      </c>
      <c r="D132" s="84">
        <v>0.40</v>
      </c>
      <c r="E132" s="87">
        <v>31</v>
      </c>
      <c r="F132" s="86">
        <v>0</v>
      </c>
      <c r="G132" s="87">
        <f t="shared" si="20"/>
        <v>26173.666666666679</v>
      </c>
      <c r="H132" s="85">
        <v>352</v>
      </c>
      <c r="I132" s="85">
        <v>1</v>
      </c>
      <c r="J132" s="85">
        <v>1</v>
      </c>
      <c r="K132" s="187">
        <v>61016.578501628639</v>
      </c>
      <c r="L132" s="189">
        <v>63.10</v>
      </c>
      <c r="M132" s="188">
        <v>1.3173804010629648</v>
      </c>
      <c r="N132" s="248">
        <v>340</v>
      </c>
      <c r="O132" s="91">
        <f t="shared" si="21" ref="O132:O170">+$S$19+C132*$S$20+D132*$S$21+E132*$S$22+F132*$S$23+G132*$S$24+H132*$S$25+I132*$S$26+J132*$S$27</f>
        <v>43660272.65844097</v>
      </c>
      <c r="P132" s="88">
        <f t="shared" si="22" ref="P132:P146">+(O132-B132)/B132</f>
        <v>0.0043737901693664686</v>
      </c>
      <c r="Q132" s="213"/>
      <c r="R132" s="154"/>
      <c r="Z132" s="220">
        <f t="shared" si="23" ref="Z132:Z146">ABS(P132)</f>
        <v>0.0043737901693664686</v>
      </c>
      <c r="AB132" s="167">
        <f t="shared" si="24" ref="AB132:AB146">+B132-O132</f>
        <v>-190129.28574445099</v>
      </c>
      <c r="AC132" s="167">
        <f t="shared" si="25" ref="AC132:AC146">+AB132*AB132</f>
        <v>36149145297.695091</v>
      </c>
      <c r="AD132" s="73"/>
      <c r="AE132" s="73">
        <f t="shared" si="26" ref="AE132:AE146">+AB132</f>
        <v>-190129.28574445099</v>
      </c>
      <c r="AF132" s="168">
        <f t="shared" si="15"/>
        <v>335613.27444596589</v>
      </c>
      <c r="AG132" s="73">
        <f t="shared" si="16"/>
        <v>-525742.56019041687</v>
      </c>
      <c r="AH132" s="73">
        <f t="shared" si="17"/>
        <v>276405239595.5741</v>
      </c>
      <c r="AI132" s="6"/>
      <c r="AM132" s="131"/>
      <c r="AN132" s="210"/>
      <c r="AO132" s="130"/>
      <c r="AP132" s="131"/>
      <c r="AQ132" s="131"/>
      <c r="AR132" s="32"/>
    </row>
    <row r="133" spans="1:44" ht="12.75">
      <c r="A133" s="90">
        <v>41579</v>
      </c>
      <c r="B133" s="153">
        <f>+'Power Purchases'!I133</f>
        <v>45455128.150964618</v>
      </c>
      <c r="C133" s="84">
        <v>478.20</v>
      </c>
      <c r="D133" s="84">
        <v>0</v>
      </c>
      <c r="E133" s="87">
        <v>30</v>
      </c>
      <c r="F133" s="86">
        <v>0</v>
      </c>
      <c r="G133" s="87">
        <f t="shared" si="20"/>
        <v>26207.333333333347</v>
      </c>
      <c r="H133" s="85">
        <v>320</v>
      </c>
      <c r="I133" s="85">
        <v>1</v>
      </c>
      <c r="J133" s="85">
        <v>1</v>
      </c>
      <c r="K133" s="187">
        <v>61107.87752442994</v>
      </c>
      <c r="L133" s="189">
        <v>62.60</v>
      </c>
      <c r="M133" s="188">
        <v>1.3196639203645377</v>
      </c>
      <c r="N133" s="248">
        <v>290</v>
      </c>
      <c r="O133" s="91">
        <f t="shared" si="21"/>
        <v>44822535.10022755</v>
      </c>
      <c r="P133" s="88">
        <f t="shared" si="22"/>
        <v>-0.013916868711405087</v>
      </c>
      <c r="Q133" s="213"/>
      <c r="R133" s="154"/>
      <c r="Z133" s="220">
        <f t="shared" si="23"/>
        <v>0.013916868711405087</v>
      </c>
      <c r="AB133" s="167">
        <f t="shared" si="24"/>
        <v>632593.05073706806</v>
      </c>
      <c r="AC133" s="167">
        <f t="shared" si="25"/>
        <v>400173967840.83075</v>
      </c>
      <c r="AD133" s="73"/>
      <c r="AE133" s="73">
        <f t="shared" si="26"/>
        <v>632593.05073706806</v>
      </c>
      <c r="AF133" s="168">
        <f t="shared" si="27" ref="AF133:AF146">+AE132</f>
        <v>-190129.28574445099</v>
      </c>
      <c r="AG133" s="73">
        <f t="shared" si="28" ref="AG133:AG146">+AE133-AF133</f>
        <v>822722.33648151904</v>
      </c>
      <c r="AH133" s="73">
        <f t="shared" si="29" ref="AH133:AH146">+AG133*AG133</f>
        <v>676872042945.60986</v>
      </c>
      <c r="AI133" s="6"/>
      <c r="AM133" s="131"/>
      <c r="AN133" s="210"/>
      <c r="AO133" s="130"/>
      <c r="AP133" s="131"/>
      <c r="AQ133" s="131"/>
      <c r="AR133" s="32"/>
    </row>
    <row r="134" spans="1:44" ht="12.75">
      <c r="A134" s="90">
        <v>41609</v>
      </c>
      <c r="B134" s="153">
        <f>+'Power Purchases'!I134</f>
        <v>46364312.209495783</v>
      </c>
      <c r="C134" s="84">
        <v>687.90</v>
      </c>
      <c r="D134" s="84">
        <v>0</v>
      </c>
      <c r="E134" s="87">
        <v>31</v>
      </c>
      <c r="F134" s="86">
        <v>0</v>
      </c>
      <c r="G134" s="216">
        <f>+'Rate Class Customer Model'!I13</f>
        <v>26241</v>
      </c>
      <c r="H134" s="85">
        <v>320</v>
      </c>
      <c r="I134" s="85">
        <v>0</v>
      </c>
      <c r="J134" s="85">
        <v>1</v>
      </c>
      <c r="K134" s="187">
        <v>61199.176547231269</v>
      </c>
      <c r="L134" s="189">
        <v>62.30</v>
      </c>
      <c r="M134" s="188">
        <v>1.3003712749753982</v>
      </c>
      <c r="N134" s="248">
        <v>269</v>
      </c>
      <c r="O134" s="91">
        <f t="shared" si="21"/>
        <v>48662680.652496979</v>
      </c>
      <c r="P134" s="88">
        <f t="shared" si="22"/>
        <v>0.049571930078809008</v>
      </c>
      <c r="Q134" s="213"/>
      <c r="R134" s="154"/>
      <c r="Z134" s="220">
        <f t="shared" si="23"/>
        <v>0.049571930078809008</v>
      </c>
      <c r="AB134" s="167">
        <f t="shared" si="24"/>
        <v>-2298368.4430011958</v>
      </c>
      <c r="AC134" s="167">
        <f t="shared" si="25"/>
        <v>5282497499783.7412</v>
      </c>
      <c r="AD134" s="73"/>
      <c r="AE134" s="73">
        <f t="shared" si="26"/>
        <v>-2298368.4430011958</v>
      </c>
      <c r="AF134" s="168">
        <f t="shared" si="27"/>
        <v>632593.05073706806</v>
      </c>
      <c r="AG134" s="73">
        <f t="shared" si="28"/>
        <v>-2930961.4937382638</v>
      </c>
      <c r="AH134" s="73">
        <f t="shared" si="29"/>
        <v>8590535277776.4346</v>
      </c>
      <c r="AI134" s="6"/>
      <c r="AM134" s="131"/>
      <c r="AN134" s="210"/>
      <c r="AO134" s="130"/>
      <c r="AP134" s="131"/>
      <c r="AQ134" s="131"/>
      <c r="AR134" s="32"/>
    </row>
    <row r="135" spans="1:44" ht="12.75">
      <c r="A135" s="90">
        <v>41640</v>
      </c>
      <c r="B135" s="153">
        <f>+'Power Purchases'!I135</f>
        <v>51390791.585856818</v>
      </c>
      <c r="C135" s="84">
        <v>825.90</v>
      </c>
      <c r="D135" s="84">
        <v>0</v>
      </c>
      <c r="E135" s="87">
        <v>31</v>
      </c>
      <c r="F135" s="86">
        <v>0</v>
      </c>
      <c r="G135" s="85">
        <f>+($G$146-$G$134)/12+G134</f>
        <v>26248.3825</v>
      </c>
      <c r="H135" s="85">
        <v>352</v>
      </c>
      <c r="I135" s="85">
        <v>0</v>
      </c>
      <c r="J135" s="85">
        <v>1</v>
      </c>
      <c r="K135" s="187">
        <v>61290.47557003257</v>
      </c>
      <c r="L135" s="189">
        <v>62</v>
      </c>
      <c r="M135" s="188">
        <v>1.302625311017851</v>
      </c>
      <c r="N135" s="248">
        <v>290</v>
      </c>
      <c r="O135" s="91">
        <f t="shared" si="21"/>
        <v>50652814.812770836</v>
      </c>
      <c r="P135" s="88">
        <f t="shared" si="22"/>
        <v>-0.01436009740875599</v>
      </c>
      <c r="Q135" s="213"/>
      <c r="R135" s="154"/>
      <c r="Z135" s="220">
        <f t="shared" si="23"/>
        <v>0.01436009740875599</v>
      </c>
      <c r="AB135" s="167">
        <f t="shared" si="24"/>
        <v>737976.77308598161</v>
      </c>
      <c r="AC135" s="167">
        <f t="shared" si="25"/>
        <v>544609717614.39838</v>
      </c>
      <c r="AD135" s="73"/>
      <c r="AE135" s="73">
        <f t="shared" si="26"/>
        <v>737976.77308598161</v>
      </c>
      <c r="AF135" s="168">
        <f t="shared" si="27"/>
        <v>-2298368.4430011958</v>
      </c>
      <c r="AG135" s="73">
        <f t="shared" si="28"/>
        <v>3036345.2160871774</v>
      </c>
      <c r="AH135" s="73">
        <f t="shared" si="29"/>
        <v>9219392271255.4883</v>
      </c>
      <c r="AI135" s="6"/>
      <c r="AM135" s="131"/>
      <c r="AN135" s="210"/>
      <c r="AO135" s="130"/>
      <c r="AP135" s="131"/>
      <c r="AQ135" s="131"/>
      <c r="AR135" s="32"/>
    </row>
    <row r="136" spans="1:44" ht="12.75">
      <c r="A136" s="90">
        <v>41671</v>
      </c>
      <c r="B136" s="153">
        <f>+'Power Purchases'!I136</f>
        <v>45258830.770908102</v>
      </c>
      <c r="C136" s="84">
        <v>737.10</v>
      </c>
      <c r="D136" s="84">
        <v>0</v>
      </c>
      <c r="E136" s="87">
        <v>28</v>
      </c>
      <c r="F136" s="86">
        <v>0</v>
      </c>
      <c r="G136" s="85">
        <f t="shared" si="30" ref="G136:G145">+($G$146-$G$134)/12+G135</f>
        <v>26255.764999999999</v>
      </c>
      <c r="H136" s="85">
        <v>304</v>
      </c>
      <c r="I136" s="85">
        <v>0</v>
      </c>
      <c r="J136" s="85">
        <v>1</v>
      </c>
      <c r="K136" s="187">
        <v>61381.77459283387</v>
      </c>
      <c r="L136" s="189">
        <v>61.70</v>
      </c>
      <c r="M136" s="188">
        <v>1.3048832541586679</v>
      </c>
      <c r="N136" s="248">
        <v>305</v>
      </c>
      <c r="O136" s="91">
        <f t="shared" si="21"/>
        <v>46005186.373471297</v>
      </c>
      <c r="P136" s="88">
        <f t="shared" si="22"/>
        <v>0.016490828195299831</v>
      </c>
      <c r="Q136" s="213"/>
      <c r="R136" s="154"/>
      <c r="Z136" s="220">
        <f t="shared" si="23"/>
        <v>0.016490828195299831</v>
      </c>
      <c r="AB136" s="167">
        <f t="shared" si="24"/>
        <v>-746355.60256319493</v>
      </c>
      <c r="AC136" s="167">
        <f t="shared" si="25"/>
        <v>557046685477.46973</v>
      </c>
      <c r="AD136" s="73"/>
      <c r="AE136" s="73">
        <f t="shared" si="26"/>
        <v>-746355.60256319493</v>
      </c>
      <c r="AF136" s="168">
        <f t="shared" si="27"/>
        <v>737976.77308598161</v>
      </c>
      <c r="AG136" s="73">
        <f t="shared" si="28"/>
        <v>-1484332.3756491765</v>
      </c>
      <c r="AH136" s="73">
        <f t="shared" si="29"/>
        <v>2203242601400.3281</v>
      </c>
      <c r="AI136" s="6"/>
      <c r="AM136" s="131"/>
      <c r="AN136" s="210"/>
      <c r="AO136" s="130"/>
      <c r="AP136" s="131"/>
      <c r="AQ136" s="131"/>
      <c r="AR136" s="32"/>
    </row>
    <row r="137" spans="1:44" ht="12.75">
      <c r="A137" s="90">
        <v>41699</v>
      </c>
      <c r="B137" s="153">
        <f>+'Power Purchases'!I137</f>
        <v>47626683.542191759</v>
      </c>
      <c r="C137" s="84">
        <v>690.60</v>
      </c>
      <c r="D137" s="84">
        <v>0</v>
      </c>
      <c r="E137" s="87">
        <v>31</v>
      </c>
      <c r="F137" s="86">
        <v>1</v>
      </c>
      <c r="G137" s="85">
        <f t="shared" si="30"/>
        <v>26263.147499999999</v>
      </c>
      <c r="H137" s="85">
        <v>336</v>
      </c>
      <c r="I137" s="85">
        <v>0</v>
      </c>
      <c r="J137" s="85">
        <v>1</v>
      </c>
      <c r="K137" s="187">
        <v>61473.07361563517</v>
      </c>
      <c r="L137" s="189">
        <v>61.40</v>
      </c>
      <c r="M137" s="188">
        <v>1.3071451111703298</v>
      </c>
      <c r="N137" s="248">
        <v>371</v>
      </c>
      <c r="O137" s="91">
        <f t="shared" si="21"/>
        <v>47266914.773674428</v>
      </c>
      <c r="P137" s="88">
        <f t="shared" si="22"/>
        <v>-0.007553932832602475</v>
      </c>
      <c r="Q137" s="213"/>
      <c r="R137" s="154"/>
      <c r="Z137" s="220">
        <f t="shared" si="23"/>
        <v>0.007553932832602475</v>
      </c>
      <c r="AB137" s="167">
        <f t="shared" si="24"/>
        <v>359768.76851733029</v>
      </c>
      <c r="AC137" s="167">
        <f t="shared" si="25"/>
        <v>129433566800.47638</v>
      </c>
      <c r="AD137" s="73"/>
      <c r="AE137" s="73">
        <f t="shared" si="26"/>
        <v>359768.76851733029</v>
      </c>
      <c r="AF137" s="168">
        <f t="shared" si="27"/>
        <v>-746355.60256319493</v>
      </c>
      <c r="AG137" s="73">
        <f t="shared" si="28"/>
        <v>1106124.3710805252</v>
      </c>
      <c r="AH137" s="73">
        <f t="shared" si="29"/>
        <v>1223511124298.2874</v>
      </c>
      <c r="AM137" s="131"/>
      <c r="AN137" s="210"/>
      <c r="AO137" s="130"/>
      <c r="AP137" s="131"/>
      <c r="AQ137" s="131"/>
      <c r="AR137" s="32"/>
    </row>
    <row r="138" spans="1:44" ht="12.75">
      <c r="A138" s="90">
        <v>41730</v>
      </c>
      <c r="B138" s="153">
        <f>+'Power Purchases'!I138</f>
        <v>42120491.682629175</v>
      </c>
      <c r="C138" s="84">
        <v>356.90</v>
      </c>
      <c r="D138" s="84">
        <v>0</v>
      </c>
      <c r="E138" s="87">
        <v>30</v>
      </c>
      <c r="F138" s="86">
        <v>1</v>
      </c>
      <c r="G138" s="85">
        <f t="shared" si="30"/>
        <v>26270.53</v>
      </c>
      <c r="H138" s="85">
        <v>336</v>
      </c>
      <c r="I138" s="85">
        <v>0</v>
      </c>
      <c r="J138" s="85">
        <v>1</v>
      </c>
      <c r="K138" s="187">
        <v>61564.372638436471</v>
      </c>
      <c r="L138" s="189">
        <v>61.80</v>
      </c>
      <c r="M138" s="188">
        <v>1.3094108888370581</v>
      </c>
      <c r="N138" s="248">
        <v>405</v>
      </c>
      <c r="O138" s="91">
        <f t="shared" si="21"/>
        <v>42988786.667478755</v>
      </c>
      <c r="P138" s="88">
        <f t="shared" si="22"/>
        <v>0.020614550072018067</v>
      </c>
      <c r="Q138" s="213"/>
      <c r="R138" s="154"/>
      <c r="Z138" s="220">
        <f t="shared" si="23"/>
        <v>0.020614550072018067</v>
      </c>
      <c r="AB138" s="167">
        <f t="shared" si="24"/>
        <v>-868294.98484957963</v>
      </c>
      <c r="AC138" s="167">
        <f t="shared" si="25"/>
        <v>753936180714.93176</v>
      </c>
      <c r="AD138" s="73"/>
      <c r="AE138" s="73">
        <f t="shared" si="26"/>
        <v>-868294.98484957963</v>
      </c>
      <c r="AF138" s="168">
        <f t="shared" si="27"/>
        <v>359768.76851733029</v>
      </c>
      <c r="AG138" s="73">
        <f t="shared" si="28"/>
        <v>-1228063.7533669099</v>
      </c>
      <c r="AH138" s="73">
        <f t="shared" si="29"/>
        <v>1508140582333.6226</v>
      </c>
      <c r="AM138" s="131"/>
      <c r="AN138" s="210"/>
      <c r="AO138" s="130"/>
      <c r="AP138" s="131"/>
      <c r="AQ138" s="131"/>
      <c r="AR138" s="32"/>
    </row>
    <row r="139" spans="1:44" ht="12.75">
      <c r="A139" s="90">
        <v>41760</v>
      </c>
      <c r="B139" s="153">
        <f>+'Power Purchases'!I139</f>
        <v>41780924.29285159</v>
      </c>
      <c r="C139" s="84">
        <v>132.10</v>
      </c>
      <c r="D139" s="84">
        <v>11.90</v>
      </c>
      <c r="E139" s="87">
        <v>31</v>
      </c>
      <c r="F139" s="86">
        <v>1</v>
      </c>
      <c r="G139" s="85">
        <f t="shared" si="30"/>
        <v>26277.912499999999</v>
      </c>
      <c r="H139" s="85">
        <v>336</v>
      </c>
      <c r="I139" s="85">
        <v>0</v>
      </c>
      <c r="J139" s="85">
        <v>1</v>
      </c>
      <c r="K139" s="187">
        <v>61655.671661237771</v>
      </c>
      <c r="L139" s="189">
        <v>62.10</v>
      </c>
      <c r="M139" s="188">
        <v>1.3116805939548331</v>
      </c>
      <c r="N139" s="248">
        <v>457</v>
      </c>
      <c r="O139" s="91">
        <f t="shared" si="21"/>
        <v>42441987.161716789</v>
      </c>
      <c r="P139" s="88">
        <f t="shared" si="22"/>
        <v>0.015822121699167444</v>
      </c>
      <c r="Q139" s="213"/>
      <c r="R139" s="154"/>
      <c r="Z139" s="220">
        <f t="shared" si="23"/>
        <v>0.015822121699167444</v>
      </c>
      <c r="AB139" s="167">
        <f t="shared" si="24"/>
        <v>-661062.86886519939</v>
      </c>
      <c r="AC139" s="167">
        <f t="shared" si="25"/>
        <v>437004116592.28778</v>
      </c>
      <c r="AD139" s="73"/>
      <c r="AE139" s="73">
        <f t="shared" si="26"/>
        <v>-661062.86886519939</v>
      </c>
      <c r="AF139" s="168">
        <f t="shared" si="27"/>
        <v>-868294.98484957963</v>
      </c>
      <c r="AG139" s="73">
        <f t="shared" si="28"/>
        <v>207232.11598438025</v>
      </c>
      <c r="AH139" s="73">
        <f t="shared" si="29"/>
        <v>42945149895.363625</v>
      </c>
      <c r="AM139" s="131"/>
      <c r="AN139" s="210"/>
      <c r="AO139" s="130"/>
      <c r="AP139" s="131"/>
      <c r="AQ139" s="131"/>
      <c r="AR139" s="32"/>
    </row>
    <row r="140" spans="1:44" ht="12.75">
      <c r="A140" s="90">
        <v>41791</v>
      </c>
      <c r="B140" s="153">
        <f>+'Power Purchases'!I140</f>
        <v>46093145.581827261</v>
      </c>
      <c r="C140" s="84">
        <v>14.10</v>
      </c>
      <c r="D140" s="84">
        <v>68.099999999999994</v>
      </c>
      <c r="E140" s="87">
        <v>30</v>
      </c>
      <c r="F140" s="86">
        <v>0</v>
      </c>
      <c r="G140" s="85">
        <f t="shared" si="30"/>
        <v>26285.294999999998</v>
      </c>
      <c r="H140" s="85">
        <v>336</v>
      </c>
      <c r="I140" s="85">
        <v>0</v>
      </c>
      <c r="J140" s="85">
        <v>1</v>
      </c>
      <c r="K140" s="187">
        <v>61746.970684039072</v>
      </c>
      <c r="L140" s="189">
        <v>62.20</v>
      </c>
      <c r="M140" s="188">
        <v>1.3139542333314154</v>
      </c>
      <c r="N140" s="248">
        <v>462</v>
      </c>
      <c r="O140" s="91">
        <f t="shared" si="21"/>
        <v>45521789.833517253</v>
      </c>
      <c r="P140" s="88">
        <f t="shared" si="22"/>
        <v>-0.01239567708165421</v>
      </c>
      <c r="Q140" s="213"/>
      <c r="R140" s="154"/>
      <c r="Z140" s="220">
        <f t="shared" si="23"/>
        <v>0.01239567708165421</v>
      </c>
      <c r="AB140" s="167">
        <f t="shared" si="24"/>
        <v>571355.74831000715</v>
      </c>
      <c r="AC140" s="167">
        <f t="shared" si="25"/>
        <v>326447391126.88824</v>
      </c>
      <c r="AD140" s="73"/>
      <c r="AE140" s="73">
        <f t="shared" si="26"/>
        <v>571355.74831000715</v>
      </c>
      <c r="AF140" s="168">
        <f t="shared" si="27"/>
        <v>-661062.86886519939</v>
      </c>
      <c r="AG140" s="73">
        <f t="shared" si="28"/>
        <v>1232418.6171752065</v>
      </c>
      <c r="AH140" s="73">
        <f t="shared" si="29"/>
        <v>1518855647960.0483</v>
      </c>
      <c r="AM140" s="131"/>
      <c r="AN140" s="210"/>
      <c r="AO140" s="130"/>
      <c r="AP140" s="131"/>
      <c r="AQ140" s="131"/>
      <c r="AR140" s="32"/>
    </row>
    <row r="141" spans="1:44" ht="12.75">
      <c r="A141" s="90">
        <v>41821</v>
      </c>
      <c r="B141" s="153">
        <f>+'Power Purchases'!I141</f>
        <v>47661122.019192293</v>
      </c>
      <c r="C141" s="84">
        <v>4</v>
      </c>
      <c r="D141" s="84">
        <v>71</v>
      </c>
      <c r="E141" s="87">
        <v>31</v>
      </c>
      <c r="F141" s="86">
        <v>0</v>
      </c>
      <c r="G141" s="85">
        <f t="shared" si="30"/>
        <v>26292.677499999998</v>
      </c>
      <c r="H141" s="85">
        <v>352</v>
      </c>
      <c r="I141" s="85">
        <v>0</v>
      </c>
      <c r="J141" s="85">
        <v>1</v>
      </c>
      <c r="K141" s="187">
        <v>61838.269706840372</v>
      </c>
      <c r="L141" s="189">
        <v>62</v>
      </c>
      <c r="M141" s="185">
        <v>1.3162318137863656</v>
      </c>
      <c r="N141" s="248">
        <v>467</v>
      </c>
      <c r="O141" s="91">
        <f t="shared" si="21"/>
        <v>46867410.011803821</v>
      </c>
      <c r="P141" s="88">
        <f t="shared" si="22"/>
        <v>-0.016653237980189781</v>
      </c>
      <c r="Q141" s="213"/>
      <c r="R141" s="154"/>
      <c r="Z141" s="220">
        <f t="shared" si="23"/>
        <v>0.016653237980189781</v>
      </c>
      <c r="AB141" s="167">
        <f t="shared" si="24"/>
        <v>793712.00738847256</v>
      </c>
      <c r="AC141" s="167">
        <f t="shared" si="25"/>
        <v>629978750672.63867</v>
      </c>
      <c r="AD141" s="73"/>
      <c r="AE141" s="73">
        <f t="shared" si="26"/>
        <v>793712.00738847256</v>
      </c>
      <c r="AF141" s="168">
        <f t="shared" si="27"/>
        <v>571355.74831000715</v>
      </c>
      <c r="AG141" s="73">
        <f t="shared" si="28"/>
        <v>222356.2590784654</v>
      </c>
      <c r="AH141" s="73">
        <f t="shared" si="29"/>
        <v>49442305951.369629</v>
      </c>
      <c r="AM141" s="131"/>
      <c r="AN141" s="209"/>
      <c r="AO141" s="130"/>
      <c r="AP141" s="131"/>
      <c r="AQ141" s="131"/>
      <c r="AR141" s="32"/>
    </row>
    <row r="142" spans="1:44" ht="12.75">
      <c r="A142" s="90">
        <v>41852</v>
      </c>
      <c r="B142" s="153">
        <f>+'Power Purchases'!I142</f>
        <v>46887220.380016394</v>
      </c>
      <c r="C142" s="84">
        <v>8.8000000000000007</v>
      </c>
      <c r="D142" s="84">
        <v>81.80</v>
      </c>
      <c r="E142" s="87">
        <v>31</v>
      </c>
      <c r="F142" s="86">
        <v>0</v>
      </c>
      <c r="G142" s="85">
        <f t="shared" si="30"/>
        <v>26300.059999999998</v>
      </c>
      <c r="H142" s="85">
        <v>320</v>
      </c>
      <c r="I142" s="85">
        <v>0</v>
      </c>
      <c r="J142" s="85">
        <v>1</v>
      </c>
      <c r="K142" s="187">
        <v>61929.568729641673</v>
      </c>
      <c r="L142" s="189">
        <v>61.80</v>
      </c>
      <c r="M142" s="185">
        <v>1.318513342151066</v>
      </c>
      <c r="N142" s="248">
        <v>432</v>
      </c>
      <c r="O142" s="91">
        <f t="shared" si="21"/>
        <v>46988217.14751409</v>
      </c>
      <c r="P142" s="88">
        <f t="shared" si="22"/>
        <v>0.0021540361462916106</v>
      </c>
      <c r="Q142" s="213"/>
      <c r="Z142" s="220">
        <f t="shared" si="23"/>
        <v>0.0021540361462916106</v>
      </c>
      <c r="AB142" s="167">
        <f t="shared" si="24"/>
        <v>-100996.76749769598</v>
      </c>
      <c r="AC142" s="167">
        <f t="shared" si="25"/>
        <v>10200347044.98366</v>
      </c>
      <c r="AD142" s="73"/>
      <c r="AE142" s="73">
        <f t="shared" si="26"/>
        <v>-100996.76749769598</v>
      </c>
      <c r="AF142" s="168">
        <f t="shared" si="27"/>
        <v>793712.00738847256</v>
      </c>
      <c r="AG142" s="73">
        <f t="shared" si="28"/>
        <v>-894708.77488616854</v>
      </c>
      <c r="AH142" s="73">
        <f t="shared" si="29"/>
        <v>800503791858.30859</v>
      </c>
      <c r="AM142" s="131"/>
      <c r="AN142" s="209"/>
      <c r="AO142" s="130"/>
      <c r="AP142" s="131"/>
      <c r="AQ142" s="131"/>
      <c r="AR142" s="32"/>
    </row>
    <row r="143" spans="1:44" ht="12.75">
      <c r="A143" s="90">
        <v>41883</v>
      </c>
      <c r="B143" s="153">
        <f>+'Power Purchases'!I143</f>
        <v>43773289.477667809</v>
      </c>
      <c r="C143" s="84">
        <v>69.70</v>
      </c>
      <c r="D143" s="84">
        <v>30.10</v>
      </c>
      <c r="E143" s="87">
        <v>30</v>
      </c>
      <c r="F143" s="86">
        <v>0</v>
      </c>
      <c r="G143" s="85">
        <f t="shared" si="30"/>
        <v>26307.442499999997</v>
      </c>
      <c r="H143" s="85">
        <v>336</v>
      </c>
      <c r="I143" s="85">
        <v>1</v>
      </c>
      <c r="J143" s="85">
        <v>1</v>
      </c>
      <c r="K143" s="187">
        <v>62020.867752442973</v>
      </c>
      <c r="L143" s="189">
        <v>61.50</v>
      </c>
      <c r="M143" s="185">
        <v>1.3207988252687393</v>
      </c>
      <c r="N143" s="248">
        <v>374</v>
      </c>
      <c r="O143" s="91">
        <f t="shared" si="21"/>
        <v>43042217.732557699</v>
      </c>
      <c r="P143" s="88">
        <f t="shared" si="22"/>
        <v>-0.016701320687427124</v>
      </c>
      <c r="Q143" s="213"/>
      <c r="Z143" s="220">
        <f t="shared" si="23"/>
        <v>0.016701320687427124</v>
      </c>
      <c r="AB143" s="167">
        <f t="shared" si="24"/>
        <v>731071.74511010945</v>
      </c>
      <c r="AC143" s="167">
        <f t="shared" si="25"/>
        <v>534465896498.34082</v>
      </c>
      <c r="AD143" s="73"/>
      <c r="AE143" s="73">
        <f t="shared" si="26"/>
        <v>731071.74511010945</v>
      </c>
      <c r="AF143" s="168">
        <f t="shared" si="27"/>
        <v>-100996.76749769598</v>
      </c>
      <c r="AG143" s="73">
        <f t="shared" si="28"/>
        <v>832068.51260780543</v>
      </c>
      <c r="AH143" s="73">
        <f t="shared" si="29"/>
        <v>692338009673.36572</v>
      </c>
      <c r="AM143" s="131"/>
      <c r="AN143" s="209"/>
      <c r="AO143" s="130"/>
      <c r="AP143" s="131"/>
      <c r="AQ143" s="131"/>
      <c r="AR143" s="32"/>
    </row>
    <row r="144" spans="1:44" ht="12.75">
      <c r="A144" s="90">
        <v>41913</v>
      </c>
      <c r="B144" s="153">
        <f>+'Power Purchases'!I144</f>
        <v>43211568.477579519</v>
      </c>
      <c r="C144" s="84">
        <v>224.30</v>
      </c>
      <c r="D144" s="84">
        <v>1.30</v>
      </c>
      <c r="E144" s="87">
        <v>31</v>
      </c>
      <c r="F144" s="86">
        <v>0</v>
      </c>
      <c r="G144" s="85">
        <f t="shared" si="30"/>
        <v>26314.824999999997</v>
      </c>
      <c r="H144" s="85">
        <v>352</v>
      </c>
      <c r="I144" s="85">
        <v>1</v>
      </c>
      <c r="J144" s="85">
        <v>1</v>
      </c>
      <c r="K144" s="187">
        <v>62112.166775244274</v>
      </c>
      <c r="L144" s="189">
        <v>61.50</v>
      </c>
      <c r="M144" s="185">
        <v>1.3230882699944708</v>
      </c>
      <c r="N144" s="248">
        <v>340</v>
      </c>
      <c r="O144" s="91">
        <f t="shared" si="21"/>
        <v>44088237.541199796</v>
      </c>
      <c r="P144" s="88">
        <f t="shared" si="22"/>
        <v>0.020287832506592295</v>
      </c>
      <c r="Q144" s="213"/>
      <c r="Z144" s="220">
        <f t="shared" si="23"/>
        <v>0.020287832506592295</v>
      </c>
      <c r="AB144" s="167">
        <f t="shared" si="24"/>
        <v>-876669.06362027675</v>
      </c>
      <c r="AC144" s="167">
        <f t="shared" si="25"/>
        <v>768548647108.85278</v>
      </c>
      <c r="AD144" s="73"/>
      <c r="AE144" s="73">
        <f t="shared" si="26"/>
        <v>-876669.06362027675</v>
      </c>
      <c r="AF144" s="168">
        <f t="shared" si="27"/>
        <v>731071.74511010945</v>
      </c>
      <c r="AG144" s="73">
        <f t="shared" si="28"/>
        <v>-1607740.8087303862</v>
      </c>
      <c r="AH144" s="73">
        <f t="shared" si="29"/>
        <v>2584830508057.0361</v>
      </c>
      <c r="AM144" s="131"/>
      <c r="AN144" s="209"/>
      <c r="AO144" s="130"/>
      <c r="AP144" s="131"/>
      <c r="AQ144" s="131"/>
      <c r="AR144" s="32"/>
    </row>
    <row r="145" spans="1:44" ht="12.75">
      <c r="A145" s="90">
        <v>41944</v>
      </c>
      <c r="B145" s="153">
        <f>+'Power Purchases'!I145</f>
        <v>45710944.884916343</v>
      </c>
      <c r="C145" s="84">
        <v>482.10</v>
      </c>
      <c r="D145" s="84">
        <v>0</v>
      </c>
      <c r="E145" s="87">
        <v>30</v>
      </c>
      <c r="F145" s="86">
        <v>0</v>
      </c>
      <c r="G145" s="85">
        <f t="shared" si="30"/>
        <v>26322.207499999997</v>
      </c>
      <c r="H145" s="85">
        <v>320</v>
      </c>
      <c r="I145" s="85">
        <v>1</v>
      </c>
      <c r="J145" s="85">
        <v>1</v>
      </c>
      <c r="K145" s="187">
        <v>62203.465798045574</v>
      </c>
      <c r="L145" s="189">
        <v>61.40</v>
      </c>
      <c r="M145" s="185">
        <v>1.3253816831952283</v>
      </c>
      <c r="N145" s="248">
        <v>290</v>
      </c>
      <c r="O145" s="91">
        <f t="shared" si="21"/>
        <v>45036431.951643124</v>
      </c>
      <c r="P145" s="88">
        <f t="shared" si="22"/>
        <v>-0.01475604879687783</v>
      </c>
      <c r="Q145" s="213"/>
      <c r="Z145" s="220">
        <f t="shared" si="23"/>
        <v>0.01475604879687783</v>
      </c>
      <c r="AB145" s="167">
        <f t="shared" si="24"/>
        <v>674512.93327321857</v>
      </c>
      <c r="AC145" s="167">
        <f t="shared" si="25"/>
        <v>454967697152.84143</v>
      </c>
      <c r="AD145" s="73"/>
      <c r="AE145" s="73">
        <f t="shared" si="26"/>
        <v>674512.93327321857</v>
      </c>
      <c r="AF145" s="168">
        <f t="shared" si="27"/>
        <v>-876669.06362027675</v>
      </c>
      <c r="AG145" s="73">
        <f t="shared" si="28"/>
        <v>1551181.9968934953</v>
      </c>
      <c r="AH145" s="73">
        <f t="shared" si="29"/>
        <v>2406165587486.4917</v>
      </c>
      <c r="AM145" s="131"/>
      <c r="AN145" s="209"/>
      <c r="AO145" s="130"/>
      <c r="AP145" s="131"/>
      <c r="AQ145" s="131"/>
      <c r="AR145" s="32"/>
    </row>
    <row r="146" spans="1:44" ht="12.75">
      <c r="A146" s="90">
        <v>41974</v>
      </c>
      <c r="B146" s="153">
        <f>+'Power Purchases'!I146</f>
        <v>48317609.004775845</v>
      </c>
      <c r="C146" s="84">
        <v>557.29999999999995</v>
      </c>
      <c r="D146" s="84">
        <f>+D134</f>
        <v>0</v>
      </c>
      <c r="E146" s="87">
        <v>31</v>
      </c>
      <c r="F146" s="86">
        <v>0</v>
      </c>
      <c r="G146" s="216">
        <f>+'Rate Class Customer Model'!I14</f>
        <v>26329.59</v>
      </c>
      <c r="H146" s="85">
        <v>336</v>
      </c>
      <c r="I146" s="85">
        <v>0</v>
      </c>
      <c r="J146" s="85">
        <v>1</v>
      </c>
      <c r="K146" s="187">
        <v>62294.764820846904</v>
      </c>
      <c r="L146" s="189">
        <v>61.40</v>
      </c>
      <c r="M146" s="185">
        <v>1.3276790717498821</v>
      </c>
      <c r="N146" s="248">
        <v>269</v>
      </c>
      <c r="O146" s="91">
        <f t="shared" si="21"/>
        <v>47793796.476302758</v>
      </c>
      <c r="P146" s="88">
        <f t="shared" si="22"/>
        <v>-0.010841027510722056</v>
      </c>
      <c r="Q146" s="213"/>
      <c r="Z146" s="220">
        <f t="shared" si="23"/>
        <v>0.010841027510722056</v>
      </c>
      <c r="AB146" s="167">
        <f t="shared" si="24"/>
        <v>523812.52847308666</v>
      </c>
      <c r="AC146" s="167">
        <f t="shared" si="25"/>
        <v>274379564985.36823</v>
      </c>
      <c r="AD146" s="73"/>
      <c r="AE146" s="73">
        <f t="shared" si="26"/>
        <v>523812.52847308666</v>
      </c>
      <c r="AF146" s="168">
        <f t="shared" si="27"/>
        <v>674512.93327321857</v>
      </c>
      <c r="AG146" s="73">
        <f t="shared" si="28"/>
        <v>-150700.40480013192</v>
      </c>
      <c r="AH146" s="73">
        <f t="shared" si="29"/>
        <v>22710612006.923622</v>
      </c>
      <c r="AM146" s="131"/>
      <c r="AN146" s="209"/>
      <c r="AO146" s="130"/>
      <c r="AP146" s="131"/>
      <c r="AQ146" s="131"/>
      <c r="AR146" s="32"/>
    </row>
    <row r="147" spans="1:44" ht="12.75">
      <c r="A147" s="90">
        <v>42005</v>
      </c>
      <c r="B147" s="82"/>
      <c r="C147" s="82">
        <f>(C27+C39+C51+C63+C75+C87+C99+C111+C123+C135)/10</f>
        <v>697.93</v>
      </c>
      <c r="D147" s="82">
        <f>(D27+D39+D51+D63+D75+D87+D99+D111+D123+D135)/10</f>
        <v>0</v>
      </c>
      <c r="E147" s="130">
        <v>31</v>
      </c>
      <c r="F147" s="214">
        <v>0</v>
      </c>
      <c r="G147" s="85">
        <f>+($G$158-$G$146)/12+G146</f>
        <v>26371.4575</v>
      </c>
      <c r="H147" s="85">
        <v>336</v>
      </c>
      <c r="I147" s="85">
        <v>0</v>
      </c>
      <c r="J147" s="85">
        <v>1</v>
      </c>
      <c r="K147" s="187">
        <v>62386.063843648204</v>
      </c>
      <c r="L147" s="191">
        <v>61.489309090909089</v>
      </c>
      <c r="M147" s="190">
        <v>1.3304138732565836</v>
      </c>
      <c r="N147" s="249">
        <v>290</v>
      </c>
      <c r="O147" s="91">
        <f t="shared" si="21"/>
        <v>49261922.133663058</v>
      </c>
      <c r="P147" s="88"/>
      <c r="Q147" s="213"/>
      <c r="Z147" s="221">
        <f>AVERAGE(Z3:Z146)</f>
        <v>0.015729202176670967</v>
      </c>
      <c r="AB147" s="167"/>
      <c r="AC147" s="73">
        <f>SUM(AC3:AC146)</f>
        <v>106667773511853.03</v>
      </c>
      <c r="AD147" s="73"/>
      <c r="AE147" s="73"/>
      <c r="AF147" s="168"/>
      <c r="AG147" s="73"/>
      <c r="AH147" s="73">
        <f>SUM(AH4:AH146)</f>
        <v>160492944878518.13</v>
      </c>
      <c r="AM147" s="179"/>
      <c r="AN147" s="211"/>
      <c r="AO147" s="130"/>
      <c r="AP147" s="131"/>
      <c r="AQ147" s="131"/>
      <c r="AR147" s="32"/>
    </row>
    <row r="148" spans="1:44" ht="12.75">
      <c r="A148" s="90">
        <v>42036</v>
      </c>
      <c r="B148" s="82"/>
      <c r="C148" s="82">
        <f t="shared" si="31" ref="C148:D148">(C28+C40+C52+C64+C76+C88+C100+C112+C124+C136)/10</f>
        <v>639.47</v>
      </c>
      <c r="D148" s="82">
        <f t="shared" si="31"/>
        <v>0</v>
      </c>
      <c r="E148" s="130">
        <v>28</v>
      </c>
      <c r="F148" s="214">
        <v>0</v>
      </c>
      <c r="G148" s="85">
        <f t="shared" si="32" ref="G148:G157">+($G$158-$G$146)/12+G147</f>
        <v>26413.325000000001</v>
      </c>
      <c r="H148" s="85">
        <v>304</v>
      </c>
      <c r="I148" s="85">
        <v>0</v>
      </c>
      <c r="J148" s="85">
        <v>1</v>
      </c>
      <c r="K148" s="187">
        <v>62477.362866449505</v>
      </c>
      <c r="L148" s="191">
        <v>61.578618181818179</v>
      </c>
      <c r="M148" s="190">
        <v>1.3331543080066195</v>
      </c>
      <c r="N148" s="249">
        <v>305</v>
      </c>
      <c r="O148" s="91">
        <f t="shared" si="21"/>
        <v>45270191.552193664</v>
      </c>
      <c r="P148" s="88"/>
      <c r="Q148" s="213"/>
      <c r="Z148" s="220"/>
      <c r="AM148" s="179"/>
      <c r="AN148" s="211"/>
      <c r="AO148" s="130"/>
      <c r="AP148" s="131"/>
      <c r="AQ148" s="131"/>
      <c r="AR148" s="32"/>
    </row>
    <row r="149" spans="1:44" ht="12.75">
      <c r="A149" s="90">
        <v>42064</v>
      </c>
      <c r="B149" s="82"/>
      <c r="C149" s="82">
        <f t="shared" si="33" ref="C149:D149">(C29+C41+C53+C65+C77+C89+C101+C113+C125+C137)/10</f>
        <v>540.63000000000011</v>
      </c>
      <c r="D149" s="82">
        <f t="shared" si="33"/>
        <v>0.02</v>
      </c>
      <c r="E149" s="130">
        <v>31</v>
      </c>
      <c r="F149" s="214">
        <v>1</v>
      </c>
      <c r="G149" s="85">
        <f t="shared" si="32"/>
        <v>26455.192500000001</v>
      </c>
      <c r="H149" s="85">
        <v>352</v>
      </c>
      <c r="I149" s="85">
        <v>0</v>
      </c>
      <c r="J149" s="85">
        <v>1</v>
      </c>
      <c r="K149" s="187">
        <v>62568.661889250805</v>
      </c>
      <c r="L149" s="191">
        <v>61.667927272727269</v>
      </c>
      <c r="M149" s="190">
        <v>1.3359003876035485</v>
      </c>
      <c r="N149" s="249">
        <v>371</v>
      </c>
      <c r="O149" s="91">
        <f t="shared" si="21"/>
        <v>46363383.644260138</v>
      </c>
      <c r="P149" s="88"/>
      <c r="Q149" s="213"/>
      <c r="Z149" s="220"/>
      <c r="AC149" s="166"/>
      <c r="AM149" s="179"/>
      <c r="AN149" s="211"/>
      <c r="AO149" s="130"/>
      <c r="AP149" s="131"/>
      <c r="AQ149" s="131"/>
      <c r="AR149" s="32"/>
    </row>
    <row r="150" spans="1:44" ht="12.75">
      <c r="A150" s="90">
        <v>42095</v>
      </c>
      <c r="B150" s="82"/>
      <c r="C150" s="82">
        <f t="shared" si="34" ref="C150:D150">(C30+C42+C54+C66+C78+C90+C102+C114+C126+C138)/10</f>
        <v>311.08</v>
      </c>
      <c r="D150" s="82">
        <f t="shared" si="34"/>
        <v>0.12</v>
      </c>
      <c r="E150" s="130">
        <v>30</v>
      </c>
      <c r="F150" s="214">
        <v>1</v>
      </c>
      <c r="G150" s="85">
        <f t="shared" si="32"/>
        <v>26497.06</v>
      </c>
      <c r="H150" s="85">
        <v>336</v>
      </c>
      <c r="I150" s="85">
        <v>0</v>
      </c>
      <c r="J150" s="85">
        <v>1</v>
      </c>
      <c r="K150" s="187">
        <v>62659.960912052105</v>
      </c>
      <c r="L150" s="191">
        <v>61.757236363636359</v>
      </c>
      <c r="M150" s="190">
        <v>1.3386521236748312</v>
      </c>
      <c r="N150" s="249">
        <v>405</v>
      </c>
      <c r="O150" s="91">
        <f t="shared" si="21"/>
        <v>42883577.922091424</v>
      </c>
      <c r="P150" s="88"/>
      <c r="Q150" s="213"/>
      <c r="Z150" s="220"/>
      <c r="AH150" s="82">
        <f>+AH147/AC147</f>
        <v>1.504605745433357</v>
      </c>
      <c r="AM150" s="179"/>
      <c r="AN150" s="211"/>
      <c r="AO150" s="130"/>
      <c r="AP150" s="131"/>
      <c r="AQ150" s="131"/>
      <c r="AR150" s="32"/>
    </row>
    <row r="151" spans="1:44" ht="12.75">
      <c r="A151" s="90">
        <v>42125</v>
      </c>
      <c r="B151" s="82"/>
      <c r="C151" s="82">
        <f t="shared" si="35" ref="C151:D151">(C31+C43+C55+C67+C79+C91+C103+C115+C127+C139)/10</f>
        <v>137.88999999999999</v>
      </c>
      <c r="D151" s="82">
        <f t="shared" si="35"/>
        <v>18.90</v>
      </c>
      <c r="E151" s="130">
        <v>31</v>
      </c>
      <c r="F151" s="214">
        <v>1</v>
      </c>
      <c r="G151" s="85">
        <f t="shared" si="32"/>
        <v>26538.927500000002</v>
      </c>
      <c r="H151" s="85">
        <v>320</v>
      </c>
      <c r="I151" s="85">
        <v>0</v>
      </c>
      <c r="J151" s="85">
        <v>1</v>
      </c>
      <c r="K151" s="187">
        <v>62751.259934853406</v>
      </c>
      <c r="L151" s="191">
        <v>61.846545454545449</v>
      </c>
      <c r="M151" s="190">
        <v>1.3414095278718787</v>
      </c>
      <c r="N151" s="249">
        <v>457</v>
      </c>
      <c r="O151" s="91">
        <f t="shared" si="21"/>
        <v>43026278.476513281</v>
      </c>
      <c r="P151" s="88"/>
      <c r="Q151" s="111"/>
      <c r="Z151" s="220"/>
      <c r="AM151" s="179"/>
      <c r="AN151" s="211"/>
      <c r="AO151" s="130"/>
      <c r="AP151" s="131"/>
      <c r="AQ151" s="131"/>
      <c r="AR151" s="32"/>
    </row>
    <row r="152" spans="1:44" ht="12.75">
      <c r="A152" s="90">
        <v>42156</v>
      </c>
      <c r="B152" s="82"/>
      <c r="C152" s="82">
        <f t="shared" si="36" ref="C152:D152">(C32+C44+C56+C68+C80+C92+C104+C116+C128+C140)/10</f>
        <v>22.79</v>
      </c>
      <c r="D152" s="82">
        <f t="shared" si="36"/>
        <v>76.500000000000014</v>
      </c>
      <c r="E152" s="130">
        <v>30</v>
      </c>
      <c r="F152" s="214">
        <v>0</v>
      </c>
      <c r="G152" s="85">
        <f t="shared" si="32"/>
        <v>26580.795000000002</v>
      </c>
      <c r="H152" s="85">
        <v>352</v>
      </c>
      <c r="I152" s="85">
        <v>0</v>
      </c>
      <c r="J152" s="85">
        <v>1</v>
      </c>
      <c r="K152" s="187">
        <v>62842.558957654706</v>
      </c>
      <c r="L152" s="191">
        <v>61.935854545454539</v>
      </c>
      <c r="M152" s="190">
        <v>1.3441726118701018</v>
      </c>
      <c r="N152" s="249">
        <v>462</v>
      </c>
      <c r="O152" s="91">
        <f t="shared" si="21"/>
        <v>46874222.624280073</v>
      </c>
      <c r="P152" s="88"/>
      <c r="Q152" s="111"/>
      <c r="AM152" s="179"/>
      <c r="AN152" s="211"/>
      <c r="AO152" s="130"/>
      <c r="AP152" s="131"/>
      <c r="AQ152" s="131"/>
      <c r="AR152" s="32"/>
    </row>
    <row r="153" spans="1:44" ht="12.75">
      <c r="A153" s="90">
        <v>42186</v>
      </c>
      <c r="B153" s="82"/>
      <c r="C153" s="82">
        <f t="shared" si="37" ref="C153:D153">(C33+C45+C57+C69+C81+C93+C105+C117+C129+C141)/10</f>
        <v>1.75</v>
      </c>
      <c r="D153" s="82">
        <f t="shared" si="37"/>
        <v>136.74</v>
      </c>
      <c r="E153" s="130">
        <v>31</v>
      </c>
      <c r="F153" s="214">
        <v>0</v>
      </c>
      <c r="G153" s="85">
        <f t="shared" si="32"/>
        <v>26622.662500000002</v>
      </c>
      <c r="H153" s="85">
        <v>352</v>
      </c>
      <c r="I153" s="85">
        <v>0</v>
      </c>
      <c r="J153" s="85">
        <v>1</v>
      </c>
      <c r="K153" s="187">
        <v>62933.857980456007</v>
      </c>
      <c r="L153" s="191">
        <v>62.025163636363629</v>
      </c>
      <c r="M153" s="190">
        <v>1.3469413873689611</v>
      </c>
      <c r="N153" s="249">
        <v>467</v>
      </c>
      <c r="O153" s="91">
        <f t="shared" si="21"/>
        <v>51379687.386806719</v>
      </c>
      <c r="P153" s="88"/>
      <c r="Q153" s="111"/>
      <c r="AI153" s="82"/>
      <c r="AM153" s="179"/>
      <c r="AN153" s="211"/>
      <c r="AO153" s="130"/>
      <c r="AP153" s="131"/>
      <c r="AQ153" s="131"/>
      <c r="AR153" s="32"/>
    </row>
    <row r="154" spans="1:44" ht="12.75">
      <c r="A154" s="90">
        <v>42217</v>
      </c>
      <c r="B154" s="82"/>
      <c r="C154" s="82">
        <f t="shared" si="38" ref="C154:D154">(C34+C46+C58+C70+C82+C94+C106+C118+C130+C142)/10</f>
        <v>4.9400000000000004</v>
      </c>
      <c r="D154" s="82">
        <f t="shared" si="38"/>
        <v>108.70</v>
      </c>
      <c r="E154" s="130">
        <v>31</v>
      </c>
      <c r="F154" s="214">
        <v>0</v>
      </c>
      <c r="G154" s="85">
        <f t="shared" si="32"/>
        <v>26664.530000000002</v>
      </c>
      <c r="H154" s="85">
        <v>320</v>
      </c>
      <c r="I154" s="85">
        <v>0</v>
      </c>
      <c r="J154" s="85">
        <v>1</v>
      </c>
      <c r="K154" s="187">
        <v>63025.157003257307</v>
      </c>
      <c r="L154" s="191">
        <v>62.11447272727272</v>
      </c>
      <c r="M154" s="190">
        <v>1.3497158660920161</v>
      </c>
      <c r="N154" s="249">
        <v>432</v>
      </c>
      <c r="O154" s="91">
        <f t="shared" si="21"/>
        <v>49154670.780250765</v>
      </c>
      <c r="P154" s="88"/>
      <c r="Q154" s="111"/>
      <c r="AM154" s="179"/>
      <c r="AN154" s="211"/>
      <c r="AO154" s="130"/>
      <c r="AP154" s="131"/>
      <c r="AQ154" s="131"/>
      <c r="AR154" s="32"/>
    </row>
    <row r="155" spans="1:44" ht="12.75">
      <c r="A155" s="90">
        <v>42248</v>
      </c>
      <c r="B155" s="82"/>
      <c r="C155" s="82">
        <f t="shared" si="39" ref="C155:D155">(C35+C47+C59+C71+C83+C95+C107+C119+C131+C143)/10</f>
        <v>61.860000000000014</v>
      </c>
      <c r="D155" s="82">
        <f t="shared" si="39"/>
        <v>32.510000000000005</v>
      </c>
      <c r="E155" s="130">
        <v>30</v>
      </c>
      <c r="G155" s="85">
        <f t="shared" si="32"/>
        <v>26706.397500000003</v>
      </c>
      <c r="H155" s="85">
        <v>336</v>
      </c>
      <c r="I155" s="85">
        <v>1</v>
      </c>
      <c r="J155" s="85">
        <v>1</v>
      </c>
      <c r="K155" s="187">
        <v>63116.456026058608</v>
      </c>
      <c r="L155" s="191">
        <v>62.20378181818181</v>
      </c>
      <c r="M155" s="190">
        <v>1.3524960597869746</v>
      </c>
      <c r="N155" s="249">
        <v>374</v>
      </c>
      <c r="O155" s="91">
        <f t="shared" si="21"/>
        <v>43719342.826472521</v>
      </c>
      <c r="P155" s="88"/>
      <c r="Q155" s="111"/>
      <c r="AM155" s="179"/>
      <c r="AN155" s="211"/>
      <c r="AO155" s="130"/>
      <c r="AP155" s="131"/>
      <c r="AQ155" s="131"/>
      <c r="AR155" s="32"/>
    </row>
    <row r="156" spans="1:44" ht="12.75">
      <c r="A156" s="90">
        <v>42278</v>
      </c>
      <c r="B156" s="82"/>
      <c r="C156" s="82">
        <f t="shared" si="40" ref="C156:D156">(C36+C48+C60+C72+C84+C96+C108+C120+C132+C144)/10</f>
        <v>236.50</v>
      </c>
      <c r="D156" s="82">
        <f t="shared" si="40"/>
        <v>3.17</v>
      </c>
      <c r="E156" s="130">
        <v>31</v>
      </c>
      <c r="G156" s="85">
        <f t="shared" si="32"/>
        <v>26748.265000000003</v>
      </c>
      <c r="H156" s="85">
        <v>336</v>
      </c>
      <c r="I156" s="85">
        <v>1</v>
      </c>
      <c r="J156" s="85">
        <v>1</v>
      </c>
      <c r="K156" s="187">
        <v>63207.755048859908</v>
      </c>
      <c r="L156" s="191">
        <v>62.2930909090909</v>
      </c>
      <c r="M156" s="190">
        <v>1.3552819802257432</v>
      </c>
      <c r="N156" s="249">
        <v>340</v>
      </c>
      <c r="O156" s="91">
        <f t="shared" si="21"/>
        <v>44684489.211256161</v>
      </c>
      <c r="P156" s="88"/>
      <c r="Q156" s="111"/>
      <c r="AM156" s="179"/>
      <c r="AN156" s="211"/>
      <c r="AO156" s="130"/>
      <c r="AP156" s="131"/>
      <c r="AQ156" s="131"/>
      <c r="AR156" s="32"/>
    </row>
    <row r="157" spans="1:44" ht="12.75">
      <c r="A157" s="90">
        <v>42309</v>
      </c>
      <c r="B157" s="82"/>
      <c r="C157" s="82">
        <f t="shared" si="41" ref="C157:D157">(C37+C49+C61+C73+C85+C97+C109+C121+C133+C145)/10</f>
        <v>418.73999999999995</v>
      </c>
      <c r="D157" s="82">
        <f t="shared" si="41"/>
        <v>0</v>
      </c>
      <c r="E157" s="130">
        <v>30</v>
      </c>
      <c r="G157" s="85">
        <f t="shared" si="32"/>
        <v>26790.132500000003</v>
      </c>
      <c r="H157" s="85">
        <v>336</v>
      </c>
      <c r="I157" s="85">
        <v>1</v>
      </c>
      <c r="J157" s="85">
        <v>1</v>
      </c>
      <c r="K157" s="187">
        <v>63299.054071661209</v>
      </c>
      <c r="L157" s="191">
        <v>62.38239999999999</v>
      </c>
      <c r="M157" s="190">
        <v>1.3580736392044766</v>
      </c>
      <c r="N157" s="249">
        <v>290</v>
      </c>
      <c r="O157" s="91">
        <f t="shared" si="21"/>
        <v>45416739.4252197</v>
      </c>
      <c r="P157" s="88"/>
      <c r="Q157" s="111"/>
      <c r="AH157" s="72"/>
      <c r="AM157" s="179"/>
      <c r="AN157" s="211"/>
      <c r="AO157" s="130"/>
      <c r="AP157" s="131"/>
      <c r="AQ157" s="131"/>
      <c r="AR157" s="32"/>
    </row>
    <row r="158" spans="1:44" ht="12.75">
      <c r="A158" s="90">
        <v>42339</v>
      </c>
      <c r="B158" s="82"/>
      <c r="C158" s="82">
        <f t="shared" si="42" ref="C158:D158">(C38+C50+C62+C74+C86+C98+C110+C122+C134+C146)/10</f>
        <v>607.12999999999988</v>
      </c>
      <c r="D158" s="82">
        <f t="shared" si="42"/>
        <v>0</v>
      </c>
      <c r="E158" s="130">
        <v>31</v>
      </c>
      <c r="F158" s="214">
        <v>0</v>
      </c>
      <c r="G158" s="216">
        <f>+'Rate Class Customer Model'!I15</f>
        <v>26832</v>
      </c>
      <c r="H158" s="85">
        <v>336</v>
      </c>
      <c r="I158" s="85">
        <v>0</v>
      </c>
      <c r="J158" s="85">
        <v>1</v>
      </c>
      <c r="K158" s="187">
        <v>63390.353094462538</v>
      </c>
      <c r="L158" s="191">
        <v>62.382399999999997</v>
      </c>
      <c r="M158" s="190">
        <v>1.3608710485436271</v>
      </c>
      <c r="N158" s="249">
        <v>269</v>
      </c>
      <c r="O158" s="91">
        <f t="shared" si="21"/>
        <v>49056568.248045668</v>
      </c>
      <c r="P158" s="88"/>
      <c r="Q158" s="111"/>
      <c r="AH158" s="72"/>
      <c r="AM158" s="179"/>
      <c r="AN158" s="211"/>
      <c r="AO158" s="130"/>
      <c r="AP158" s="131"/>
      <c r="AQ158" s="131"/>
      <c r="AR158" s="32"/>
    </row>
    <row r="159" spans="1:44" ht="12.75">
      <c r="A159" s="90">
        <v>42370</v>
      </c>
      <c r="B159" s="82"/>
      <c r="C159" s="82">
        <f>+C147</f>
        <v>697.93</v>
      </c>
      <c r="D159" s="82">
        <f>+D147</f>
        <v>0</v>
      </c>
      <c r="E159" s="130">
        <v>31</v>
      </c>
      <c r="F159" s="214">
        <v>0</v>
      </c>
      <c r="G159" s="85">
        <f>+($G$170-$G$158)/12+G158</f>
        <v>26856.363967656784</v>
      </c>
      <c r="H159" s="85">
        <v>336</v>
      </c>
      <c r="I159" s="85">
        <v>0</v>
      </c>
      <c r="J159" s="85">
        <v>1</v>
      </c>
      <c r="K159" s="187">
        <v>63481.652117263839</v>
      </c>
      <c r="L159" s="191">
        <v>62.467466909090909</v>
      </c>
      <c r="M159" s="190">
        <v>1.3636742200879963</v>
      </c>
      <c r="N159" s="249">
        <v>290</v>
      </c>
      <c r="O159" s="91">
        <f>+$S$19+C159*$S$20+D159*$S$21+E159*$S$22+F159*$S$23+G159*$S$24+H159*$S$25+I159*$S$26+J159*$S$27</f>
        <v>50000422.982625216</v>
      </c>
      <c r="P159" s="88"/>
      <c r="Q159" s="111"/>
      <c r="AM159" s="179"/>
      <c r="AN159" s="211"/>
      <c r="AO159" s="130"/>
      <c r="AP159" s="131"/>
      <c r="AQ159" s="131"/>
      <c r="AR159" s="32"/>
    </row>
    <row r="160" spans="1:44" ht="12.75">
      <c r="A160" s="90">
        <v>42401</v>
      </c>
      <c r="B160" s="82"/>
      <c r="C160" s="82">
        <f t="shared" si="43" ref="C160:D170">+C148</f>
        <v>639.47</v>
      </c>
      <c r="D160" s="82">
        <f t="shared" si="43"/>
        <v>0</v>
      </c>
      <c r="E160" s="130">
        <v>29</v>
      </c>
      <c r="F160" s="214">
        <v>0</v>
      </c>
      <c r="G160" s="85">
        <f t="shared" si="44" ref="G160:G169">+($G$170-$G$158)/12+G159</f>
        <v>26880.727935313567</v>
      </c>
      <c r="H160" s="87">
        <v>320</v>
      </c>
      <c r="I160" s="85">
        <v>0</v>
      </c>
      <c r="J160" s="85">
        <v>1</v>
      </c>
      <c r="K160" s="187">
        <v>63572.951140065139</v>
      </c>
      <c r="L160" s="191">
        <v>62.552533818181821</v>
      </c>
      <c r="M160" s="190">
        <v>1.3664831657067829</v>
      </c>
      <c r="N160" s="249">
        <v>305</v>
      </c>
      <c r="O160" s="91">
        <f t="shared" si="21"/>
        <v>47239400.028380193</v>
      </c>
      <c r="P160" s="88"/>
      <c r="Q160" s="111"/>
      <c r="AM160" s="179"/>
      <c r="AN160" s="211"/>
      <c r="AO160" s="130"/>
      <c r="AP160" s="131"/>
      <c r="AQ160" s="131"/>
      <c r="AR160" s="32"/>
    </row>
    <row r="161" spans="1:44" ht="12.75">
      <c r="A161" s="90">
        <v>42430</v>
      </c>
      <c r="B161" s="82"/>
      <c r="C161" s="82">
        <f t="shared" si="43"/>
        <v>540.63000000000011</v>
      </c>
      <c r="D161" s="82">
        <f t="shared" si="43"/>
        <v>0.02</v>
      </c>
      <c r="E161" s="130">
        <v>31</v>
      </c>
      <c r="F161" s="214">
        <v>1</v>
      </c>
      <c r="G161" s="85">
        <f t="shared" si="44"/>
        <v>26905.091902970351</v>
      </c>
      <c r="H161" s="85">
        <v>352</v>
      </c>
      <c r="I161" s="85">
        <v>0</v>
      </c>
      <c r="J161" s="85">
        <v>1</v>
      </c>
      <c r="K161" s="187">
        <v>63664.250162866439</v>
      </c>
      <c r="L161" s="191">
        <v>62.637600727272734</v>
      </c>
      <c r="M161" s="190">
        <v>1.3692978972936354</v>
      </c>
      <c r="N161" s="249">
        <v>371</v>
      </c>
      <c r="O161" s="91">
        <f t="shared" si="21"/>
        <v>47048569.578460425</v>
      </c>
      <c r="P161" s="88"/>
      <c r="Q161" s="111"/>
      <c r="AM161" s="179"/>
      <c r="AN161" s="211"/>
      <c r="AO161" s="130"/>
      <c r="AP161" s="131"/>
      <c r="AQ161" s="131"/>
      <c r="AR161" s="32"/>
    </row>
    <row r="162" spans="1:44" ht="12.75">
      <c r="A162" s="90">
        <v>42461</v>
      </c>
      <c r="B162" s="82"/>
      <c r="C162" s="82">
        <f t="shared" si="43"/>
        <v>311.08</v>
      </c>
      <c r="D162" s="82">
        <f t="shared" si="43"/>
        <v>0.12</v>
      </c>
      <c r="E162" s="130">
        <v>30</v>
      </c>
      <c r="F162" s="214">
        <v>1</v>
      </c>
      <c r="G162" s="85">
        <f t="shared" si="44"/>
        <v>26929.455870627135</v>
      </c>
      <c r="H162" s="85">
        <v>336</v>
      </c>
      <c r="I162" s="85">
        <v>0</v>
      </c>
      <c r="J162" s="85">
        <v>1</v>
      </c>
      <c r="K162" s="187">
        <v>63755.54918566774</v>
      </c>
      <c r="L162" s="191">
        <v>62.722667636363646</v>
      </c>
      <c r="M162" s="190">
        <v>1.3721184267667004</v>
      </c>
      <c r="N162" s="249">
        <v>405</v>
      </c>
      <c r="O162" s="91">
        <f t="shared" si="21"/>
        <v>43542106.398910761</v>
      </c>
      <c r="P162" s="88"/>
      <c r="Q162" s="111"/>
      <c r="AM162" s="179"/>
      <c r="AN162" s="211"/>
      <c r="AO162" s="130"/>
      <c r="AP162" s="131"/>
      <c r="AQ162" s="131"/>
      <c r="AR162" s="32"/>
    </row>
    <row r="163" spans="1:44" ht="12.75">
      <c r="A163" s="90">
        <v>42491</v>
      </c>
      <c r="B163" s="82"/>
      <c r="C163" s="82">
        <f t="shared" si="43"/>
        <v>137.88999999999999</v>
      </c>
      <c r="D163" s="82">
        <f t="shared" si="43"/>
        <v>18.90</v>
      </c>
      <c r="E163" s="130">
        <v>31</v>
      </c>
      <c r="F163" s="214">
        <v>1</v>
      </c>
      <c r="G163" s="85">
        <f t="shared" si="44"/>
        <v>26953.819838283918</v>
      </c>
      <c r="H163" s="85">
        <v>320</v>
      </c>
      <c r="I163" s="85">
        <v>0</v>
      </c>
      <c r="J163" s="85">
        <v>1</v>
      </c>
      <c r="K163" s="187">
        <v>63846.84820846904</v>
      </c>
      <c r="L163" s="191">
        <v>62.807734545454558</v>
      </c>
      <c r="M163" s="190">
        <v>1.3749447660686738</v>
      </c>
      <c r="N163" s="249">
        <v>457</v>
      </c>
      <c r="O163" s="91">
        <f t="shared" si="21"/>
        <v>43658149.49595169</v>
      </c>
      <c r="P163" s="88"/>
      <c r="Q163" s="111"/>
      <c r="AM163" s="179"/>
      <c r="AN163" s="211"/>
      <c r="AO163" s="130"/>
      <c r="AP163" s="131"/>
      <c r="AQ163" s="131"/>
      <c r="AR163" s="32"/>
    </row>
    <row r="164" spans="1:44" ht="12.75">
      <c r="A164" s="90">
        <v>42522</v>
      </c>
      <c r="B164" s="82"/>
      <c r="C164" s="82">
        <f t="shared" si="43"/>
        <v>22.79</v>
      </c>
      <c r="D164" s="82">
        <f t="shared" si="43"/>
        <v>76.500000000000014</v>
      </c>
      <c r="E164" s="130">
        <v>30</v>
      </c>
      <c r="F164" s="214">
        <v>0</v>
      </c>
      <c r="G164" s="85">
        <f t="shared" si="44"/>
        <v>26978.183805940702</v>
      </c>
      <c r="H164" s="85">
        <v>352</v>
      </c>
      <c r="I164" s="85">
        <v>0</v>
      </c>
      <c r="J164" s="85">
        <v>1</v>
      </c>
      <c r="K164" s="187">
        <v>63938.147231270341</v>
      </c>
      <c r="L164" s="191">
        <v>62.89280145454547</v>
      </c>
      <c r="M164" s="190">
        <v>1.3777769271668525</v>
      </c>
      <c r="N164" s="249">
        <v>462</v>
      </c>
      <c r="O164" s="91">
        <f t="shared" si="21"/>
        <v>47479436.186337553</v>
      </c>
      <c r="P164" s="88"/>
      <c r="Q164" s="111"/>
      <c r="AM164" s="179"/>
      <c r="AN164" s="211"/>
      <c r="AO164" s="130"/>
      <c r="AP164" s="131"/>
      <c r="AQ164" s="131"/>
      <c r="AR164" s="32"/>
    </row>
    <row r="165" spans="1:44" ht="12.75">
      <c r="A165" s="90">
        <v>42552</v>
      </c>
      <c r="B165" s="82"/>
      <c r="C165" s="82">
        <f t="shared" si="43"/>
        <v>1.75</v>
      </c>
      <c r="D165" s="82">
        <f t="shared" si="43"/>
        <v>136.74</v>
      </c>
      <c r="E165" s="130">
        <v>31</v>
      </c>
      <c r="F165" s="214">
        <v>0</v>
      </c>
      <c r="G165" s="85">
        <f t="shared" si="44"/>
        <v>27002.547773597486</v>
      </c>
      <c r="H165" s="85">
        <v>352</v>
      </c>
      <c r="I165" s="85">
        <v>0</v>
      </c>
      <c r="J165" s="85">
        <v>1</v>
      </c>
      <c r="K165" s="187">
        <v>64029.446254071641</v>
      </c>
      <c r="L165" s="191">
        <v>62.977868363636382</v>
      </c>
      <c r="M165" s="190">
        <v>1.3806149220531836</v>
      </c>
      <c r="N165" s="249">
        <v>467</v>
      </c>
      <c r="O165" s="91">
        <f t="shared" si="21"/>
        <v>51958243.491483249</v>
      </c>
      <c r="P165" s="88"/>
      <c r="Q165" s="111"/>
      <c r="AM165" s="179"/>
      <c r="AN165" s="211"/>
      <c r="AO165" s="130"/>
      <c r="AP165" s="131"/>
      <c r="AQ165" s="131"/>
      <c r="AR165" s="32"/>
    </row>
    <row r="166" spans="1:44" ht="12.75">
      <c r="A166" s="90">
        <v>42583</v>
      </c>
      <c r="B166" s="82"/>
      <c r="C166" s="82">
        <f t="shared" si="43"/>
        <v>4.9400000000000004</v>
      </c>
      <c r="D166" s="82">
        <f t="shared" si="43"/>
        <v>108.70</v>
      </c>
      <c r="E166" s="130">
        <v>31</v>
      </c>
      <c r="F166" s="214">
        <v>0</v>
      </c>
      <c r="G166" s="85">
        <f t="shared" si="44"/>
        <v>27026.911741254269</v>
      </c>
      <c r="H166" s="85">
        <v>320</v>
      </c>
      <c r="I166" s="85">
        <v>0</v>
      </c>
      <c r="J166" s="85">
        <v>1</v>
      </c>
      <c r="K166" s="187">
        <v>64120.745276872942</v>
      </c>
      <c r="L166" s="191">
        <v>63.062935272727294</v>
      </c>
      <c r="M166" s="190">
        <v>1.3834587627443147</v>
      </c>
      <c r="N166" s="249">
        <v>432</v>
      </c>
      <c r="O166" s="91">
        <f t="shared" si="21"/>
        <v>49706569.42754636</v>
      </c>
      <c r="P166" s="88"/>
      <c r="Q166" s="111"/>
      <c r="AM166" s="179"/>
      <c r="AN166" s="211"/>
      <c r="AO166" s="130"/>
      <c r="AP166" s="131"/>
      <c r="AQ166" s="131"/>
      <c r="AR166" s="32"/>
    </row>
    <row r="167" spans="1:44" ht="12.75">
      <c r="A167" s="90">
        <v>42614</v>
      </c>
      <c r="B167" s="82"/>
      <c r="C167" s="82">
        <f t="shared" si="43"/>
        <v>61.860000000000014</v>
      </c>
      <c r="D167" s="82">
        <f t="shared" si="43"/>
        <v>32.510000000000005</v>
      </c>
      <c r="E167" s="130">
        <v>30</v>
      </c>
      <c r="G167" s="85">
        <f t="shared" si="44"/>
        <v>27051.275708911053</v>
      </c>
      <c r="H167" s="85">
        <v>336</v>
      </c>
      <c r="I167" s="85">
        <v>1</v>
      </c>
      <c r="J167" s="85">
        <v>1</v>
      </c>
      <c r="K167" s="187">
        <v>64212.044299674242</v>
      </c>
      <c r="L167" s="191">
        <v>63.148002181818207</v>
      </c>
      <c r="M167" s="190">
        <v>1.386308461281647</v>
      </c>
      <c r="N167" s="249">
        <v>374</v>
      </c>
      <c r="O167" s="91">
        <f t="shared" si="21"/>
        <v>44244584.016387179</v>
      </c>
      <c r="P167" s="88"/>
      <c r="Q167" s="111"/>
      <c r="AM167" s="179"/>
      <c r="AN167" s="211"/>
      <c r="AO167" s="130"/>
      <c r="AP167" s="131"/>
      <c r="AQ167" s="131"/>
      <c r="AR167" s="32"/>
    </row>
    <row r="168" spans="1:44" ht="12.75">
      <c r="A168" s="90">
        <v>42644</v>
      </c>
      <c r="B168" s="82"/>
      <c r="C168" s="82">
        <f t="shared" si="43"/>
        <v>236.50</v>
      </c>
      <c r="D168" s="82">
        <f t="shared" si="43"/>
        <v>3.17</v>
      </c>
      <c r="E168" s="130">
        <v>31</v>
      </c>
      <c r="G168" s="85">
        <f t="shared" si="44"/>
        <v>27075.639676567836</v>
      </c>
      <c r="H168" s="85">
        <v>336</v>
      </c>
      <c r="I168" s="85">
        <v>1</v>
      </c>
      <c r="J168" s="85">
        <v>1</v>
      </c>
      <c r="K168" s="187">
        <v>64303.343322475543</v>
      </c>
      <c r="L168" s="191">
        <v>63.233069090909119</v>
      </c>
      <c r="M168" s="190">
        <v>1.3891640297313848</v>
      </c>
      <c r="N168" s="249">
        <v>340</v>
      </c>
      <c r="O168" s="91">
        <f t="shared" si="21"/>
        <v>45183072.94378987</v>
      </c>
      <c r="P168" s="88"/>
      <c r="Q168" s="111"/>
      <c r="AM168" s="179"/>
      <c r="AN168" s="211"/>
      <c r="AO168" s="130"/>
      <c r="AP168" s="131"/>
      <c r="AQ168" s="131"/>
      <c r="AR168" s="32"/>
    </row>
    <row r="169" spans="1:44" ht="12.75">
      <c r="A169" s="90">
        <v>42675</v>
      </c>
      <c r="B169" s="82"/>
      <c r="C169" s="82">
        <f t="shared" si="43"/>
        <v>418.73999999999995</v>
      </c>
      <c r="D169" s="82">
        <f t="shared" si="43"/>
        <v>0</v>
      </c>
      <c r="E169" s="130">
        <v>30</v>
      </c>
      <c r="G169" s="85">
        <f t="shared" si="44"/>
        <v>27100.00364422462</v>
      </c>
      <c r="H169" s="85">
        <v>336</v>
      </c>
      <c r="I169" s="85">
        <v>1</v>
      </c>
      <c r="J169" s="85">
        <v>1</v>
      </c>
      <c r="K169" s="187">
        <v>64394.642345276843</v>
      </c>
      <c r="L169" s="191">
        <v>63.318136000000031</v>
      </c>
      <c r="M169" s="190">
        <v>1.3920254801845864</v>
      </c>
      <c r="N169" s="249">
        <v>290</v>
      </c>
      <c r="O169" s="91">
        <f t="shared" si="21"/>
        <v>45888665.700372487</v>
      </c>
      <c r="P169" s="88"/>
      <c r="Q169" s="111"/>
      <c r="AM169" s="179"/>
      <c r="AN169" s="211"/>
      <c r="AO169" s="130"/>
      <c r="AP169" s="131"/>
      <c r="AQ169" s="131"/>
      <c r="AR169" s="32"/>
    </row>
    <row r="170" spans="1:44" ht="12.75">
      <c r="A170" s="90">
        <v>42705</v>
      </c>
      <c r="B170" s="82"/>
      <c r="C170" s="82">
        <f t="shared" si="43"/>
        <v>607.12999999999988</v>
      </c>
      <c r="D170" s="82">
        <f t="shared" si="43"/>
        <v>0</v>
      </c>
      <c r="E170" s="130">
        <v>31</v>
      </c>
      <c r="F170" s="214">
        <v>0</v>
      </c>
      <c r="G170" s="216">
        <f>+'Rate Class Customer Model'!I16</f>
        <v>27124.367611881407</v>
      </c>
      <c r="H170" s="85">
        <v>336</v>
      </c>
      <c r="I170" s="85">
        <v>0</v>
      </c>
      <c r="J170" s="85">
        <v>1</v>
      </c>
      <c r="K170" s="187">
        <v>64485.941368078173</v>
      </c>
      <c r="L170" s="191">
        <v>63.318135999999996</v>
      </c>
      <c r="M170" s="190">
        <v>1.3948928247572157</v>
      </c>
      <c r="N170" s="249">
        <v>269</v>
      </c>
      <c r="O170" s="91">
        <f t="shared" si="21"/>
        <v>49501837.06581752</v>
      </c>
      <c r="P170" s="88"/>
      <c r="Q170" s="111"/>
      <c r="AM170" s="179"/>
      <c r="AN170" s="211"/>
      <c r="AO170" s="130"/>
      <c r="AP170" s="131"/>
      <c r="AQ170" s="131"/>
      <c r="AR170" s="32"/>
    </row>
    <row r="171" spans="1:17" ht="12.75">
      <c r="A171" s="3"/>
      <c r="M171" s="6"/>
      <c r="O171" s="6"/>
      <c r="P171" s="37"/>
      <c r="Q171" s="111"/>
    </row>
    <row r="172" spans="1:17" ht="12.75">
      <c r="A172" s="3"/>
      <c r="O172" s="6"/>
      <c r="P172" s="37"/>
      <c r="Q172" s="111"/>
    </row>
    <row r="173" spans="1:17" ht="12.75">
      <c r="A173" s="3"/>
      <c r="O173" s="6"/>
      <c r="P173" s="37"/>
      <c r="Q173" s="111"/>
    </row>
    <row r="174" spans="1:17" ht="12.75">
      <c r="A174" s="3"/>
      <c r="O174" s="6"/>
      <c r="P174" s="37"/>
      <c r="Q174" s="111"/>
    </row>
    <row r="175" spans="1:17" ht="12.75">
      <c r="A175" s="3"/>
      <c r="O175" s="6"/>
      <c r="P175" s="37"/>
      <c r="Q175" s="5"/>
    </row>
    <row r="176" spans="1:17" ht="12.75">
      <c r="A176" s="17"/>
      <c r="O176" s="6"/>
      <c r="P176" s="37"/>
      <c r="Q176" s="5"/>
    </row>
    <row r="177" spans="15:17" ht="12.75">
      <c r="O177" s="6"/>
      <c r="P177" s="37"/>
      <c r="Q177" s="5"/>
    </row>
    <row r="178" spans="1:17" ht="12.75">
      <c r="A178" s="17"/>
      <c r="O178" s="6"/>
      <c r="P178" s="37"/>
      <c r="Q178" s="5"/>
    </row>
    <row r="179" spans="15:17" ht="12.75">
      <c r="O179" s="6"/>
      <c r="P179" s="37"/>
      <c r="Q179" s="5"/>
    </row>
    <row r="180" spans="1:17" ht="12.75">
      <c r="A180" s="17">
        <v>2003</v>
      </c>
      <c r="B180" s="6">
        <f>SUM(B3:B14)</f>
        <v>462324178</v>
      </c>
      <c r="C180" s="1">
        <f>+C181+1</f>
        <v>12</v>
      </c>
      <c r="O180" s="6">
        <f>SUM(O3:O14)</f>
        <v>460075503.94144708</v>
      </c>
      <c r="P180" s="37">
        <f>O180-B180</f>
        <v>-2248674.0585529208</v>
      </c>
      <c r="Q180" s="5">
        <f t="shared" si="45" ref="Q180:Q191">P180/B180</f>
        <v>-0.0048638469834751336</v>
      </c>
    </row>
    <row r="181" spans="1:17" ht="12.75">
      <c r="A181">
        <v>2004</v>
      </c>
      <c r="B181" s="6">
        <f>SUM(B15:B26)</f>
        <v>468337202</v>
      </c>
      <c r="C181" s="1">
        <f t="shared" si="46" ref="C181:C189">+C182+1</f>
        <v>11</v>
      </c>
      <c r="O181" s="6">
        <f>SUM(O15:O26)</f>
        <v>466722845.60357416</v>
      </c>
      <c r="P181" s="37">
        <f t="shared" si="47" ref="P181:P186">O181-B181</f>
        <v>-1614356.3964258432</v>
      </c>
      <c r="Q181" s="5">
        <f t="shared" si="45"/>
        <v>-0.0034469958601021904</v>
      </c>
    </row>
    <row r="182" spans="1:17" ht="12.75">
      <c r="A182" s="17">
        <v>2005</v>
      </c>
      <c r="B182" s="6">
        <f>SUM(B27:B38)</f>
        <v>495175531</v>
      </c>
      <c r="C182" s="1">
        <f>+C183+1</f>
        <v>10</v>
      </c>
      <c r="O182" s="6">
        <f>SUM(O27:O38)</f>
        <v>499338857.06327397</v>
      </c>
      <c r="P182" s="37">
        <f t="shared" si="47"/>
        <v>4163326.0632739663</v>
      </c>
      <c r="Q182" s="5">
        <f t="shared" si="45"/>
        <v>0.0084077782576739771</v>
      </c>
    </row>
    <row r="183" spans="1:17" ht="12.75">
      <c r="A183">
        <v>2006</v>
      </c>
      <c r="B183" s="6">
        <f>SUM(B39:B50)</f>
        <v>494167336.1280427</v>
      </c>
      <c r="C183" s="1">
        <f t="shared" si="46"/>
        <v>9</v>
      </c>
      <c r="O183" s="6">
        <f>SUM(O39:O50)</f>
        <v>499517795.82819325</v>
      </c>
      <c r="P183" s="37">
        <f t="shared" si="47"/>
        <v>5350459.7001505494</v>
      </c>
      <c r="Q183" s="5">
        <f t="shared" si="45"/>
        <v>0.010827222499311858</v>
      </c>
    </row>
    <row r="184" spans="1:17" ht="12.75">
      <c r="A184" s="17">
        <v>2007</v>
      </c>
      <c r="B184" s="6">
        <f>SUM(B51:B62)</f>
        <v>515242657.53544003</v>
      </c>
      <c r="C184" s="1">
        <f>+C185+1</f>
        <v>8</v>
      </c>
      <c r="O184" s="6">
        <f>SUM(O51:O62)</f>
        <v>514528804.89293849</v>
      </c>
      <c r="P184" s="37">
        <f t="shared" si="47"/>
        <v>-713852.64250153303</v>
      </c>
      <c r="Q184" s="5">
        <f t="shared" si="45"/>
        <v>-0.0013854688311641433</v>
      </c>
    </row>
    <row r="185" spans="1:17" ht="12.75">
      <c r="A185">
        <v>2008</v>
      </c>
      <c r="B185" s="6">
        <f>SUM(B63:B74)</f>
        <v>511888868.34364784</v>
      </c>
      <c r="C185" s="1">
        <f t="shared" si="46"/>
        <v>7</v>
      </c>
      <c r="O185" s="6">
        <f>SUM(O63:O74)</f>
        <v>510735090.29953927</v>
      </c>
      <c r="P185" s="37">
        <f t="shared" si="47"/>
        <v>-1153778.0441085696</v>
      </c>
      <c r="Q185" s="5">
        <f t="shared" si="45"/>
        <v>-0.0022539619738986012</v>
      </c>
    </row>
    <row r="186" spans="1:17" ht="12.75">
      <c r="A186" s="17">
        <v>2009</v>
      </c>
      <c r="B186" s="6">
        <f>SUM(B75:B86)</f>
        <v>506197622.42757654</v>
      </c>
      <c r="C186" s="1">
        <f t="shared" si="46"/>
        <v>6</v>
      </c>
      <c r="O186" s="6">
        <f>SUM(O75:O86)</f>
        <v>509082761.65482712</v>
      </c>
      <c r="P186" s="37">
        <f t="shared" si="47"/>
        <v>2885139.227250576</v>
      </c>
      <c r="Q186" s="5">
        <f t="shared" si="45"/>
        <v>0.0056996301432912459</v>
      </c>
    </row>
    <row r="187" spans="1:17" ht="12.75">
      <c r="A187">
        <v>2010</v>
      </c>
      <c r="B187" s="6">
        <f>SUM(B87:B98)</f>
        <v>533302998.27428335</v>
      </c>
      <c r="C187" s="1">
        <f t="shared" si="46"/>
        <v>5</v>
      </c>
      <c r="O187" s="6">
        <f>SUM(O87:O98)</f>
        <v>525964738.25066036</v>
      </c>
      <c r="P187" s="37">
        <f>O187-B187</f>
        <v>-7338260.0236229897</v>
      </c>
      <c r="Q187" s="5">
        <f t="shared" si="45"/>
        <v>-0.013760020189964965</v>
      </c>
    </row>
    <row r="188" spans="1:17" ht="12.75">
      <c r="A188">
        <v>2011</v>
      </c>
      <c r="B188" s="6">
        <f>SUM(B99:B110)</f>
        <v>533054367.40373558</v>
      </c>
      <c r="C188" s="1">
        <f t="shared" si="46"/>
        <v>4</v>
      </c>
      <c r="O188" s="6">
        <f>SUM(O99:O110)</f>
        <v>529354156.42683506</v>
      </c>
      <c r="P188" s="37">
        <f t="shared" si="48" ref="P188:P191">O188-B188</f>
        <v>-3700210.9769005179</v>
      </c>
      <c r="Q188" s="5">
        <f t="shared" si="45"/>
        <v>-0.0069415264242605424</v>
      </c>
    </row>
    <row r="189" spans="1:17" ht="12.75">
      <c r="A189">
        <v>2012</v>
      </c>
      <c r="B189" s="6">
        <f>SUM(B111:B122)</f>
        <v>527416502.77801406</v>
      </c>
      <c r="C189" s="1">
        <f t="shared" si="46"/>
        <v>3</v>
      </c>
      <c r="O189" s="6">
        <f>SUM(O111:O122)</f>
        <v>532238498.64287007</v>
      </c>
      <c r="P189" s="37">
        <f t="shared" si="48"/>
        <v>4821995.8648560047</v>
      </c>
      <c r="Q189" s="5">
        <f t="shared" si="45"/>
        <v>0.0091426715687839399</v>
      </c>
    </row>
    <row r="190" spans="1:17" ht="12.75">
      <c r="A190" s="17">
        <v>2013</v>
      </c>
      <c r="B190" s="6">
        <f>SUM(B123:B134)</f>
        <v>536137475.4016602</v>
      </c>
      <c r="C190" s="1">
        <f>+C191+1</f>
        <v>2</v>
      </c>
      <c r="O190" s="6">
        <f>SUM(O123:O134)</f>
        <v>536824517.90500426</v>
      </c>
      <c r="P190" s="37">
        <f t="shared" si="48"/>
        <v>687042.50334405899</v>
      </c>
      <c r="Q190" s="5">
        <f t="shared" si="45"/>
        <v>0.0012814670394554022</v>
      </c>
    </row>
    <row r="191" spans="1:17" ht="12.75">
      <c r="A191">
        <v>2014</v>
      </c>
      <c r="B191" s="6">
        <f>SUM(B135:B146)</f>
        <v>549832621.70041287</v>
      </c>
      <c r="C191" s="1">
        <v>1</v>
      </c>
      <c r="O191" s="6">
        <f>SUM(O135:O146)</f>
        <v>548693790.48365068</v>
      </c>
      <c r="P191" s="37">
        <f t="shared" si="48"/>
        <v>-1138831.2167621851</v>
      </c>
      <c r="Q191" s="5">
        <f t="shared" si="45"/>
        <v>-0.0020712325384409434</v>
      </c>
    </row>
    <row r="192" spans="1:16" ht="12.75">
      <c r="A192">
        <v>2015</v>
      </c>
      <c r="O192" s="6">
        <f>SUM(O147:O158)</f>
        <v>557091074.23105323</v>
      </c>
      <c r="P192" s="37"/>
    </row>
    <row r="193" spans="1:16" ht="12.75">
      <c r="A193">
        <v>2016</v>
      </c>
      <c r="O193" s="6">
        <f>SUM(O159:O170)</f>
        <v>565451057.31606245</v>
      </c>
      <c r="P193" s="37"/>
    </row>
    <row r="195" spans="14:17" ht="12.75">
      <c r="N195" s="24"/>
      <c r="O195" s="24"/>
      <c r="P195" s="24"/>
      <c r="Q195" s="24"/>
    </row>
    <row r="196" spans="14:17" ht="12.75">
      <c r="N196" s="24"/>
      <c r="O196" s="28"/>
      <c r="P196" s="28"/>
      <c r="Q196" s="24"/>
    </row>
    <row r="197" spans="14:17" ht="12.75">
      <c r="N197" s="24"/>
      <c r="O197" s="24"/>
      <c r="P197" s="24"/>
      <c r="Q197" s="24"/>
    </row>
    <row r="198" spans="14:17" ht="12.75">
      <c r="N198" s="24"/>
      <c r="O198" s="28"/>
      <c r="P198" s="178"/>
      <c r="Q198" s="24"/>
    </row>
    <row r="199" spans="14:17" ht="12.75">
      <c r="N199" s="24"/>
      <c r="O199" s="24"/>
      <c r="P199" s="24"/>
      <c r="Q199" s="24"/>
    </row>
    <row r="200" spans="14:17" ht="12.75">
      <c r="N200" s="24"/>
      <c r="O200" s="24"/>
      <c r="P200" s="24"/>
      <c r="Q200" s="24"/>
    </row>
    <row r="201" spans="14:17" ht="12.75">
      <c r="N201" s="24"/>
      <c r="O201" s="179"/>
      <c r="P201" s="24"/>
      <c r="Q201" s="24"/>
    </row>
    <row r="202" spans="14:17" ht="12.75">
      <c r="N202" s="24"/>
      <c r="O202" s="24"/>
      <c r="P202" s="24"/>
      <c r="Q202" s="24"/>
    </row>
    <row r="203" spans="3:17" ht="12.75">
      <c r="C203" s="6"/>
      <c r="D203" s="6"/>
      <c r="F203" s="6"/>
      <c r="G203" s="6"/>
      <c r="H203" s="6"/>
      <c r="I203" s="6"/>
      <c r="N203" s="24"/>
      <c r="O203" s="28"/>
      <c r="P203" s="24"/>
      <c r="Q203" s="24"/>
    </row>
    <row r="204" spans="14:17" ht="12.75">
      <c r="N204" s="24"/>
      <c r="O204" s="28"/>
      <c r="P204" s="24"/>
      <c r="Q204" s="24"/>
    </row>
  </sheetData>
  <mergeCells count="2">
    <mergeCell ref="AF2:AH2"/>
    <mergeCell ref="AB1:AH1"/>
  </mergeCells>
  <pageMargins left="0.38" right="0.75" top="0.73" bottom="0.74" header="0.5" footer="0.5"/>
  <pageSetup orientation="landscape" scale="20" r:id="rId1"/>
  <headerFooter alignWithMargins="0"/>
  <ignoredErrors>
    <ignoredError sqref="P146" evalError="1" calculatedColumn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88"/>
  <sheetViews>
    <sheetView workbookViewId="0" topLeftCell="A1">
      <pane xSplit="1" ySplit="2" topLeftCell="B3" activePane="bottomRight" state="frozen"/>
      <selection pane="topLeft" activeCell="A1" sqref="A1"/>
      <selection pane="bottomLeft" activeCell="A3" sqref="A3"/>
      <selection pane="topRight" activeCell="B1" sqref="B1"/>
      <selection pane="bottomRight" activeCell="F16" sqref="F16"/>
    </sheetView>
  </sheetViews>
  <sheetFormatPr defaultColWidth="9.14285714285714" defaultRowHeight="12.75"/>
  <cols>
    <col min="1" max="1" width="11" customWidth="1"/>
    <col min="2" max="5" width="18" style="1" customWidth="1"/>
    <col min="6" max="6" width="15.7142857142857" style="1" customWidth="1"/>
    <col min="7" max="7" width="17.1428571428571" style="6" customWidth="1"/>
    <col min="8" max="8" width="15" style="6" customWidth="1"/>
    <col min="9" max="9" width="16.8571428571429" style="6" customWidth="1"/>
    <col min="10" max="10" width="17" style="6" customWidth="1"/>
    <col min="11" max="11" width="21.5714285714286" style="6" customWidth="1"/>
    <col min="12" max="12" width="17.7142857142857" style="6" customWidth="1"/>
    <col min="13" max="13" width="14.7142857142857" style="6" customWidth="1"/>
    <col min="14" max="14" width="12.5714285714286" style="6" customWidth="1"/>
    <col min="15" max="15" width="13.2857142857143" style="6" customWidth="1"/>
    <col min="16" max="16" width="11.1428571428571" style="6" bestFit="1" customWidth="1"/>
    <col min="17" max="17" width="11.7142857142857" style="6" bestFit="1" customWidth="1"/>
    <col min="18" max="18" width="10.7142857142857" style="6" bestFit="1" customWidth="1"/>
    <col min="19" max="19" width="9.14285714285714" style="6"/>
    <col min="20" max="20" width="11.1428571428571" style="6" bestFit="1" customWidth="1"/>
  </cols>
  <sheetData>
    <row r="2" spans="2:14" ht="42" customHeight="1">
      <c r="B2" s="2" t="s">
        <v>8</v>
      </c>
      <c r="C2" s="2" t="s">
        <v>9</v>
      </c>
      <c r="D2" s="2" t="s">
        <v>51</v>
      </c>
      <c r="E2" s="2" t="s">
        <v>10</v>
      </c>
      <c r="F2" s="2" t="s">
        <v>1</v>
      </c>
      <c r="G2" s="7" t="s">
        <v>2</v>
      </c>
      <c r="H2" s="6" t="s">
        <v>78</v>
      </c>
      <c r="I2" s="6" t="s">
        <v>79</v>
      </c>
      <c r="J2" s="6" t="s">
        <v>92</v>
      </c>
      <c r="K2" s="6" t="s">
        <v>93</v>
      </c>
      <c r="L2" s="6" t="s">
        <v>88</v>
      </c>
      <c r="M2" s="6" t="s">
        <v>82</v>
      </c>
      <c r="N2" s="6" t="s">
        <v>80</v>
      </c>
    </row>
    <row r="4" ht="12.75">
      <c r="B4" s="40" t="s">
        <v>53</v>
      </c>
    </row>
    <row r="5" spans="1:14" ht="12.75">
      <c r="A5">
        <f>'Purchased Power Model '!A180</f>
        <v>2003</v>
      </c>
      <c r="B5" s="6">
        <f>'Purchased Power Model '!B180</f>
        <v>462324178</v>
      </c>
      <c r="C5" s="6">
        <f>'Purchased Power Model '!O180</f>
        <v>460075503.94144708</v>
      </c>
      <c r="D5" s="37">
        <f t="shared" si="0" ref="D5:D11">C5-B5</f>
        <v>-2248674.0585529208</v>
      </c>
      <c r="E5" s="5">
        <f t="shared" si="1" ref="E5:E11">D5/B5</f>
        <v>-0.0048638469834751336</v>
      </c>
      <c r="F5" s="51">
        <f>1+(B5-G5)/G5</f>
        <v>1.0685454240406858</v>
      </c>
      <c r="G5" s="173">
        <f t="shared" si="2" ref="G5:G11">SUM(H5:N5)</f>
        <v>432666845.60000199</v>
      </c>
      <c r="H5" s="133">
        <v>186765796.95000193</v>
      </c>
      <c r="I5" s="133">
        <v>53904198.56000004</v>
      </c>
      <c r="J5" s="133">
        <v>95605635.429999992</v>
      </c>
      <c r="K5" s="133">
        <v>93745282.329999998</v>
      </c>
      <c r="L5" s="133">
        <v>286934.61000000004</v>
      </c>
      <c r="M5" s="133">
        <v>2358997.7199999997</v>
      </c>
      <c r="N5" s="133">
        <v>0</v>
      </c>
    </row>
    <row r="6" spans="1:14" ht="12.75">
      <c r="A6">
        <f>'Purchased Power Model '!A181</f>
        <v>2004</v>
      </c>
      <c r="B6" s="6">
        <f>'Purchased Power Model '!B181</f>
        <v>468337202</v>
      </c>
      <c r="C6" s="6">
        <f>'Purchased Power Model '!O181</f>
        <v>466722845.60357416</v>
      </c>
      <c r="D6" s="37">
        <f t="shared" si="0"/>
        <v>-1614356.3964258432</v>
      </c>
      <c r="E6" s="5">
        <f t="shared" si="1"/>
        <v>-0.0034469958601021904</v>
      </c>
      <c r="F6" s="51">
        <f t="shared" si="3" ref="F6:F11">1+(B6-G6)/G6</f>
        <v>1.066663700609922</v>
      </c>
      <c r="G6" s="173">
        <f t="shared" si="2"/>
        <v>439067347.78000152</v>
      </c>
      <c r="H6" s="133">
        <v>187584209.03000146</v>
      </c>
      <c r="I6" s="133">
        <v>52548354.210000001</v>
      </c>
      <c r="J6" s="133">
        <v>100526809.53000002</v>
      </c>
      <c r="K6" s="133">
        <v>95675788.049999982</v>
      </c>
      <c r="L6" s="133">
        <v>284179.90999999992</v>
      </c>
      <c r="M6" s="133">
        <v>2448007.0499999998</v>
      </c>
      <c r="N6" s="133">
        <v>0</v>
      </c>
    </row>
    <row r="7" spans="1:14" ht="12.75">
      <c r="A7">
        <f>'Purchased Power Model '!A182</f>
        <v>2005</v>
      </c>
      <c r="B7" s="6">
        <f>'Purchased Power Model '!B182</f>
        <v>495175531</v>
      </c>
      <c r="C7" s="6">
        <f>'Purchased Power Model '!O182</f>
        <v>499338857.06327397</v>
      </c>
      <c r="D7" s="37">
        <f t="shared" si="0"/>
        <v>4163326.0632739663</v>
      </c>
      <c r="E7" s="5">
        <f t="shared" si="1"/>
        <v>0.0084077782576739771</v>
      </c>
      <c r="F7" s="51">
        <f t="shared" si="3"/>
        <v>1.0676145235379804</v>
      </c>
      <c r="G7" s="173">
        <f t="shared" si="2"/>
        <v>463814907.0500015</v>
      </c>
      <c r="H7" s="133">
        <v>204051554.23000142</v>
      </c>
      <c r="I7" s="133">
        <v>53400132.330000058</v>
      </c>
      <c r="J7" s="133">
        <v>108937029.5</v>
      </c>
      <c r="K7" s="133">
        <v>94637561.370000005</v>
      </c>
      <c r="L7" s="133">
        <v>321692.96000000002</v>
      </c>
      <c r="M7" s="133">
        <v>2465526.9299999997</v>
      </c>
      <c r="N7" s="133">
        <v>1409.73</v>
      </c>
    </row>
    <row r="8" spans="1:14" ht="12.75">
      <c r="A8">
        <f>'Purchased Power Model '!A183</f>
        <v>2006</v>
      </c>
      <c r="B8" s="6">
        <f>'Purchased Power Model '!B183</f>
        <v>494167336.1280427</v>
      </c>
      <c r="C8" s="6">
        <f>'Purchased Power Model '!O183</f>
        <v>499517795.82819325</v>
      </c>
      <c r="D8" s="37">
        <f t="shared" si="0"/>
        <v>5350459.7001505494</v>
      </c>
      <c r="E8" s="5">
        <f t="shared" si="1"/>
        <v>0.010827222499311858</v>
      </c>
      <c r="F8" s="51">
        <f t="shared" si="3"/>
        <v>1.0633203883394595</v>
      </c>
      <c r="G8" s="173">
        <f t="shared" si="2"/>
        <v>464739829.6385175</v>
      </c>
      <c r="H8" s="28">
        <f>+'CDM By Program'!B38</f>
        <v>208252114.42851749</v>
      </c>
      <c r="I8" s="28">
        <f>+'CDM By Program'!C38</f>
        <v>51568132.580000013</v>
      </c>
      <c r="J8" s="28">
        <f>+'CDM By Program'!D38</f>
        <v>111434995.56</v>
      </c>
      <c r="K8" s="28">
        <f>+'CDM By Program'!E38</f>
        <v>89631034.289999977</v>
      </c>
      <c r="L8" s="133">
        <v>367014.05</v>
      </c>
      <c r="M8" s="133">
        <v>2629569.87</v>
      </c>
      <c r="N8" s="133">
        <v>856968.85999999987</v>
      </c>
    </row>
    <row r="9" spans="1:14" ht="12.75">
      <c r="A9">
        <f>'Purchased Power Model '!A184</f>
        <v>2007</v>
      </c>
      <c r="B9" s="6">
        <f>'Purchased Power Model '!B184</f>
        <v>515242657.53544003</v>
      </c>
      <c r="C9" s="6">
        <f>'Purchased Power Model '!O184</f>
        <v>514528804.89293849</v>
      </c>
      <c r="D9" s="37">
        <f t="shared" si="0"/>
        <v>-713852.64250153303</v>
      </c>
      <c r="E9" s="5">
        <f t="shared" si="1"/>
        <v>-0.0013854688311641433</v>
      </c>
      <c r="F9" s="51">
        <f t="shared" si="3"/>
        <v>1.0593965456858918</v>
      </c>
      <c r="G9" s="173">
        <f t="shared" si="2"/>
        <v>486354858.93703115</v>
      </c>
      <c r="H9" s="28">
        <f>+'CDM By Program'!B39</f>
        <v>215639884.4250311</v>
      </c>
      <c r="I9" s="28">
        <f>+'CDM By Program'!C39</f>
        <v>53694751.762000032</v>
      </c>
      <c r="J9" s="28">
        <f>+'CDM By Program'!D39</f>
        <v>114821444.94</v>
      </c>
      <c r="K9" s="28">
        <f>+'CDM By Program'!E39</f>
        <v>98222154.929999992</v>
      </c>
      <c r="L9" s="133">
        <v>473516.96999999991</v>
      </c>
      <c r="M9" s="133">
        <v>2649774.84</v>
      </c>
      <c r="N9" s="133">
        <v>853331.06999999937</v>
      </c>
    </row>
    <row r="10" spans="1:14" ht="12.75">
      <c r="A10">
        <f>'Purchased Power Model '!A185</f>
        <v>2008</v>
      </c>
      <c r="B10" s="6">
        <f>'Purchased Power Model '!B185</f>
        <v>511888868.34364784</v>
      </c>
      <c r="C10" s="6">
        <f>'Purchased Power Model '!O185</f>
        <v>510735090.29953927</v>
      </c>
      <c r="D10" s="37">
        <f t="shared" si="0"/>
        <v>-1153778.0441085696</v>
      </c>
      <c r="E10" s="5">
        <f t="shared" si="1"/>
        <v>-0.0022539619738986012</v>
      </c>
      <c r="F10" s="51">
        <f t="shared" si="3"/>
        <v>1.0566381646660019</v>
      </c>
      <c r="G10" s="173">
        <f t="shared" si="2"/>
        <v>484450482.16240931</v>
      </c>
      <c r="H10" s="28">
        <f>+'CDM By Program'!B40</f>
        <v>215956299.65178156</v>
      </c>
      <c r="I10" s="28">
        <f>+'CDM By Program'!C40</f>
        <v>54967857.400627784</v>
      </c>
      <c r="J10" s="28">
        <f>+'CDM By Program'!D40</f>
        <v>115962505.42</v>
      </c>
      <c r="K10" s="28">
        <f>+'CDM By Program'!E40</f>
        <v>93577346.780000001</v>
      </c>
      <c r="L10" s="133">
        <v>458396.86999999988</v>
      </c>
      <c r="M10" s="133">
        <v>2670158.7100000004</v>
      </c>
      <c r="N10" s="133">
        <v>857917.32999999938</v>
      </c>
    </row>
    <row r="11" spans="1:14" ht="12.75">
      <c r="A11">
        <f>'Purchased Power Model '!A186</f>
        <v>2009</v>
      </c>
      <c r="B11" s="6">
        <f>'Purchased Power Model '!B186</f>
        <v>506197622.42757654</v>
      </c>
      <c r="C11" s="6">
        <f>'Purchased Power Model '!O186</f>
        <v>509082761.65482712</v>
      </c>
      <c r="D11" s="37">
        <f t="shared" si="0"/>
        <v>2885139.227250576</v>
      </c>
      <c r="E11" s="5">
        <f t="shared" si="1"/>
        <v>0.0056996301432912459</v>
      </c>
      <c r="F11" s="51">
        <f t="shared" si="3"/>
        <v>1.0551681415304357</v>
      </c>
      <c r="G11" s="173">
        <f t="shared" si="2"/>
        <v>479731715.26329255</v>
      </c>
      <c r="H11" s="28">
        <f>+'CDM By Program'!B41</f>
        <v>212713635.49544728</v>
      </c>
      <c r="I11" s="28">
        <f>+'CDM By Program'!C41</f>
        <v>54450452.833235905</v>
      </c>
      <c r="J11" s="28">
        <f>+'CDM By Program'!D41+WMP!B65</f>
        <v>120440901.12643015</v>
      </c>
      <c r="K11" s="28">
        <f>+'CDM By Program'!E41</f>
        <v>88022483.93817918</v>
      </c>
      <c r="L11" s="133">
        <v>530578</v>
      </c>
      <c r="M11" s="133">
        <v>2664323.25</v>
      </c>
      <c r="N11" s="133">
        <v>909340.61999999941</v>
      </c>
    </row>
    <row r="12" spans="1:14" ht="12.75">
      <c r="A12">
        <f>'Purchased Power Model '!A187</f>
        <v>2010</v>
      </c>
      <c r="B12" s="6">
        <f>'Purchased Power Model '!B187</f>
        <v>533302998.27428335</v>
      </c>
      <c r="C12" s="6">
        <f>'Purchased Power Model '!O187</f>
        <v>525964738.25066036</v>
      </c>
      <c r="D12" s="37">
        <f t="shared" si="4" ref="D12:D16">C12-B12</f>
        <v>-7338260.0236229897</v>
      </c>
      <c r="E12" s="5">
        <f t="shared" si="5" ref="E12:E16">D12/B12</f>
        <v>-0.013760020189964965</v>
      </c>
      <c r="F12" s="51">
        <f t="shared" si="6" ref="F12:F16">1+(B12-G12)/G12</f>
        <v>1.0581452726640623</v>
      </c>
      <c r="G12" s="173">
        <f>SUM(H12:N12)</f>
        <v>503997902.79419905</v>
      </c>
      <c r="H12" s="28">
        <f>+'CDM By Program'!B42</f>
        <v>218483109.41526213</v>
      </c>
      <c r="I12" s="28">
        <f>+'CDM By Program'!C42</f>
        <v>57950054.217326239</v>
      </c>
      <c r="J12" s="28">
        <f>+'CDM By Program'!D42+WMP!B66</f>
        <v>120657967.29093055</v>
      </c>
      <c r="K12" s="28">
        <f>+'CDM By Program'!E42</f>
        <v>102711186.54068013</v>
      </c>
      <c r="L12" s="133">
        <v>571306.28</v>
      </c>
      <c r="M12" s="133">
        <v>2708302.56</v>
      </c>
      <c r="N12" s="133">
        <v>915976.48999999941</v>
      </c>
    </row>
    <row r="13" spans="1:15" ht="12.75">
      <c r="A13">
        <f>'Purchased Power Model '!A188</f>
        <v>2011</v>
      </c>
      <c r="B13" s="6">
        <f>'Purchased Power Model '!B188</f>
        <v>533054367.40373558</v>
      </c>
      <c r="C13" s="6">
        <f>'Purchased Power Model '!O188</f>
        <v>529354156.42683506</v>
      </c>
      <c r="D13" s="37">
        <f t="shared" si="4"/>
        <v>-3700210.9769005179</v>
      </c>
      <c r="E13" s="5">
        <f t="shared" si="5"/>
        <v>-0.0069415264242605424</v>
      </c>
      <c r="F13" s="51">
        <f t="shared" si="6"/>
        <v>1.0599883977730198</v>
      </c>
      <c r="G13" s="173">
        <f>SUM(H13:N13)</f>
        <v>502886983.03080952</v>
      </c>
      <c r="H13" s="28">
        <f>+'CDM By Program'!B43</f>
        <v>212292285.48903894</v>
      </c>
      <c r="I13" s="28">
        <f>+'CDM By Program'!C43</f>
        <v>59283500.907326229</v>
      </c>
      <c r="J13" s="28">
        <f>+'CDM By Program'!D43+WMP!B67</f>
        <v>120442131.38787621</v>
      </c>
      <c r="K13" s="28">
        <f>+'CDM By Program'!E43</f>
        <v>106799063.24656813</v>
      </c>
      <c r="L13" s="133">
        <v>435095</v>
      </c>
      <c r="M13" s="133">
        <v>2743202</v>
      </c>
      <c r="N13" s="133">
        <v>891705</v>
      </c>
      <c r="O13" s="72"/>
    </row>
    <row r="14" spans="1:14" ht="12.75">
      <c r="A14">
        <f>'Purchased Power Model '!A189</f>
        <v>2012</v>
      </c>
      <c r="B14" s="6">
        <f>'Purchased Power Model '!B189</f>
        <v>527416502.77801406</v>
      </c>
      <c r="C14" s="6">
        <f>'Purchased Power Model '!O189</f>
        <v>532238498.64287007</v>
      </c>
      <c r="D14" s="37">
        <f t="shared" si="4"/>
        <v>4821995.8648560047</v>
      </c>
      <c r="E14" s="5">
        <f t="shared" si="5"/>
        <v>0.0091426715687839399</v>
      </c>
      <c r="F14" s="51">
        <f t="shared" si="6"/>
        <v>1.0469093313267983</v>
      </c>
      <c r="G14" s="173">
        <f t="shared" si="7" ref="G14:G16">SUM(H14:N14)</f>
        <v>503784317.31962299</v>
      </c>
      <c r="H14" s="28">
        <f>+'CDM By Program'!B44</f>
        <v>218115539.22785237</v>
      </c>
      <c r="I14" s="28">
        <f>+'CDM By Program'!C44</f>
        <v>59268857.75732626</v>
      </c>
      <c r="J14" s="28">
        <f>+'CDM By Program'!D44+WMP!B68</f>
        <v>118781620.30613004</v>
      </c>
      <c r="K14" s="28">
        <f>+'CDM By Program'!E44</f>
        <v>103523740.7583143</v>
      </c>
      <c r="L14" s="132">
        <f>+L13*1.01</f>
        <v>439445.95</v>
      </c>
      <c r="M14" s="132">
        <v>2762363.48</v>
      </c>
      <c r="N14" s="132">
        <v>892749.83999999973</v>
      </c>
    </row>
    <row r="15" spans="1:14" ht="12.75">
      <c r="A15">
        <f>'Purchased Power Model '!A190</f>
        <v>2013</v>
      </c>
      <c r="B15" s="6">
        <f>'Purchased Power Model '!B190</f>
        <v>536137475.4016602</v>
      </c>
      <c r="C15" s="6">
        <f>'Purchased Power Model '!O190</f>
        <v>536824517.90500426</v>
      </c>
      <c r="D15" s="37">
        <f t="shared" si="4"/>
        <v>687042.50334405899</v>
      </c>
      <c r="E15" s="5">
        <f t="shared" si="5"/>
        <v>0.0012814670394554022</v>
      </c>
      <c r="F15" s="51">
        <f t="shared" si="6"/>
        <v>1.0470814313150962</v>
      </c>
      <c r="G15" s="173">
        <f t="shared" si="7"/>
        <v>512030353.4829101</v>
      </c>
      <c r="H15" s="28">
        <f>+'CDM By Program'!B45</f>
        <v>212567993.47163951</v>
      </c>
      <c r="I15" s="28">
        <f>+'CDM By Program'!C45</f>
        <v>59257379.74732624</v>
      </c>
      <c r="J15" s="28">
        <f>+'CDM By Program'!D45+WMP!B69</f>
        <v>122267484.43183494</v>
      </c>
      <c r="K15" s="28">
        <f>+'CDM By Program'!E45</f>
        <v>113824139.36260942</v>
      </c>
      <c r="L15" s="132">
        <f t="shared" si="8" ref="L15:L16">+L14*1.01</f>
        <v>443840.40950000001</v>
      </c>
      <c r="M15" s="132">
        <v>2769251.2600000002</v>
      </c>
      <c r="N15" s="132">
        <v>900264.79999999993</v>
      </c>
    </row>
    <row r="16" spans="1:15" ht="12.75">
      <c r="A16">
        <f>'Purchased Power Model '!A191</f>
        <v>2014</v>
      </c>
      <c r="B16" s="6">
        <f>'Purchased Power Model '!B191</f>
        <v>549832621.70041287</v>
      </c>
      <c r="C16" s="6">
        <f>'Purchased Power Model '!O191</f>
        <v>548693790.48365068</v>
      </c>
      <c r="D16" s="37">
        <f t="shared" si="4"/>
        <v>-1138831.2167621851</v>
      </c>
      <c r="E16" s="5">
        <f t="shared" si="5"/>
        <v>-0.0020712325384409434</v>
      </c>
      <c r="F16" s="51">
        <f t="shared" si="6"/>
        <v>1.0521973509558824</v>
      </c>
      <c r="G16" s="173">
        <f t="shared" si="7"/>
        <v>522556553.86407334</v>
      </c>
      <c r="H16" s="28">
        <f>+'CDM By Program'!B46</f>
        <v>208601259.4806369</v>
      </c>
      <c r="I16" s="28">
        <f>+'CDM By Program'!C46</f>
        <v>53976407.622955889</v>
      </c>
      <c r="J16" s="28">
        <f>+'CDM By Program'!D46+WMP!B70</f>
        <v>135205064.93338111</v>
      </c>
      <c r="K16" s="28">
        <f>+'CDM By Program'!E46</f>
        <v>120619929.01350442</v>
      </c>
      <c r="L16" s="132">
        <f t="shared" si="8"/>
        <v>448278.81359500001</v>
      </c>
      <c r="M16" s="132">
        <v>2782603</v>
      </c>
      <c r="N16" s="132">
        <v>923011</v>
      </c>
      <c r="O16" s="72"/>
    </row>
    <row r="17" spans="1:14" ht="12.75">
      <c r="A17">
        <v>2015</v>
      </c>
      <c r="B17" s="6"/>
      <c r="C17" s="6">
        <f>'Purchased Power Model '!O192</f>
        <v>557091074.23105323</v>
      </c>
      <c r="F17" s="25">
        <f>AVERAGE(F5:F16)</f>
        <v>1.0584723893704364</v>
      </c>
      <c r="G17" s="134">
        <f>+C17/F17</f>
        <v>526316113.50996381</v>
      </c>
      <c r="H17" s="134">
        <f>+H66</f>
        <v>210416783.53398567</v>
      </c>
      <c r="I17" s="134">
        <f t="shared" si="9" ref="I17:N17">+I66</f>
        <v>60525071.04564669</v>
      </c>
      <c r="J17" s="134">
        <f t="shared" si="9"/>
        <v>134190842.4989544</v>
      </c>
      <c r="K17" s="134">
        <f t="shared" si="9"/>
        <v>116974711.41988847</v>
      </c>
      <c r="L17" s="134">
        <f t="shared" si="9"/>
        <v>453552.68199023529</v>
      </c>
      <c r="M17" s="134">
        <f t="shared" si="9"/>
        <v>2856493.9701827406</v>
      </c>
      <c r="N17" s="134">
        <f t="shared" si="9"/>
        <v>898658.35931569722</v>
      </c>
    </row>
    <row r="18" spans="1:14" ht="12.75">
      <c r="A18">
        <v>2016</v>
      </c>
      <c r="B18" s="6"/>
      <c r="C18" s="6">
        <f>'Purchased Power Model '!O193</f>
        <v>565451057.31606245</v>
      </c>
      <c r="F18" s="25">
        <f>+F17</f>
        <v>1.0584723893704364</v>
      </c>
      <c r="G18" s="134">
        <f>+C18/F18</f>
        <v>534214272.37453431</v>
      </c>
      <c r="H18" s="134">
        <f>+H67</f>
        <v>209957407.21145245</v>
      </c>
      <c r="I18" s="134">
        <f t="shared" si="10" ref="I18:N18">+I67</f>
        <v>61465748.061840639</v>
      </c>
      <c r="J18" s="134">
        <f t="shared" si="10"/>
        <v>141883646.23203093</v>
      </c>
      <c r="K18" s="134">
        <f t="shared" si="10"/>
        <v>116660067.50550972</v>
      </c>
      <c r="L18" s="134">
        <f t="shared" si="10"/>
        <v>461108.76979813684</v>
      </c>
      <c r="M18" s="134">
        <f t="shared" si="10"/>
        <v>2890323.2955556107</v>
      </c>
      <c r="N18" s="134">
        <f t="shared" si="10"/>
        <v>895971.2983467998</v>
      </c>
    </row>
    <row r="20" spans="1:6" ht="12.75">
      <c r="A20" s="21" t="s">
        <v>16</v>
      </c>
      <c r="F20" s="79"/>
    </row>
    <row r="21" spans="7:14" ht="12.75">
      <c r="G21" s="1"/>
      <c r="H21" s="1"/>
      <c r="I21" s="1"/>
      <c r="J21" s="1"/>
      <c r="K21" s="1"/>
      <c r="L21" s="1"/>
      <c r="M21" s="1"/>
      <c r="N21" s="1"/>
    </row>
    <row r="22" spans="6:14" ht="12.75">
      <c r="F22" s="25"/>
      <c r="G22" s="1"/>
      <c r="H22" s="1"/>
      <c r="I22" s="1"/>
      <c r="J22" s="1"/>
      <c r="K22" s="1"/>
      <c r="L22" s="1"/>
      <c r="M22" s="1"/>
      <c r="N22" s="1"/>
    </row>
    <row r="23" spans="1:2" ht="12.75">
      <c r="A23" s="23" t="s">
        <v>18</v>
      </c>
      <c r="B23" s="13"/>
    </row>
    <row r="24" spans="8:14" ht="12.75">
      <c r="H24" s="6" t="s">
        <v>78</v>
      </c>
      <c r="I24" s="6" t="s">
        <v>79</v>
      </c>
      <c r="J24" s="6" t="s">
        <v>92</v>
      </c>
      <c r="K24" s="6" t="s">
        <v>93</v>
      </c>
      <c r="L24" s="6" t="s">
        <v>88</v>
      </c>
      <c r="M24" s="6" t="s">
        <v>82</v>
      </c>
      <c r="N24" s="6" t="s">
        <v>80</v>
      </c>
    </row>
    <row r="25" spans="1:14" ht="12.75">
      <c r="A25">
        <f t="shared" si="11" ref="A25:A36">A5</f>
        <v>2003</v>
      </c>
      <c r="G25">
        <f>+A25</f>
        <v>2003</v>
      </c>
      <c r="H25" s="28">
        <f>H5/'Rate Class Customer Model'!B3</f>
        <v>11568.743616823709</v>
      </c>
      <c r="I25" s="28">
        <f>I5/'Rate Class Customer Model'!C3</f>
        <v>35323.852267365684</v>
      </c>
      <c r="J25" s="28">
        <f>J5/'Rate Class Customer Model'!D3</f>
        <v>666241.36188153329</v>
      </c>
      <c r="K25" s="28">
        <f>K5/'Rate Class Customer Model'!E3</f>
        <v>11718160.29125</v>
      </c>
      <c r="L25" s="28">
        <f>L5/'Rate Class Customer Model'!F3</f>
        <v>807.12970464135037</v>
      </c>
      <c r="M25" s="28">
        <f>M5/'Rate Class Customer Model'!G3</f>
        <v>620.21762061259358</v>
      </c>
      <c r="N25" s="28"/>
    </row>
    <row r="26" spans="1:14" ht="12.75">
      <c r="A26">
        <f t="shared" si="11"/>
        <v>2004</v>
      </c>
      <c r="G26">
        <f t="shared" si="12" ref="G26:G38">+A26</f>
        <v>2004</v>
      </c>
      <c r="H26" s="28">
        <f>H6/'Rate Class Customer Model'!B4</f>
        <v>11269.026134206504</v>
      </c>
      <c r="I26" s="28">
        <f>I6/'Rate Class Customer Model'!C4</f>
        <v>32925.033966165407</v>
      </c>
      <c r="J26" s="28">
        <f>J6/'Rate Class Customer Model'!D4</f>
        <v>670178.73020000034</v>
      </c>
      <c r="K26" s="28">
        <f>K6/'Rate Class Customer Model'!E4</f>
        <v>11959473.506249998</v>
      </c>
      <c r="L26" s="28">
        <f>L6/'Rate Class Customer Model'!F4</f>
        <v>870.38257274119394</v>
      </c>
      <c r="M26" s="28">
        <f>M6/'Rate Class Customer Model'!G4</f>
        <v>620.53410646387817</v>
      </c>
      <c r="N26" s="28"/>
    </row>
    <row r="27" spans="1:14" ht="12.75">
      <c r="A27">
        <f t="shared" si="11"/>
        <v>2005</v>
      </c>
      <c r="G27">
        <f t="shared" si="12"/>
        <v>2005</v>
      </c>
      <c r="H27" s="28">
        <f>H7/'Rate Class Customer Model'!B5</f>
        <v>11794.205781746798</v>
      </c>
      <c r="I27" s="28">
        <f>I7/'Rate Class Customer Model'!C5</f>
        <v>32168.754415662686</v>
      </c>
      <c r="J27" s="28">
        <f>J7/'Rate Class Customer Model'!D5</f>
        <v>707383.30844155839</v>
      </c>
      <c r="K27" s="28">
        <f>K7/'Rate Class Customer Model'!E5</f>
        <v>11829695.171250001</v>
      </c>
      <c r="L27" s="28">
        <f>L7/'Rate Class Customer Model'!F5</f>
        <v>988.3040245775727</v>
      </c>
      <c r="M27" s="28">
        <f>M7/'Rate Class Customer Model'!G5</f>
        <v>603.85180749448944</v>
      </c>
      <c r="N27" s="28">
        <f>N7/'Rate Class Customer Model'!H5</f>
        <v>1409.7300000000003</v>
      </c>
    </row>
    <row r="28" spans="1:14" ht="12.75">
      <c r="A28">
        <f t="shared" si="11"/>
        <v>2006</v>
      </c>
      <c r="G28">
        <f t="shared" si="12"/>
        <v>2006</v>
      </c>
      <c r="H28" s="28">
        <f>H8/'Rate Class Customer Model'!B6</f>
        <v>11626.077567537614</v>
      </c>
      <c r="I28" s="28">
        <f>I8/'Rate Class Customer Model'!C6</f>
        <v>32814.592796691068</v>
      </c>
      <c r="J28" s="28">
        <f>J8/'Rate Class Customer Model'!D6</f>
        <v>742899.97039999976</v>
      </c>
      <c r="K28" s="28">
        <f>K8/'Rate Class Customer Model'!E6</f>
        <v>9959003.8100000005</v>
      </c>
      <c r="L28" s="28">
        <f>L8/'Rate Class Customer Model'!F6</f>
        <v>1004.1424076607386</v>
      </c>
      <c r="M28" s="28">
        <f>M8/'Rate Class Customer Model'!G6</f>
        <v>623.63805763073674</v>
      </c>
      <c r="N28" s="28">
        <f>N8/'Rate Class Customer Model'!H6</f>
        <v>12886.749774436088</v>
      </c>
    </row>
    <row r="29" spans="1:14" ht="12.75">
      <c r="A29">
        <f t="shared" si="11"/>
        <v>2007</v>
      </c>
      <c r="G29">
        <f t="shared" si="12"/>
        <v>2007</v>
      </c>
      <c r="H29" s="28">
        <f>H9/'Rate Class Customer Model'!B7</f>
        <v>11793.91185873064</v>
      </c>
      <c r="I29" s="28">
        <f>I9/'Rate Class Customer Model'!C7</f>
        <v>35772.652739507015</v>
      </c>
      <c r="J29" s="28">
        <f>J9/'Rate Class Customer Model'!D7</f>
        <v>757897.32633663388</v>
      </c>
      <c r="K29" s="28">
        <f>K9/'Rate Class Customer Model'!E7</f>
        <v>9822215.4929999989</v>
      </c>
      <c r="L29" s="28">
        <f>L9/'Rate Class Customer Model'!F7</f>
        <v>1267.7830522088354</v>
      </c>
      <c r="M29" s="28">
        <f>M9/'Rate Class Customer Model'!G7</f>
        <v>617.44724222299863</v>
      </c>
      <c r="N29" s="28">
        <f>N9/'Rate Class Customer Model'!H7</f>
        <v>6391.9930337078631</v>
      </c>
    </row>
    <row r="30" spans="1:14" ht="12.75">
      <c r="A30">
        <f t="shared" si="11"/>
        <v>2008</v>
      </c>
      <c r="G30">
        <f t="shared" si="12"/>
        <v>2008</v>
      </c>
      <c r="H30" s="28">
        <f>H10/'Rate Class Customer Model'!B8</f>
        <v>11674.260056317087</v>
      </c>
      <c r="I30" s="28">
        <f>I10/'Rate Class Customer Model'!C8</f>
        <v>35647.118936853309</v>
      </c>
      <c r="J30" s="28">
        <f>J10/'Rate Class Customer Model'!D8</f>
        <v>738614.6842038217</v>
      </c>
      <c r="K30" s="28">
        <f>K10/'Rate Class Customer Model'!E8</f>
        <v>9357734.6779999994</v>
      </c>
      <c r="L30" s="28">
        <f>L10/'Rate Class Customer Model'!F8</f>
        <v>1410.4519076923077</v>
      </c>
      <c r="M30" s="28">
        <f>M10/'Rate Class Customer Model'!G8</f>
        <v>619.31084541342909</v>
      </c>
      <c r="N30" s="28">
        <f>N10/'Rate Class Customer Model'!H8</f>
        <v>6308.2156617647015</v>
      </c>
    </row>
    <row r="31" spans="1:14" ht="12.75">
      <c r="A31">
        <f t="shared" si="11"/>
        <v>2009</v>
      </c>
      <c r="G31">
        <f t="shared" si="12"/>
        <v>2009</v>
      </c>
      <c r="H31" s="28">
        <f>H11/'Rate Class Customer Model'!B9</f>
        <v>11376.581655058022</v>
      </c>
      <c r="I31" s="28">
        <f>I11/'Rate Class Customer Model'!C9</f>
        <v>35174.711132581324</v>
      </c>
      <c r="J31" s="28">
        <f>J11/'Rate Class Customer Model'!D9</f>
        <v>750410.59891856764</v>
      </c>
      <c r="K31" s="28">
        <f>K11/'Rate Class Customer Model'!E9</f>
        <v>8802248.3938179184</v>
      </c>
      <c r="L31" s="28">
        <f>L11/'Rate Class Customer Model'!F9</f>
        <v>1681.7052297939783</v>
      </c>
      <c r="M31" s="28">
        <f>M11/'Rate Class Customer Model'!G9</f>
        <v>614.96208886324314</v>
      </c>
      <c r="N31" s="28">
        <f>N11/'Rate Class Customer Model'!H9</f>
        <v>6686.3280882352901</v>
      </c>
    </row>
    <row r="32" spans="1:14" ht="12.75">
      <c r="A32">
        <f t="shared" si="11"/>
        <v>2010</v>
      </c>
      <c r="G32">
        <f t="shared" si="12"/>
        <v>2010</v>
      </c>
      <c r="H32" s="28">
        <f>H12/'Rate Class Customer Model'!B10</f>
        <v>11580.479125182848</v>
      </c>
      <c r="I32" s="28">
        <f>I12/'Rate Class Customer Model'!C10</f>
        <v>36094.708325958411</v>
      </c>
      <c r="J32" s="28">
        <f>J12/'Rate Class Customer Model'!D10</f>
        <v>718202.1862555393</v>
      </c>
      <c r="K32" s="28">
        <f>K12/'Rate Class Customer Model'!E10</f>
        <v>9337380.594607288</v>
      </c>
      <c r="L32" s="28">
        <f>L12/'Rate Class Customer Model'!F10</f>
        <v>1744.446656488549</v>
      </c>
      <c r="M32" s="28">
        <f>M12/'Rate Class Customer Model'!G10</f>
        <v>620.95668004127026</v>
      </c>
      <c r="N32" s="28">
        <f>N12/'Rate Class Customer Model'!H10</f>
        <v>6661.6471999999958</v>
      </c>
    </row>
    <row r="33" spans="1:14" ht="12.75">
      <c r="A33">
        <f t="shared" si="11"/>
        <v>2011</v>
      </c>
      <c r="G33">
        <f t="shared" si="12"/>
        <v>2011</v>
      </c>
      <c r="H33" s="28">
        <f>H13/'Rate Class Customer Model'!B11</f>
        <v>11093.869434000781</v>
      </c>
      <c r="I33" s="28">
        <f>I13/'Rate Class Customer Model'!C11</f>
        <v>34709.309664710905</v>
      </c>
      <c r="J33" s="28">
        <f>J13/'Rate Class Customer Model'!D11</f>
        <v>772064.94479407824</v>
      </c>
      <c r="K33" s="28">
        <f>K13/'Rate Class Customer Model'!E11</f>
        <v>8899921.9372140113</v>
      </c>
      <c r="L33" s="28">
        <f>L13/'Rate Class Customer Model'!F11</f>
        <v>2702.4534161490683</v>
      </c>
      <c r="M33" s="28">
        <f>M13/'Rate Class Customer Model'!G11</f>
        <v>625.30248461363124</v>
      </c>
      <c r="N33" s="28">
        <f>N13/'Rate Class Customer Model'!H11</f>
        <v>6192.395833333333</v>
      </c>
    </row>
    <row r="34" spans="1:14" ht="12.75">
      <c r="A34">
        <f t="shared" si="11"/>
        <v>2012</v>
      </c>
      <c r="G34">
        <f t="shared" si="12"/>
        <v>2012</v>
      </c>
      <c r="H34" s="28">
        <f>H14/'Rate Class Customer Model'!B12</f>
        <v>11363.735502128393</v>
      </c>
      <c r="I34" s="28">
        <f>I14/'Rate Class Customer Model'!C12</f>
        <v>34660.150735278512</v>
      </c>
      <c r="J34" s="28">
        <f>J14/'Rate Class Customer Model'!D12</f>
        <v>593908.10153065016</v>
      </c>
      <c r="K34" s="28">
        <f>K14/'Rate Class Customer Model'!E12</f>
        <v>8626978.3965261914</v>
      </c>
      <c r="L34" s="28">
        <f>L14/'Rate Class Customer Model'!F12</f>
        <v>2872.1957516339871</v>
      </c>
      <c r="M34" s="28">
        <f>M14/'Rate Class Customer Model'!G12</f>
        <v>625.39358840842203</v>
      </c>
      <c r="N34" s="28">
        <f>N14/'Rate Class Customer Model'!H12</f>
        <v>5912.250596026488</v>
      </c>
    </row>
    <row r="35" spans="1:14" ht="12.75">
      <c r="A35">
        <f t="shared" si="11"/>
        <v>2013</v>
      </c>
      <c r="G35">
        <f t="shared" si="12"/>
        <v>2013</v>
      </c>
      <c r="H35" s="28">
        <f>H15/'Rate Class Customer Model'!B13</f>
        <v>10894.77697051097</v>
      </c>
      <c r="I35" s="28">
        <f>I15/'Rate Class Customer Model'!C13</f>
        <v>34653.438448728797</v>
      </c>
      <c r="J35" s="28">
        <f>J15/'Rate Class Customer Model'!D13</f>
        <v>590664.17599920253</v>
      </c>
      <c r="K35" s="28">
        <f>K15/'Rate Class Customer Model'!E13</f>
        <v>8755703.0278930329</v>
      </c>
      <c r="L35" s="28">
        <f>L15/'Rate Class Customer Model'!F13</f>
        <v>2507.5729350282486</v>
      </c>
      <c r="M35" s="28">
        <f>M15/'Rate Class Customer Model'!G13</f>
        <v>618.55064998883188</v>
      </c>
      <c r="N35" s="28">
        <f>N15/'Rate Class Customer Model'!H13</f>
        <v>6166.1972602739725</v>
      </c>
    </row>
    <row r="36" spans="1:14" ht="12.75">
      <c r="A36">
        <f t="shared" si="11"/>
        <v>2014</v>
      </c>
      <c r="G36">
        <f t="shared" si="12"/>
        <v>2014</v>
      </c>
      <c r="H36" s="28">
        <f>H16/'Rate Class Customer Model'!B14</f>
        <v>10630.446898060282</v>
      </c>
      <c r="I36" s="28">
        <f>I16/'Rate Class Customer Model'!C14</f>
        <v>31732.162035835325</v>
      </c>
      <c r="J36" s="28">
        <f>J16/'Rate Class Customer Model'!D14</f>
        <v>682853.86329990462</v>
      </c>
      <c r="K36" s="28">
        <f>K16/'Rate Class Customer Model'!E14</f>
        <v>9186590.1761998795</v>
      </c>
      <c r="L36" s="28">
        <f>L16/'Rate Class Customer Model'!F14</f>
        <v>2636.934197617647</v>
      </c>
      <c r="M36" s="28">
        <f>M16/'Rate Class Customer Model'!G14</f>
        <v>621.53294616930975</v>
      </c>
      <c r="N36" s="28">
        <f>N16/'Rate Class Customer Model'!H14</f>
        <v>6259.3991590939913</v>
      </c>
    </row>
    <row r="37" spans="1:14" ht="12.75">
      <c r="A37">
        <v>2015</v>
      </c>
      <c r="G37">
        <f t="shared" si="12"/>
        <v>2015</v>
      </c>
      <c r="H37" s="134">
        <f>H36*H57</f>
        <v>10549.01734917188</v>
      </c>
      <c r="I37" s="134">
        <f t="shared" si="13" ref="I37:M37">I36*I57</f>
        <v>31424.340553666923</v>
      </c>
      <c r="J37" s="134">
        <f t="shared" si="13"/>
        <v>684384.4775064335</v>
      </c>
      <c r="K37" s="134">
        <f t="shared" si="13"/>
        <v>8985552.5549980849</v>
      </c>
      <c r="L37" s="134">
        <f t="shared" si="13"/>
        <v>2636.934197617647</v>
      </c>
      <c r="M37" s="134">
        <f t="shared" si="13"/>
        <v>621.65265945217425</v>
      </c>
      <c r="N37" s="134">
        <f>N36*N57</f>
        <v>6240.6830508034527</v>
      </c>
    </row>
    <row r="38" spans="1:14" ht="12.75">
      <c r="A38">
        <v>2016</v>
      </c>
      <c r="G38">
        <f t="shared" si="12"/>
        <v>2016</v>
      </c>
      <c r="H38" s="134">
        <f>H37*H57</f>
        <v>10468.211553122446</v>
      </c>
      <c r="I38" s="134">
        <f t="shared" si="14" ref="I38:N38">I37*I57</f>
        <v>31119.505129138633</v>
      </c>
      <c r="J38" s="134">
        <f t="shared" si="14"/>
        <v>685918.52257859148</v>
      </c>
      <c r="K38" s="134">
        <f t="shared" si="14"/>
        <v>8788914.4034975935</v>
      </c>
      <c r="L38" s="134">
        <f t="shared" si="14"/>
        <v>2636.934197617647</v>
      </c>
      <c r="M38" s="134">
        <f t="shared" si="14"/>
        <v>621.77239579297986</v>
      </c>
      <c r="N38" s="134">
        <f t="shared" si="14"/>
        <v>6222.0229051861097</v>
      </c>
    </row>
    <row r="40" spans="1:14" ht="12.75">
      <c r="A40" s="38"/>
      <c r="D40" s="6"/>
      <c r="H40" s="26"/>
      <c r="I40" s="26"/>
      <c r="J40" s="26"/>
      <c r="K40" s="26"/>
      <c r="L40" s="26"/>
      <c r="M40" s="26"/>
      <c r="N40" s="26"/>
    </row>
    <row r="41" spans="1:14" ht="12.75">
      <c r="A41" s="38"/>
      <c r="D41" s="6"/>
      <c r="H41" s="26"/>
      <c r="I41" s="26"/>
      <c r="J41" s="26"/>
      <c r="K41" s="26"/>
      <c r="L41" s="26"/>
      <c r="M41" s="26"/>
      <c r="N41" s="26"/>
    </row>
    <row r="42" spans="1:14" ht="12.75">
      <c r="A42" s="38"/>
      <c r="D42" s="6"/>
      <c r="H42" s="26"/>
      <c r="I42" s="26"/>
      <c r="J42" s="26"/>
      <c r="K42" s="26"/>
      <c r="L42" s="26"/>
      <c r="M42" s="26"/>
      <c r="N42" s="26"/>
    </row>
    <row r="43" spans="1:14" ht="12.75">
      <c r="A43" s="38"/>
      <c r="D43" s="6"/>
      <c r="H43" s="26"/>
      <c r="I43" s="26"/>
      <c r="J43" s="26"/>
      <c r="K43" s="26"/>
      <c r="L43" s="26"/>
      <c r="M43" s="26"/>
      <c r="N43" s="26"/>
    </row>
    <row r="44" spans="1:14" ht="12.75">
      <c r="A44" s="38"/>
      <c r="D44" s="6"/>
      <c r="H44" s="6" t="s">
        <v>78</v>
      </c>
      <c r="I44" s="6" t="s">
        <v>79</v>
      </c>
      <c r="J44" s="6" t="s">
        <v>92</v>
      </c>
      <c r="K44" s="6" t="s">
        <v>93</v>
      </c>
      <c r="L44" s="6" t="s">
        <v>88</v>
      </c>
      <c r="M44" s="6" t="s">
        <v>82</v>
      </c>
      <c r="N44" s="6" t="s">
        <v>80</v>
      </c>
    </row>
    <row r="45" spans="1:14" ht="12.75">
      <c r="A45" s="38">
        <v>2004</v>
      </c>
      <c r="D45" s="6"/>
      <c r="G45" s="224">
        <f>+A45</f>
        <v>2004</v>
      </c>
      <c r="H45" s="26">
        <f>H26/H25</f>
        <v>0.97409247775347496</v>
      </c>
      <c r="I45" s="26">
        <f t="shared" si="15" ref="I45:M45">I26/I25</f>
        <v>0.93209069376002196</v>
      </c>
      <c r="J45" s="26">
        <f t="shared" si="15"/>
        <v>1.0059098226915055</v>
      </c>
      <c r="K45" s="26">
        <f t="shared" si="15"/>
        <v>1.0205930972953312</v>
      </c>
      <c r="L45" s="26">
        <f t="shared" si="15"/>
        <v>1.0783676622680491</v>
      </c>
      <c r="M45" s="26">
        <f t="shared" si="15"/>
        <v>1.0005102819409935</v>
      </c>
      <c r="N45" s="26"/>
    </row>
    <row r="46" spans="1:14" ht="12.75">
      <c r="A46" s="38">
        <v>2005</v>
      </c>
      <c r="D46" s="6"/>
      <c r="G46" s="224">
        <f t="shared" si="16" ref="G46:G55">+A46</f>
        <v>2005</v>
      </c>
      <c r="H46" s="26">
        <f t="shared" si="17" ref="H46:N55">H27/H26</f>
        <v>1.0466038184032727</v>
      </c>
      <c r="I46" s="26">
        <f t="shared" si="17"/>
        <v>0.97703025754567507</v>
      </c>
      <c r="J46" s="26">
        <f t="shared" si="17"/>
        <v>1.0555144121486146</v>
      </c>
      <c r="K46" s="26">
        <f t="shared" si="17"/>
        <v>0.98914849094885526</v>
      </c>
      <c r="L46" s="26">
        <f t="shared" si="17"/>
        <v>1.1354823218311867</v>
      </c>
      <c r="M46" s="26">
        <f t="shared" si="17"/>
        <v>0.97311622552956345</v>
      </c>
      <c r="N46" s="26"/>
    </row>
    <row r="47" spans="1:14" ht="12.75">
      <c r="A47" s="38">
        <v>2006</v>
      </c>
      <c r="D47" s="6"/>
      <c r="G47" s="224">
        <f t="shared" si="16"/>
        <v>2006</v>
      </c>
      <c r="H47" s="26">
        <f t="shared" si="17"/>
        <v>0.98574484646779814</v>
      </c>
      <c r="I47" s="26">
        <f t="shared" si="17"/>
        <v>1.0200765740781661</v>
      </c>
      <c r="J47" s="26">
        <f t="shared" si="17"/>
        <v>1.050208510060392</v>
      </c>
      <c r="K47" s="26">
        <f t="shared" si="17"/>
        <v>0.84186478737031301</v>
      </c>
      <c r="L47" s="26">
        <f t="shared" si="17"/>
        <v>1.0160258206880577</v>
      </c>
      <c r="M47" s="26">
        <f t="shared" si="17"/>
        <v>1.0327667316561404</v>
      </c>
      <c r="N47" s="26"/>
    </row>
    <row r="48" spans="1:14" ht="12.75">
      <c r="A48" s="38">
        <v>2007</v>
      </c>
      <c r="D48" s="6"/>
      <c r="G48" s="224">
        <f t="shared" si="16"/>
        <v>2007</v>
      </c>
      <c r="H48" s="26">
        <f t="shared" si="17"/>
        <v>1.0144360202499985</v>
      </c>
      <c r="I48" s="26">
        <f t="shared" si="17"/>
        <v>1.0901446487891275</v>
      </c>
      <c r="J48" s="26">
        <f t="shared" si="17"/>
        <v>1.0201875845122985</v>
      </c>
      <c r="K48" s="26">
        <f t="shared" si="17"/>
        <v>0.98626485945686149</v>
      </c>
      <c r="L48" s="26">
        <f t="shared" si="17"/>
        <v>1.2625530428122014</v>
      </c>
      <c r="M48" s="26">
        <f t="shared" si="17"/>
        <v>0.99007306348291568</v>
      </c>
      <c r="N48" s="26"/>
    </row>
    <row r="49" spans="1:14" ht="12.75">
      <c r="A49" s="38">
        <v>2008</v>
      </c>
      <c r="D49" s="6"/>
      <c r="G49" s="224">
        <f t="shared" si="16"/>
        <v>2008</v>
      </c>
      <c r="H49" s="26">
        <f t="shared" si="17"/>
        <v>0.98985478237867452</v>
      </c>
      <c r="I49" s="26">
        <f t="shared" si="17"/>
        <v>0.99649078854822892</v>
      </c>
      <c r="J49" s="26">
        <f t="shared" si="17"/>
        <v>0.974557711892168</v>
      </c>
      <c r="K49" s="26">
        <f t="shared" si="17"/>
        <v>0.95271119684443684</v>
      </c>
      <c r="L49" s="26">
        <f t="shared" si="17"/>
        <v>1.1125341242217293</v>
      </c>
      <c r="M49" s="26">
        <f t="shared" si="17"/>
        <v>1.0030182387465543</v>
      </c>
      <c r="N49" s="26">
        <f t="shared" si="17"/>
        <v>0.98689338810268323</v>
      </c>
    </row>
    <row r="50" spans="1:14" ht="12.75">
      <c r="A50" s="38">
        <v>2009</v>
      </c>
      <c r="D50" s="6"/>
      <c r="G50" s="224">
        <f t="shared" si="16"/>
        <v>2009</v>
      </c>
      <c r="H50" s="26">
        <f t="shared" si="17"/>
        <v>0.97450130459463358</v>
      </c>
      <c r="I50" s="26">
        <f t="shared" si="17"/>
        <v>0.98674765820180799</v>
      </c>
      <c r="J50" s="26">
        <f t="shared" si="17"/>
        <v>1.0159703225064651</v>
      </c>
      <c r="K50" s="26">
        <f t="shared" si="17"/>
        <v>0.94063880807734079</v>
      </c>
      <c r="L50" s="26">
        <f t="shared" si="17"/>
        <v>1.1923166047862477</v>
      </c>
      <c r="M50" s="26">
        <f t="shared" si="17"/>
        <v>0.99297807137983696</v>
      </c>
      <c r="N50" s="26">
        <f t="shared" si="17"/>
        <v>1.0599396797358087</v>
      </c>
    </row>
    <row r="51" spans="1:14" ht="12.75">
      <c r="A51" s="38">
        <v>2010</v>
      </c>
      <c r="D51" s="6"/>
      <c r="G51" s="224">
        <f t="shared" si="16"/>
        <v>2010</v>
      </c>
      <c r="H51" s="26">
        <f t="shared" si="17"/>
        <v>1.0179225602476272</v>
      </c>
      <c r="I51" s="26">
        <f t="shared" si="17"/>
        <v>1.0261550745906458</v>
      </c>
      <c r="J51" s="26">
        <f t="shared" si="17"/>
        <v>0.95707894756624634</v>
      </c>
      <c r="K51" s="26">
        <f t="shared" si="17"/>
        <v>1.0607949442968696</v>
      </c>
      <c r="L51" s="26">
        <f t="shared" si="17"/>
        <v>1.0373082188144571</v>
      </c>
      <c r="M51" s="26">
        <f t="shared" si="17"/>
        <v>1.0097479036294874</v>
      </c>
      <c r="N51" s="26">
        <f t="shared" si="17"/>
        <v>0.99630875303909772</v>
      </c>
    </row>
    <row r="52" spans="1:14" ht="12.75">
      <c r="A52" s="38">
        <v>2011</v>
      </c>
      <c r="D52" s="6"/>
      <c r="G52" s="224">
        <f t="shared" si="16"/>
        <v>2011</v>
      </c>
      <c r="H52" s="26">
        <f t="shared" si="17"/>
        <v>0.95798017630169641</v>
      </c>
      <c r="I52" s="26">
        <f t="shared" si="17"/>
        <v>0.9616176795574447</v>
      </c>
      <c r="J52" s="26">
        <f t="shared" si="17"/>
        <v>1.0749966507612028</v>
      </c>
      <c r="K52" s="26">
        <f t="shared" si="17"/>
        <v>0.95314974548151898</v>
      </c>
      <c r="L52" s="26">
        <f>L33/L32</f>
        <v>1.5491751531049514</v>
      </c>
      <c r="M52" s="26">
        <f t="shared" si="17"/>
        <v>1.0069985632042353</v>
      </c>
      <c r="N52" s="26">
        <f t="shared" si="17"/>
        <v>0.92955925875710399</v>
      </c>
    </row>
    <row r="53" spans="1:14" ht="12.75">
      <c r="A53" s="38">
        <v>2012</v>
      </c>
      <c r="D53" s="6"/>
      <c r="G53" s="224">
        <f t="shared" si="16"/>
        <v>2012</v>
      </c>
      <c r="H53" s="26">
        <f t="shared" si="17"/>
        <v>1.0243256935493148</v>
      </c>
      <c r="I53" s="26">
        <f t="shared" si="17"/>
        <v>0.99858369613491982</v>
      </c>
      <c r="J53" s="26">
        <f t="shared" si="17"/>
        <v>0.76924629920745169</v>
      </c>
      <c r="K53" s="26">
        <f t="shared" si="17"/>
        <v>0.96933191744676572</v>
      </c>
      <c r="L53" s="26">
        <f t="shared" si="17"/>
        <v>1.06281045751634</v>
      </c>
      <c r="M53" s="26">
        <f t="shared" si="17"/>
        <v>1.0001456955586017</v>
      </c>
      <c r="N53" s="26">
        <f t="shared" si="17"/>
        <v>0.95475979817071155</v>
      </c>
    </row>
    <row r="54" spans="1:14" ht="12.75">
      <c r="A54" s="38">
        <v>2013</v>
      </c>
      <c r="D54" s="6"/>
      <c r="G54" s="224">
        <f t="shared" si="16"/>
        <v>2013</v>
      </c>
      <c r="H54" s="26">
        <f t="shared" si="17"/>
        <v>0.95873200924734747</v>
      </c>
      <c r="I54" s="26">
        <f t="shared" si="17"/>
        <v>0.99980633994926971</v>
      </c>
      <c r="J54" s="26">
        <f t="shared" si="17"/>
        <v>0.99453800087406241</v>
      </c>
      <c r="K54" s="26">
        <f t="shared" si="17"/>
        <v>1.0149211723329079</v>
      </c>
      <c r="L54" s="26">
        <f t="shared" si="17"/>
        <v>0.87305084745762707</v>
      </c>
      <c r="M54" s="26">
        <f t="shared" si="17"/>
        <v>0.98905818904059295</v>
      </c>
      <c r="N54" s="26">
        <f t="shared" si="17"/>
        <v>1.0429526218692689</v>
      </c>
    </row>
    <row r="55" spans="1:14" ht="12.75">
      <c r="A55" s="175">
        <v>2014</v>
      </c>
      <c r="D55" s="6"/>
      <c r="G55" s="224">
        <f t="shared" si="16"/>
        <v>2014</v>
      </c>
      <c r="H55" s="26">
        <f>H36/H35</f>
        <v>0.97573790880105638</v>
      </c>
      <c r="I55" s="26">
        <f t="shared" si="17"/>
        <v>0.91570024379498094</v>
      </c>
      <c r="J55" s="26">
        <f t="shared" si="17"/>
        <v>1.1560780068382319</v>
      </c>
      <c r="K55" s="26">
        <f t="shared" si="17"/>
        <v>1.0492121702773805</v>
      </c>
      <c r="L55" s="26">
        <f t="shared" si="17"/>
        <v>1.0515882352941177</v>
      </c>
      <c r="M55" s="26">
        <f t="shared" si="17"/>
        <v>1.0048214259907926</v>
      </c>
      <c r="N55" s="26">
        <f t="shared" si="17"/>
        <v>1.0151149719812691</v>
      </c>
    </row>
    <row r="56" spans="1:6" ht="12.75">
      <c r="A56" s="3"/>
      <c r="D56" s="6"/>
      <c r="E56" s="6"/>
      <c r="F56" s="6"/>
    </row>
    <row r="57" spans="1:14" ht="12.75">
      <c r="A57" t="s">
        <v>26</v>
      </c>
      <c r="D57" s="6"/>
      <c r="G57" s="4" t="s">
        <v>17</v>
      </c>
      <c r="H57" s="26">
        <f t="shared" si="18" ref="H57:N57">H59</f>
        <v>0.99233996936636226</v>
      </c>
      <c r="I57" s="26">
        <f t="shared" si="18"/>
        <v>0.99029938515312077</v>
      </c>
      <c r="J57" s="26">
        <f t="shared" si="18"/>
        <v>1.0022414960049171</v>
      </c>
      <c r="K57" s="26">
        <f t="shared" si="18"/>
        <v>0.97811618703502945</v>
      </c>
      <c r="L57" s="225">
        <v>1</v>
      </c>
      <c r="M57" s="26">
        <f>M59</f>
        <v>1.0001926097137768</v>
      </c>
      <c r="N57" s="26">
        <f t="shared" si="18"/>
        <v>0.99700991935250738</v>
      </c>
    </row>
    <row r="58" spans="1:14" ht="12.75">
      <c r="A58" s="3"/>
      <c r="D58" s="6"/>
      <c r="H58" s="13"/>
      <c r="I58" s="13"/>
      <c r="M58" s="11"/>
      <c r="N58" s="11"/>
    </row>
    <row r="59" spans="1:14" ht="12.75">
      <c r="A59" t="s">
        <v>17</v>
      </c>
      <c r="D59" s="6"/>
      <c r="H59" s="26">
        <f>GEOMEAN(H45:H55)</f>
        <v>0.99233996936636226</v>
      </c>
      <c r="I59" s="26">
        <f t="shared" si="19" ref="I59:M59">GEOMEAN(I45:I55)</f>
        <v>0.99029938515312077</v>
      </c>
      <c r="J59" s="26">
        <f t="shared" si="19"/>
        <v>1.0022414960049171</v>
      </c>
      <c r="K59" s="26">
        <f t="shared" si="19"/>
        <v>0.97811618703502945</v>
      </c>
      <c r="L59" s="26">
        <f t="shared" si="19"/>
        <v>1.1136313570024634</v>
      </c>
      <c r="M59" s="26">
        <f t="shared" si="19"/>
        <v>1.0001926097137768</v>
      </c>
      <c r="N59" s="26">
        <f>GEOMEAN(N45:N55)</f>
        <v>0.99700991935250738</v>
      </c>
    </row>
    <row r="60" spans="4:14" ht="12.75">
      <c r="D60" s="6"/>
      <c r="H60" s="26"/>
      <c r="I60" s="26"/>
      <c r="J60" s="26"/>
      <c r="K60" s="26"/>
      <c r="L60" s="26"/>
      <c r="M60" s="26"/>
      <c r="N60" s="26"/>
    </row>
    <row r="61" spans="1:15" ht="12.75">
      <c r="A61" s="21" t="s">
        <v>55</v>
      </c>
      <c r="H61" s="6" t="s">
        <v>78</v>
      </c>
      <c r="I61" s="6" t="s">
        <v>79</v>
      </c>
      <c r="J61" s="6" t="s">
        <v>92</v>
      </c>
      <c r="K61" s="6" t="s">
        <v>93</v>
      </c>
      <c r="L61" s="6" t="s">
        <v>88</v>
      </c>
      <c r="M61" s="6" t="s">
        <v>82</v>
      </c>
      <c r="N61" s="6" t="s">
        <v>80</v>
      </c>
      <c r="O61" s="6" t="s">
        <v>11</v>
      </c>
    </row>
    <row r="62" spans="1:15" ht="12.75">
      <c r="A62">
        <v>2015</v>
      </c>
      <c r="G62" s="224">
        <v>2015</v>
      </c>
      <c r="H62" s="37">
        <f>H37*'Rate Class Customer Model'!B15</f>
        <v>208881092.53095239</v>
      </c>
      <c r="I62" s="37">
        <f>I37*'Rate Class Customer Model'!C15</f>
        <v>60083339.13861116</v>
      </c>
      <c r="J62" s="37">
        <f>J37*'Rate Class Customer Model'!D15</f>
        <v>133454973.11375453</v>
      </c>
      <c r="K62" s="37">
        <f>K37*'Rate Class Customer Model'!E15</f>
        <v>116812183.2149751</v>
      </c>
      <c r="L62" s="37">
        <f>L37*'Rate Class Customer Model'!F15</f>
        <v>453552.68199023529</v>
      </c>
      <c r="M62" s="37">
        <f>M37*'Rate Class Customer Model'!G15</f>
        <v>2856493.9701827406</v>
      </c>
      <c r="N62" s="37">
        <f>N37*'Rate Class Customer Model'!H15</f>
        <v>898658.35931569722</v>
      </c>
      <c r="O62" s="37">
        <f>SUM(H62:N62)</f>
        <v>523440293.00978178</v>
      </c>
    </row>
    <row r="63" spans="1:15" ht="12.75">
      <c r="A63">
        <v>2016</v>
      </c>
      <c r="G63" s="224">
        <v>2016</v>
      </c>
      <c r="H63" s="37">
        <f>H38*'Rate Class Customer Model'!B16</f>
        <v>209058873.01680395</v>
      </c>
      <c r="I63" s="37">
        <f>I38*'Rate Class Customer Model'!C16</f>
        <v>61202699.107451566</v>
      </c>
      <c r="J63" s="37">
        <f>J38*'Rate Class Customer Model'!D16</f>
        <v>141427754.29306102</v>
      </c>
      <c r="K63" s="37">
        <f>K38*'Rate Class Customer Model'!E16</f>
        <v>116565253.82483061</v>
      </c>
      <c r="L63" s="37">
        <f>L38*'Rate Class Customer Model'!F16</f>
        <v>461108.76979813684</v>
      </c>
      <c r="M63" s="37">
        <f>M38*'Rate Class Customer Model'!G16</f>
        <v>2890323.2955556107</v>
      </c>
      <c r="N63" s="37">
        <f>N38*'Rate Class Customer Model'!H16</f>
        <v>895971.2983467998</v>
      </c>
      <c r="O63" s="37">
        <f>SUM(H63:N63)</f>
        <v>532501983.60584772</v>
      </c>
    </row>
    <row r="64" spans="7:15" ht="12.75">
      <c r="G64" s="37"/>
      <c r="H64" s="37"/>
      <c r="I64" s="37"/>
      <c r="J64" s="37"/>
      <c r="K64" s="37"/>
      <c r="L64" s="37"/>
      <c r="M64" s="37"/>
      <c r="N64" s="37"/>
      <c r="O64" s="37"/>
    </row>
    <row r="65" spans="1:15" ht="12.75">
      <c r="A65" s="21" t="s">
        <v>54</v>
      </c>
      <c r="G65" s="226"/>
      <c r="H65" s="37"/>
      <c r="I65" s="37"/>
      <c r="J65" s="37"/>
      <c r="K65" s="37"/>
      <c r="L65" s="37"/>
      <c r="M65" s="37"/>
      <c r="N65" s="37"/>
      <c r="O65" s="37" t="s">
        <v>25</v>
      </c>
    </row>
    <row r="66" spans="1:15" ht="12.75">
      <c r="A66">
        <v>2015</v>
      </c>
      <c r="G66" s="226">
        <f>G17</f>
        <v>526316113.50996381</v>
      </c>
      <c r="H66" s="37">
        <f t="shared" si="20" ref="H66:N67">H62+H77</f>
        <v>210416783.53398567</v>
      </c>
      <c r="I66" s="37">
        <f t="shared" si="20"/>
        <v>60525071.04564669</v>
      </c>
      <c r="J66" s="37">
        <f t="shared" si="20"/>
        <v>134190842.4989544</v>
      </c>
      <c r="K66" s="37">
        <f t="shared" si="20"/>
        <v>116974711.41988847</v>
      </c>
      <c r="L66" s="37">
        <f>L62+L77</f>
        <v>453552.68199023529</v>
      </c>
      <c r="M66" s="37">
        <f t="shared" si="20"/>
        <v>2856493.9701827406</v>
      </c>
      <c r="N66" s="37">
        <f t="shared" si="20"/>
        <v>898658.35931569722</v>
      </c>
      <c r="O66" s="37">
        <f>SUM(H66:N66)</f>
        <v>526316113.50996381</v>
      </c>
    </row>
    <row r="67" spans="1:15" ht="12.75">
      <c r="A67">
        <v>2016</v>
      </c>
      <c r="G67" s="226">
        <f>G18</f>
        <v>534214272.37453431</v>
      </c>
      <c r="H67" s="37">
        <f t="shared" si="20"/>
        <v>209957407.21145245</v>
      </c>
      <c r="I67" s="37">
        <f t="shared" si="20"/>
        <v>61465748.061840639</v>
      </c>
      <c r="J67" s="37">
        <f t="shared" si="20"/>
        <v>141883646.23203093</v>
      </c>
      <c r="K67" s="37">
        <f t="shared" si="20"/>
        <v>116660067.50550972</v>
      </c>
      <c r="L67" s="37">
        <f t="shared" si="20"/>
        <v>461108.76979813684</v>
      </c>
      <c r="M67" s="37">
        <f t="shared" si="20"/>
        <v>2890323.2955556107</v>
      </c>
      <c r="N67" s="37">
        <f t="shared" si="20"/>
        <v>895971.2983467998</v>
      </c>
      <c r="O67" s="37">
        <f>SUM(H67:N67)</f>
        <v>534214272.37453431</v>
      </c>
    </row>
    <row r="68" spans="7:15" ht="12.75">
      <c r="G68" s="226"/>
      <c r="H68" s="37"/>
      <c r="I68" s="37"/>
      <c r="J68" s="37"/>
      <c r="K68" s="37"/>
      <c r="L68" s="37"/>
      <c r="M68" s="37"/>
      <c r="N68" s="37"/>
      <c r="O68" s="37"/>
    </row>
    <row r="69" spans="7:15" ht="12.75">
      <c r="G69" s="226"/>
      <c r="H69" s="37"/>
      <c r="I69" s="37"/>
      <c r="J69" s="37"/>
      <c r="K69" s="37"/>
      <c r="L69" s="37"/>
      <c r="M69" s="37"/>
      <c r="N69" s="37"/>
      <c r="O69" s="37"/>
    </row>
    <row r="70" spans="1:15" ht="12.75">
      <c r="A70" t="s">
        <v>56</v>
      </c>
      <c r="G70" s="226"/>
      <c r="H70" s="78">
        <f>(100%+J70)/2</f>
        <v>0.80</v>
      </c>
      <c r="I70" s="78">
        <f>H70</f>
        <v>0.80</v>
      </c>
      <c r="J70" s="78">
        <v>0.60</v>
      </c>
      <c r="K70" s="78">
        <v>0.15140000000000001</v>
      </c>
      <c r="L70" s="78">
        <v>0</v>
      </c>
      <c r="M70" s="78">
        <v>0</v>
      </c>
      <c r="N70" s="78">
        <v>0</v>
      </c>
      <c r="O70" s="37"/>
    </row>
    <row r="71" spans="7:15" ht="12.75">
      <c r="G71" s="37"/>
      <c r="O71" s="37"/>
    </row>
    <row r="72" spans="2:20" s="77" customFormat="1" ht="12.75">
      <c r="B72" s="74"/>
      <c r="C72" s="74"/>
      <c r="D72" s="74"/>
      <c r="E72" s="74"/>
      <c r="F72" s="74"/>
      <c r="G72" s="75"/>
      <c r="H72" s="37" t="s">
        <v>78</v>
      </c>
      <c r="I72" s="37" t="s">
        <v>79</v>
      </c>
      <c r="J72" s="37" t="s">
        <v>92</v>
      </c>
      <c r="K72" s="37" t="s">
        <v>93</v>
      </c>
      <c r="L72" s="37" t="s">
        <v>88</v>
      </c>
      <c r="M72" s="37" t="s">
        <v>82</v>
      </c>
      <c r="N72" s="37" t="s">
        <v>80</v>
      </c>
      <c r="O72" s="37" t="s">
        <v>25</v>
      </c>
      <c r="P72" s="37">
        <f>G66-O62</f>
        <v>2875820.5001820326</v>
      </c>
      <c r="Q72" s="76"/>
      <c r="R72" s="76"/>
      <c r="S72" s="76"/>
      <c r="T72" s="76"/>
    </row>
    <row r="73" spans="1:16" ht="12.75">
      <c r="A73">
        <v>2015</v>
      </c>
      <c r="G73" s="223">
        <v>2015</v>
      </c>
      <c r="H73" s="37">
        <f t="shared" si="21" ref="H73:N73">H62*H70</f>
        <v>167104874.02476192</v>
      </c>
      <c r="I73" s="37">
        <f t="shared" si="21"/>
        <v>48066671.310888931</v>
      </c>
      <c r="J73" s="37">
        <f t="shared" si="21"/>
        <v>80072983.86825271</v>
      </c>
      <c r="K73" s="37">
        <f t="shared" si="21"/>
        <v>17685364.538747232</v>
      </c>
      <c r="L73" s="37">
        <f t="shared" si="21"/>
        <v>0</v>
      </c>
      <c r="M73" s="37">
        <f t="shared" si="21"/>
        <v>0</v>
      </c>
      <c r="N73" s="37">
        <f t="shared" si="21"/>
        <v>0</v>
      </c>
      <c r="O73" s="37">
        <f>SUM(H73:N73)</f>
        <v>312929893.74265081</v>
      </c>
      <c r="P73" s="37">
        <f>G67-O63</f>
        <v>1712288.7686865926</v>
      </c>
    </row>
    <row r="74" spans="1:15" ht="12.75">
      <c r="A74">
        <v>2016</v>
      </c>
      <c r="G74" s="223">
        <v>2016</v>
      </c>
      <c r="H74" s="37">
        <f t="shared" si="22" ref="H74:N74">H63*H70</f>
        <v>167247098.41344318</v>
      </c>
      <c r="I74" s="37">
        <f t="shared" si="22"/>
        <v>48962159.285961255</v>
      </c>
      <c r="J74" s="37">
        <f t="shared" si="22"/>
        <v>84856652.575836614</v>
      </c>
      <c r="K74" s="37">
        <f t="shared" si="22"/>
        <v>17647979.429079354</v>
      </c>
      <c r="L74" s="37">
        <f t="shared" si="22"/>
        <v>0</v>
      </c>
      <c r="M74" s="37">
        <f t="shared" si="22"/>
        <v>0</v>
      </c>
      <c r="N74" s="37">
        <f t="shared" si="22"/>
        <v>0</v>
      </c>
      <c r="O74" s="37">
        <f>SUM(H74:N74)</f>
        <v>318713889.70432037</v>
      </c>
    </row>
    <row r="75" spans="7:15" ht="12" customHeight="1">
      <c r="G75" s="37"/>
      <c r="H75" s="37"/>
      <c r="I75" s="37"/>
      <c r="J75" s="37"/>
      <c r="K75" s="37"/>
      <c r="L75" s="37"/>
      <c r="M75" s="37"/>
      <c r="N75" s="37"/>
      <c r="O75" s="37"/>
    </row>
    <row r="76" spans="1:15" ht="12.75">
      <c r="A76" t="s">
        <v>57</v>
      </c>
      <c r="G76" s="37"/>
      <c r="H76" s="37"/>
      <c r="I76" s="37"/>
      <c r="J76" s="37"/>
      <c r="K76" s="37"/>
      <c r="L76" s="37"/>
      <c r="M76" s="37"/>
      <c r="N76" s="37"/>
      <c r="O76" s="37"/>
    </row>
    <row r="77" spans="1:15" ht="12.75">
      <c r="A77">
        <v>2015</v>
      </c>
      <c r="G77" s="37"/>
      <c r="H77" s="37">
        <f t="shared" si="23" ref="H77:N77">H73/$O$73*$P$72</f>
        <v>1535691.0030332713</v>
      </c>
      <c r="I77" s="37">
        <f t="shared" si="23"/>
        <v>441731.90703552699</v>
      </c>
      <c r="J77" s="37">
        <f t="shared" si="23"/>
        <v>735869.38519987394</v>
      </c>
      <c r="K77" s="37">
        <f t="shared" si="23"/>
        <v>162528.20491336042</v>
      </c>
      <c r="L77" s="37">
        <f t="shared" si="23"/>
        <v>0</v>
      </c>
      <c r="M77" s="37">
        <f t="shared" si="23"/>
        <v>0</v>
      </c>
      <c r="N77" s="37">
        <f t="shared" si="23"/>
        <v>0</v>
      </c>
      <c r="O77" s="37">
        <f>SUM(H77:N77)</f>
        <v>2875820.5001820331</v>
      </c>
    </row>
    <row r="78" spans="1:15" ht="12.75">
      <c r="A78">
        <v>2016</v>
      </c>
      <c r="G78" s="37"/>
      <c r="H78" s="37">
        <f t="shared" si="24" ref="H78:N78">H74/$O$74*$P$73</f>
        <v>898534.19464849262</v>
      </c>
      <c r="I78" s="37">
        <f t="shared" si="24"/>
        <v>263048.95438907173</v>
      </c>
      <c r="J78" s="37">
        <f t="shared" si="24"/>
        <v>455891.93896991189</v>
      </c>
      <c r="K78" s="37">
        <f t="shared" si="24"/>
        <v>94813.680679116544</v>
      </c>
      <c r="L78" s="37">
        <f t="shared" si="24"/>
        <v>0</v>
      </c>
      <c r="M78" s="37">
        <f t="shared" si="24"/>
        <v>0</v>
      </c>
      <c r="N78" s="37">
        <f t="shared" si="24"/>
        <v>0</v>
      </c>
      <c r="O78" s="37">
        <f>SUM(H78:N78)</f>
        <v>1712288.7686865928</v>
      </c>
    </row>
    <row r="86" ht="12.75">
      <c r="A86" s="3"/>
    </row>
    <row r="87" ht="12.75">
      <c r="G87" s="224"/>
    </row>
    <row r="88" ht="12.75">
      <c r="G88" s="224"/>
    </row>
  </sheetData>
  <pageMargins left="0.38" right="0.75" top="0.73" bottom="0.74" header="0.5" footer="0.5"/>
  <pageSetup orientation="portrait" scale="6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L93"/>
  <sheetViews>
    <sheetView workbookViewId="0" topLeftCell="A1">
      <pane xSplit="1" ySplit="2" topLeftCell="B3" activePane="bottomRight" state="frozen"/>
      <selection pane="topLeft" activeCell="A1" sqref="A1"/>
      <selection pane="bottomLeft" activeCell="A3" sqref="A3"/>
      <selection pane="topRight" activeCell="B1" sqref="B1"/>
      <selection pane="bottomRight" activeCell="G36" sqref="G36"/>
    </sheetView>
  </sheetViews>
  <sheetFormatPr defaultColWidth="9.14285714285714" defaultRowHeight="12.75"/>
  <cols>
    <col min="1" max="1" width="21.7142857142857" customWidth="1"/>
    <col min="2" max="2" width="15" style="6" customWidth="1"/>
    <col min="3" max="4" width="14.1428571428571" style="6" bestFit="1" customWidth="1"/>
    <col min="5" max="6" width="14.1428571428571" style="6" customWidth="1"/>
    <col min="7" max="7" width="17.5714285714286" style="6" customWidth="1"/>
    <col min="8" max="8" width="12.5714285714286" style="6" customWidth="1"/>
    <col min="9" max="10" width="12.7142857142857" style="6" bestFit="1" customWidth="1"/>
    <col min="11" max="11" width="11.7142857142857" style="6" bestFit="1" customWidth="1"/>
    <col min="12" max="12" width="10.7142857142857" style="6" bestFit="1" customWidth="1"/>
    <col min="13" max="14" width="9.14285714285714" style="6"/>
  </cols>
  <sheetData>
    <row r="2" spans="2:9" ht="42" customHeight="1">
      <c r="B2" s="71" t="str">
        <f>'Rate Class Energy Model'!H2</f>
        <v>Residential</v>
      </c>
      <c r="C2" s="71" t="str">
        <f>'Rate Class Energy Model'!I2</f>
        <v>GS&lt;50</v>
      </c>
      <c r="D2" s="71" t="str">
        <f>'Rate Class Energy Model'!J2</f>
        <v>GS&gt;50 to 999</v>
      </c>
      <c r="E2" s="71" t="str">
        <f>'Rate Class Energy Model'!K2</f>
        <v>GS&gt; 1000 to 4999</v>
      </c>
      <c r="F2" s="71" t="str">
        <f>'Rate Class Energy Model'!L2</f>
        <v>Sentinels</v>
      </c>
      <c r="G2" s="71" t="str">
        <f>'Rate Class Energy Model'!M2</f>
        <v>Streetlights</v>
      </c>
      <c r="H2" s="71" t="str">
        <f>'Rate Class Energy Model'!N2</f>
        <v>USL</v>
      </c>
      <c r="I2" s="72" t="s">
        <v>11</v>
      </c>
    </row>
    <row r="3" spans="1:12" ht="12.75">
      <c r="A3" s="4">
        <v>2003</v>
      </c>
      <c r="B3" s="135">
        <v>16143.999999999996</v>
      </c>
      <c r="C3" s="135">
        <v>1526</v>
      </c>
      <c r="D3" s="135">
        <v>143.49999999999994</v>
      </c>
      <c r="E3" s="135">
        <v>8</v>
      </c>
      <c r="F3" s="135">
        <v>355.50</v>
      </c>
      <c r="G3" s="135">
        <v>3803.50</v>
      </c>
      <c r="H3" s="135">
        <v>0</v>
      </c>
      <c r="I3" s="136">
        <f>SUM(B3:H3)</f>
        <v>21980.499999999996</v>
      </c>
      <c r="L3"/>
    </row>
    <row r="4" spans="1:12" ht="12.75">
      <c r="A4" s="4">
        <v>2004</v>
      </c>
      <c r="B4" s="135">
        <v>16646</v>
      </c>
      <c r="C4" s="135">
        <v>1596.0000000000005</v>
      </c>
      <c r="D4" s="135">
        <v>149.99999999999994</v>
      </c>
      <c r="E4" s="135">
        <v>8</v>
      </c>
      <c r="F4" s="135">
        <v>326.50000000000011</v>
      </c>
      <c r="G4" s="135">
        <v>3945.0000000000009</v>
      </c>
      <c r="H4" s="135">
        <v>0</v>
      </c>
      <c r="I4" s="136">
        <f t="shared" si="0" ref="I4:I14">SUM(B4:H4)</f>
        <v>22671.50</v>
      </c>
      <c r="L4"/>
    </row>
    <row r="5" spans="1:12" ht="12.75">
      <c r="A5" s="4">
        <v>2005</v>
      </c>
      <c r="B5" s="135">
        <v>17301.000000000007</v>
      </c>
      <c r="C5" s="135">
        <v>1660</v>
      </c>
      <c r="D5" s="135">
        <v>154</v>
      </c>
      <c r="E5" s="135">
        <v>8</v>
      </c>
      <c r="F5" s="135">
        <v>325.50000000000011</v>
      </c>
      <c r="G5" s="135">
        <v>4082.9999999999991</v>
      </c>
      <c r="H5" s="135">
        <v>0.99999999999999989</v>
      </c>
      <c r="I5" s="136">
        <f t="shared" si="0"/>
        <v>23532.500000000007</v>
      </c>
      <c r="L5"/>
    </row>
    <row r="6" spans="1:12" ht="12.75">
      <c r="A6" s="4">
        <v>2006</v>
      </c>
      <c r="B6" s="135">
        <v>17912.50</v>
      </c>
      <c r="C6" s="135">
        <v>1571.50</v>
      </c>
      <c r="D6" s="135">
        <v>150.00000000000006</v>
      </c>
      <c r="E6" s="135">
        <v>8.9999999999999964</v>
      </c>
      <c r="F6" s="135">
        <v>365.50</v>
      </c>
      <c r="G6" s="135">
        <v>4216.4999999999982</v>
      </c>
      <c r="H6" s="135">
        <v>66.50</v>
      </c>
      <c r="I6" s="136">
        <f t="shared" si="0"/>
        <v>24291.50</v>
      </c>
      <c r="L6"/>
    </row>
    <row r="7" spans="1:12" ht="12.75">
      <c r="A7" s="4">
        <v>2007</v>
      </c>
      <c r="B7" s="135">
        <v>18284.000000000007</v>
      </c>
      <c r="C7" s="135">
        <v>1501</v>
      </c>
      <c r="D7" s="135">
        <v>151.49999999999994</v>
      </c>
      <c r="E7" s="135">
        <v>10</v>
      </c>
      <c r="F7" s="135">
        <v>373.49999999999989</v>
      </c>
      <c r="G7" s="135">
        <v>4291.5000000000018</v>
      </c>
      <c r="H7" s="135">
        <v>133.49999999999994</v>
      </c>
      <c r="I7" s="136">
        <f t="shared" si="0"/>
        <v>24745.000000000007</v>
      </c>
      <c r="L7"/>
    </row>
    <row r="8" spans="1:12" ht="12.75">
      <c r="A8" s="4">
        <v>2008</v>
      </c>
      <c r="B8" s="135">
        <v>18498.499999999993</v>
      </c>
      <c r="C8" s="135">
        <v>1541.9999999999996</v>
      </c>
      <c r="D8" s="135">
        <v>157</v>
      </c>
      <c r="E8" s="135">
        <v>10</v>
      </c>
      <c r="F8" s="135">
        <v>324.99999999999989</v>
      </c>
      <c r="G8" s="135">
        <v>4311.5000000000018</v>
      </c>
      <c r="H8" s="135">
        <v>136</v>
      </c>
      <c r="I8" s="136">
        <f t="shared" si="0"/>
        <v>24979.999999999993</v>
      </c>
      <c r="L8"/>
    </row>
    <row r="9" spans="1:12" ht="12.75">
      <c r="A9" s="4">
        <v>2009</v>
      </c>
      <c r="B9" s="136">
        <v>18697.499999999993</v>
      </c>
      <c r="C9" s="136">
        <v>1548.0000000000005</v>
      </c>
      <c r="D9" s="136">
        <v>160.50000000000006</v>
      </c>
      <c r="E9" s="135">
        <v>10</v>
      </c>
      <c r="F9" s="136">
        <v>315.49999999999989</v>
      </c>
      <c r="G9" s="136">
        <v>4332.4999999999982</v>
      </c>
      <c r="H9" s="136">
        <v>136</v>
      </c>
      <c r="I9" s="136">
        <f t="shared" si="0"/>
        <v>25199.999999999993</v>
      </c>
      <c r="L9"/>
    </row>
    <row r="10" spans="1:9" ht="12.75">
      <c r="A10" s="4">
        <v>2010</v>
      </c>
      <c r="B10" s="135">
        <v>18866.499999999993</v>
      </c>
      <c r="C10" s="135">
        <v>1605.5000000000005</v>
      </c>
      <c r="D10" s="135">
        <v>167.99999999999994</v>
      </c>
      <c r="E10" s="135">
        <v>10.999999999999996</v>
      </c>
      <c r="F10" s="135">
        <v>327.50000000000011</v>
      </c>
      <c r="G10" s="135">
        <v>4361.50</v>
      </c>
      <c r="H10" s="135">
        <v>137.50</v>
      </c>
      <c r="I10" s="136">
        <f t="shared" si="0"/>
        <v>25477.499999999993</v>
      </c>
    </row>
    <row r="11" spans="1:9" ht="12.75">
      <c r="A11" s="4">
        <v>2011</v>
      </c>
      <c r="B11" s="135">
        <v>19136</v>
      </c>
      <c r="C11" s="135">
        <v>1708</v>
      </c>
      <c r="D11" s="135">
        <v>156</v>
      </c>
      <c r="E11" s="135">
        <v>12</v>
      </c>
      <c r="F11" s="135">
        <v>161</v>
      </c>
      <c r="G11" s="135">
        <v>4387</v>
      </c>
      <c r="H11" s="135">
        <v>144</v>
      </c>
      <c r="I11" s="136">
        <f>SUM(B11:H11)</f>
        <v>25704</v>
      </c>
    </row>
    <row r="12" spans="1:10" ht="12.75">
      <c r="A12" s="4">
        <v>2012</v>
      </c>
      <c r="B12" s="135">
        <v>19194</v>
      </c>
      <c r="C12" s="135">
        <v>1710</v>
      </c>
      <c r="D12" s="135">
        <v>200</v>
      </c>
      <c r="E12" s="135">
        <v>12</v>
      </c>
      <c r="F12" s="135">
        <v>153</v>
      </c>
      <c r="G12" s="135">
        <v>4417</v>
      </c>
      <c r="H12" s="135">
        <v>151</v>
      </c>
      <c r="I12" s="136">
        <f t="shared" si="0"/>
        <v>25837</v>
      </c>
      <c r="J12" s="174"/>
    </row>
    <row r="13" spans="1:9" ht="12.75">
      <c r="A13" s="4">
        <v>2013</v>
      </c>
      <c r="B13" s="135">
        <v>19511</v>
      </c>
      <c r="C13" s="135">
        <v>1710</v>
      </c>
      <c r="D13" s="135">
        <v>207</v>
      </c>
      <c r="E13" s="135">
        <v>13</v>
      </c>
      <c r="F13" s="135">
        <v>177</v>
      </c>
      <c r="G13" s="135">
        <v>4477</v>
      </c>
      <c r="H13" s="135">
        <v>146</v>
      </c>
      <c r="I13" s="136">
        <f t="shared" si="0"/>
        <v>26241</v>
      </c>
    </row>
    <row r="14" spans="1:10" ht="12.75">
      <c r="A14" s="4">
        <v>2014</v>
      </c>
      <c r="B14" s="135">
        <v>19623</v>
      </c>
      <c r="C14" s="135">
        <v>1701</v>
      </c>
      <c r="D14" s="135">
        <v>198</v>
      </c>
      <c r="E14" s="135">
        <f t="shared" si="1" ref="E14:H14">+E13*1.01</f>
        <v>13.13</v>
      </c>
      <c r="F14" s="135">
        <v>170</v>
      </c>
      <c r="G14" s="135">
        <v>4477</v>
      </c>
      <c r="H14" s="135">
        <f t="shared" si="1"/>
        <v>147.46</v>
      </c>
      <c r="I14" s="136">
        <f t="shared" si="0"/>
        <v>26329.59</v>
      </c>
      <c r="J14" s="72"/>
    </row>
    <row r="15" spans="1:10" ht="12.75">
      <c r="A15" s="4">
        <v>2015</v>
      </c>
      <c r="B15" s="135">
        <v>19801</v>
      </c>
      <c r="C15" s="135">
        <v>1912</v>
      </c>
      <c r="D15" s="135">
        <v>195</v>
      </c>
      <c r="E15" s="135">
        <v>13</v>
      </c>
      <c r="F15" s="135">
        <v>172</v>
      </c>
      <c r="G15" s="135">
        <v>4595</v>
      </c>
      <c r="H15" s="135">
        <v>144</v>
      </c>
      <c r="I15" s="136">
        <f>SUM(B15:H15)</f>
        <v>26832</v>
      </c>
      <c r="J15" s="218"/>
    </row>
    <row r="16" spans="1:10" ht="12.75">
      <c r="A16" s="4">
        <v>2016</v>
      </c>
      <c r="B16" s="137">
        <f t="shared" si="2" ref="B16:H16">B15*B36</f>
        <v>19970.829969943254</v>
      </c>
      <c r="C16" s="137">
        <f t="shared" si="2"/>
        <v>1966.6989835948466</v>
      </c>
      <c r="D16" s="137">
        <f t="shared" si="2"/>
        <v>206.18739637090999</v>
      </c>
      <c r="E16" s="137">
        <f t="shared" si="2"/>
        <v>13.262759024987531</v>
      </c>
      <c r="F16" s="137">
        <f t="shared" si="2"/>
        <v>174.86548212493437</v>
      </c>
      <c r="G16" s="137">
        <f t="shared" si="2"/>
        <v>4648.5230208224757</v>
      </c>
      <c r="H16" s="137">
        <f t="shared" si="2"/>
        <v>144</v>
      </c>
      <c r="I16" s="137">
        <f t="shared" si="3" ref="I16">SUM(B16:H16)</f>
        <v>27124.367611881407</v>
      </c>
      <c r="J16" s="218"/>
    </row>
    <row r="17" ht="12.75">
      <c r="A17" s="22"/>
    </row>
    <row r="18" spans="1:3" ht="12.75">
      <c r="A18" s="21" t="s">
        <v>52</v>
      </c>
      <c r="C18" s="218"/>
    </row>
    <row r="19" ht="12.75">
      <c r="A19" s="22"/>
    </row>
    <row r="20" spans="1:9" ht="25.5">
      <c r="A20" s="22"/>
      <c r="B20" s="71" t="s">
        <v>78</v>
      </c>
      <c r="C20" s="71" t="s">
        <v>79</v>
      </c>
      <c r="D20" s="71" t="s">
        <v>92</v>
      </c>
      <c r="E20" s="71" t="s">
        <v>93</v>
      </c>
      <c r="F20" s="71" t="s">
        <v>88</v>
      </c>
      <c r="G20" s="71" t="s">
        <v>82</v>
      </c>
      <c r="H20" s="71" t="s">
        <v>80</v>
      </c>
      <c r="I20" s="72"/>
    </row>
    <row r="21" spans="2:8" ht="12.75">
      <c r="B21" s="5"/>
      <c r="C21" s="5"/>
      <c r="D21" s="5"/>
      <c r="E21" s="5"/>
      <c r="F21" s="5"/>
      <c r="G21" s="5"/>
      <c r="H21" s="5"/>
    </row>
    <row r="22" spans="1:8" ht="12.75">
      <c r="A22" s="4">
        <v>2004</v>
      </c>
      <c r="B22" s="25">
        <f t="shared" si="4" ref="B22:G33">B4/B3</f>
        <v>1.0310951437066405</v>
      </c>
      <c r="C22" s="25">
        <f t="shared" si="4"/>
        <v>1.0458715596330279</v>
      </c>
      <c r="D22" s="25">
        <f t="shared" si="4"/>
        <v>1.0452961672473868</v>
      </c>
      <c r="E22" s="25">
        <f t="shared" si="4"/>
        <v>1</v>
      </c>
      <c r="F22" s="25">
        <f t="shared" si="4"/>
        <v>0.91842475386779221</v>
      </c>
      <c r="G22" s="25">
        <f t="shared" si="4"/>
        <v>1.0372025765742081</v>
      </c>
      <c r="H22" s="25"/>
    </row>
    <row r="23" spans="1:8" ht="12.75">
      <c r="A23" s="4">
        <v>2005</v>
      </c>
      <c r="B23" s="25">
        <f t="shared" si="4"/>
        <v>1.0393487925027038</v>
      </c>
      <c r="C23" s="25">
        <f t="shared" si="4"/>
        <v>1.0401002506265662</v>
      </c>
      <c r="D23" s="25">
        <f t="shared" si="4"/>
        <v>1.0266666666666671</v>
      </c>
      <c r="E23" s="25">
        <f t="shared" si="4"/>
        <v>1</v>
      </c>
      <c r="F23" s="25">
        <f t="shared" si="4"/>
        <v>0.99693721286370596</v>
      </c>
      <c r="G23" s="25">
        <f t="shared" si="4"/>
        <v>1.0349809885931554</v>
      </c>
      <c r="H23" s="25"/>
    </row>
    <row r="24" spans="1:8" ht="12.75">
      <c r="A24" s="4">
        <v>2006</v>
      </c>
      <c r="B24" s="25">
        <f t="shared" si="4"/>
        <v>1.0353447777585105</v>
      </c>
      <c r="C24" s="25">
        <f t="shared" si="4"/>
        <v>0.94668674698795185</v>
      </c>
      <c r="D24" s="25">
        <f t="shared" si="4"/>
        <v>0.97402597402597435</v>
      </c>
      <c r="E24" s="25">
        <f t="shared" si="4"/>
        <v>1.1249999999999996</v>
      </c>
      <c r="F24" s="25">
        <f t="shared" si="4"/>
        <v>1.1228878648233482</v>
      </c>
      <c r="G24" s="25">
        <f t="shared" si="4"/>
        <v>1.0326965466568698</v>
      </c>
      <c r="H24" s="25"/>
    </row>
    <row r="25" spans="1:8" ht="12.75">
      <c r="A25" s="4">
        <v>2007</v>
      </c>
      <c r="B25" s="25">
        <f t="shared" si="4"/>
        <v>1.0207397069085837</v>
      </c>
      <c r="C25" s="25">
        <f t="shared" si="4"/>
        <v>0.95513840279987272</v>
      </c>
      <c r="D25" s="25">
        <f t="shared" si="4"/>
        <v>1.0099999999999993</v>
      </c>
      <c r="E25" s="25">
        <f t="shared" si="4"/>
        <v>1.1111111111111116</v>
      </c>
      <c r="F25" s="25">
        <f t="shared" si="4"/>
        <v>1.0218878248974006</v>
      </c>
      <c r="G25" s="25">
        <f t="shared" si="4"/>
        <v>1.0177872643187487</v>
      </c>
      <c r="H25" s="25">
        <f t="shared" si="5" ref="H25:H33">H7/H6</f>
        <v>2.0075187969924801</v>
      </c>
    </row>
    <row r="26" spans="1:8" ht="12.75">
      <c r="A26" s="4">
        <v>2008</v>
      </c>
      <c r="B26" s="25">
        <f t="shared" si="4"/>
        <v>1.011731568584554</v>
      </c>
      <c r="C26" s="25">
        <f t="shared" si="4"/>
        <v>1.0273151232511657</v>
      </c>
      <c r="D26" s="25">
        <f t="shared" si="4"/>
        <v>1.0363036303630366</v>
      </c>
      <c r="E26" s="25">
        <f t="shared" si="4"/>
        <v>1</v>
      </c>
      <c r="F26" s="25">
        <f t="shared" si="4"/>
        <v>0.8701472556894243</v>
      </c>
      <c r="G26" s="25">
        <f t="shared" si="4"/>
        <v>1.0046603751602004</v>
      </c>
      <c r="H26" s="25">
        <f t="shared" si="5"/>
        <v>1.0187265917603001</v>
      </c>
    </row>
    <row r="27" spans="1:8" ht="12.75">
      <c r="A27" s="4">
        <v>2009</v>
      </c>
      <c r="B27" s="25">
        <f t="shared" si="4"/>
        <v>1.0107576289969458</v>
      </c>
      <c r="C27" s="25">
        <f t="shared" si="4"/>
        <v>1.0038910505836582</v>
      </c>
      <c r="D27" s="25">
        <f t="shared" si="4"/>
        <v>1.0222929936305736</v>
      </c>
      <c r="E27" s="25">
        <f t="shared" si="4"/>
        <v>1</v>
      </c>
      <c r="F27" s="25">
        <f t="shared" si="4"/>
        <v>0.97076923076923072</v>
      </c>
      <c r="G27" s="25">
        <f t="shared" si="4"/>
        <v>1.0048706946538319</v>
      </c>
      <c r="H27" s="25">
        <f t="shared" si="5"/>
        <v>1</v>
      </c>
    </row>
    <row r="28" spans="1:8" ht="12.75">
      <c r="A28" s="4">
        <v>2010</v>
      </c>
      <c r="B28" s="25">
        <f t="shared" si="4"/>
        <v>1.0090386415296162</v>
      </c>
      <c r="C28" s="25">
        <f t="shared" si="4"/>
        <v>1.0371447028423773</v>
      </c>
      <c r="D28" s="25">
        <f t="shared" si="4"/>
        <v>1.0467289719626161</v>
      </c>
      <c r="E28" s="25">
        <f t="shared" si="4"/>
        <v>1.0999999999999996</v>
      </c>
      <c r="F28" s="25">
        <f t="shared" si="4"/>
        <v>1.0380348652931861</v>
      </c>
      <c r="G28" s="25">
        <f t="shared" si="4"/>
        <v>1.0066935949221008</v>
      </c>
      <c r="H28" s="25">
        <f t="shared" si="5"/>
        <v>1.0110294117647058</v>
      </c>
    </row>
    <row r="29" spans="1:12" ht="12.75">
      <c r="A29" s="4">
        <v>2011</v>
      </c>
      <c r="B29" s="25">
        <f t="shared" si="4"/>
        <v>1.014284578485676</v>
      </c>
      <c r="C29" s="25">
        <f t="shared" si="4"/>
        <v>1.0638430395515413</v>
      </c>
      <c r="D29" s="25">
        <f t="shared" si="4"/>
        <v>0.92857142857142894</v>
      </c>
      <c r="E29" s="25">
        <f t="shared" si="4"/>
        <v>1.0909090909090913</v>
      </c>
      <c r="F29" s="25">
        <f t="shared" si="4"/>
        <v>0.49160305343511435</v>
      </c>
      <c r="G29" s="25">
        <f t="shared" si="4"/>
        <v>1.0058466124039895</v>
      </c>
      <c r="H29" s="25">
        <f t="shared" si="5"/>
        <v>1.0472727272727274</v>
      </c>
      <c r="L29" s="218"/>
    </row>
    <row r="30" spans="1:8" ht="12.75">
      <c r="A30" s="4">
        <v>2012</v>
      </c>
      <c r="B30" s="25">
        <f t="shared" si="4"/>
        <v>1.0030309364548495</v>
      </c>
      <c r="C30" s="25">
        <f t="shared" si="4"/>
        <v>1.0011709601873535</v>
      </c>
      <c r="D30" s="25">
        <f t="shared" si="4"/>
        <v>1.2820512820512822</v>
      </c>
      <c r="E30" s="25">
        <f t="shared" si="4"/>
        <v>1</v>
      </c>
      <c r="F30" s="25">
        <f t="shared" si="4"/>
        <v>0.9503105590062112</v>
      </c>
      <c r="G30" s="25">
        <f t="shared" si="4"/>
        <v>1.0068383861408707</v>
      </c>
      <c r="H30" s="25">
        <f t="shared" si="5"/>
        <v>1.0486111111111112</v>
      </c>
    </row>
    <row r="31" spans="1:8" ht="12.75">
      <c r="A31" s="4">
        <v>2013</v>
      </c>
      <c r="B31" s="25">
        <f t="shared" si="4"/>
        <v>1.0165155777847243</v>
      </c>
      <c r="C31" s="25">
        <f t="shared" si="4"/>
        <v>1</v>
      </c>
      <c r="D31" s="25">
        <f t="shared" si="4"/>
        <v>1.0349999999999999</v>
      </c>
      <c r="E31" s="25">
        <f t="shared" si="4"/>
        <v>1.0833333333333333</v>
      </c>
      <c r="F31" s="25">
        <f t="shared" si="4"/>
        <v>1.1568627450980393</v>
      </c>
      <c r="G31" s="25">
        <f t="shared" si="4"/>
        <v>1.013583880461852</v>
      </c>
      <c r="H31" s="25">
        <f t="shared" si="5"/>
        <v>0.9668874172185431</v>
      </c>
    </row>
    <row r="32" spans="1:8" ht="12.75">
      <c r="A32" s="4">
        <v>2014</v>
      </c>
      <c r="B32" s="25">
        <f t="shared" si="4"/>
        <v>1.0057403515965353</v>
      </c>
      <c r="C32" s="25">
        <f t="shared" si="4"/>
        <v>0.99473684210526314</v>
      </c>
      <c r="D32" s="25">
        <f t="shared" si="4"/>
        <v>0.95652173913043481</v>
      </c>
      <c r="E32" s="25">
        <f t="shared" si="4"/>
        <v>1.01</v>
      </c>
      <c r="F32" s="25">
        <f t="shared" si="4"/>
        <v>0.96045197740112997</v>
      </c>
      <c r="G32" s="25">
        <f t="shared" si="4"/>
        <v>1</v>
      </c>
      <c r="H32" s="25">
        <f t="shared" si="5"/>
        <v>1.01</v>
      </c>
    </row>
    <row r="33" spans="1:8" ht="12.75">
      <c r="A33" s="4">
        <v>2015</v>
      </c>
      <c r="B33" s="25">
        <f t="shared" si="4"/>
        <v>1.0090709881261786</v>
      </c>
      <c r="C33" s="25">
        <f t="shared" si="4"/>
        <v>1.1240446796002352</v>
      </c>
      <c r="D33" s="25">
        <f t="shared" si="4"/>
        <v>0.98484848484848486</v>
      </c>
      <c r="E33" s="25">
        <f t="shared" si="4"/>
        <v>0.99009900990099009</v>
      </c>
      <c r="F33" s="25">
        <f t="shared" si="4"/>
        <v>1.0117647058823529</v>
      </c>
      <c r="G33" s="25">
        <f t="shared" si="4"/>
        <v>1.0263569354478446</v>
      </c>
      <c r="H33" s="25">
        <f t="shared" si="5"/>
        <v>0.97653600976536004</v>
      </c>
    </row>
    <row r="34" spans="1:8" ht="12.75">
      <c r="A34" s="4"/>
      <c r="B34" s="25"/>
      <c r="C34" s="25"/>
      <c r="D34" s="25"/>
      <c r="E34" s="25"/>
      <c r="F34" s="25"/>
      <c r="G34" s="25"/>
      <c r="H34" s="25"/>
    </row>
    <row r="36" spans="1:8" ht="12.75">
      <c r="A36" s="222" t="s">
        <v>232</v>
      </c>
      <c r="B36" s="26">
        <f>GEOMEAN(B30:B33)</f>
        <v>1.008576838035617</v>
      </c>
      <c r="C36" s="26">
        <f t="shared" si="6" ref="C36:H36">GEOMEAN(C30:C33)</f>
        <v>1.0286082550182252</v>
      </c>
      <c r="D36" s="26">
        <f t="shared" si="6"/>
        <v>1.0573712634405641</v>
      </c>
      <c r="E36" s="26">
        <f t="shared" si="6"/>
        <v>1.0202122326913485</v>
      </c>
      <c r="F36" s="26">
        <f t="shared" si="6"/>
        <v>1.0166597797961301</v>
      </c>
      <c r="G36" s="26">
        <f t="shared" si="6"/>
        <v>1.0116481002878075</v>
      </c>
      <c r="H36" s="26">
        <f t="shared" si="6"/>
        <v>1</v>
      </c>
    </row>
    <row r="37" spans="2:8" ht="12.75">
      <c r="B37" s="26"/>
      <c r="C37" s="26"/>
      <c r="D37" s="26"/>
      <c r="E37" s="26"/>
      <c r="F37" s="26"/>
      <c r="G37" s="26"/>
      <c r="H37" s="26"/>
    </row>
    <row r="38" spans="1:8" ht="12.75">
      <c r="A38" s="95" t="s">
        <v>233</v>
      </c>
      <c r="B38" s="26">
        <f>GEOMEAN(B23:B33)</f>
        <v>1.0159035449322309</v>
      </c>
      <c r="C38" s="26">
        <f>GEOMEAN(C23:C33)</f>
        <v>1.016558258268808</v>
      </c>
      <c r="D38" s="26">
        <f t="shared" si="7" ref="D38:H38">GEOMEAN(D23:D33)</f>
        <v>1.0241380139359855</v>
      </c>
      <c r="E38" s="26">
        <f t="shared" si="7"/>
        <v>1.0451256047867221</v>
      </c>
      <c r="F38" s="26">
        <f t="shared" si="7"/>
        <v>0.94339815758865764</v>
      </c>
      <c r="G38" s="26">
        <f t="shared" si="7"/>
        <v>1.0139620074823161</v>
      </c>
      <c r="H38" s="26">
        <f t="shared" si="7"/>
        <v>1.0896381904466239</v>
      </c>
    </row>
    <row r="39" spans="1:8" ht="12.75">
      <c r="A39" s="4"/>
      <c r="B39" s="26"/>
      <c r="C39" s="26"/>
      <c r="D39" s="26"/>
      <c r="E39" s="26"/>
      <c r="F39" s="26"/>
      <c r="G39" s="26"/>
      <c r="H39" s="26"/>
    </row>
    <row r="40" spans="1:8" ht="12.75">
      <c r="A40" s="4"/>
      <c r="B40" s="26"/>
      <c r="C40" s="26"/>
      <c r="D40" s="26"/>
      <c r="E40" s="26"/>
      <c r="F40" s="26"/>
      <c r="G40" s="26"/>
      <c r="H40" s="26"/>
    </row>
    <row r="41" spans="1:8" ht="12.75">
      <c r="A41" s="4"/>
      <c r="B41" s="26"/>
      <c r="C41" s="26"/>
      <c r="D41" s="26"/>
      <c r="E41" s="26"/>
      <c r="F41" s="26"/>
      <c r="G41" s="26"/>
      <c r="H41" s="26"/>
    </row>
    <row r="42" spans="1:8" ht="12.75">
      <c r="A42" s="4"/>
      <c r="B42" s="26">
        <f>+B15/B14</f>
        <v>1.0090709881261786</v>
      </c>
      <c r="C42" s="26">
        <f t="shared" si="8" ref="C42:H42">+C15/C14</f>
        <v>1.1240446796002352</v>
      </c>
      <c r="D42" s="26">
        <f t="shared" si="8"/>
        <v>0.98484848484848486</v>
      </c>
      <c r="E42" s="26">
        <f t="shared" si="8"/>
        <v>0.99009900990099009</v>
      </c>
      <c r="F42" s="26">
        <f t="shared" si="8"/>
        <v>1.0117647058823529</v>
      </c>
      <c r="G42" s="26">
        <f t="shared" si="8"/>
        <v>1.0263569354478446</v>
      </c>
      <c r="H42" s="26">
        <f t="shared" si="8"/>
        <v>0.97653600976536004</v>
      </c>
    </row>
    <row r="43" spans="1:8" ht="12.75">
      <c r="A43" s="4"/>
      <c r="B43" s="26">
        <f>+B16/B15</f>
        <v>1.008576838035617</v>
      </c>
      <c r="C43" s="26">
        <f t="shared" si="9" ref="C43:H43">+C16/C15</f>
        <v>1.0286082550182252</v>
      </c>
      <c r="D43" s="26">
        <f t="shared" si="9"/>
        <v>1.0573712634405641</v>
      </c>
      <c r="E43" s="26">
        <f t="shared" si="9"/>
        <v>1.0202122326913485</v>
      </c>
      <c r="F43" s="26">
        <f t="shared" si="9"/>
        <v>1.0166597797961301</v>
      </c>
      <c r="G43" s="26">
        <f t="shared" si="9"/>
        <v>1.0116481002878075</v>
      </c>
      <c r="H43" s="26">
        <f t="shared" si="9"/>
        <v>1</v>
      </c>
    </row>
    <row r="44" spans="1:8" ht="12.75">
      <c r="A44" s="4"/>
      <c r="B44" s="26"/>
      <c r="C44" s="26"/>
      <c r="D44" s="26"/>
      <c r="E44" s="26"/>
      <c r="F44" s="26"/>
      <c r="G44" s="26"/>
      <c r="H44" s="26"/>
    </row>
    <row r="45" spans="1:8" ht="12.75">
      <c r="A45" s="4"/>
      <c r="B45" s="26"/>
      <c r="C45" s="26"/>
      <c r="D45" s="26"/>
      <c r="E45" s="26"/>
      <c r="F45" s="26"/>
      <c r="G45" s="26"/>
      <c r="H45" s="26"/>
    </row>
    <row r="46" spans="1:8" ht="12.75">
      <c r="A46" s="4"/>
      <c r="B46" s="26"/>
      <c r="C46" s="26"/>
      <c r="D46" s="26"/>
      <c r="E46" s="26"/>
      <c r="F46" s="26"/>
      <c r="G46" s="26"/>
      <c r="H46" s="26"/>
    </row>
    <row r="47" spans="2:8" ht="12.75">
      <c r="B47" s="26"/>
      <c r="C47" s="26"/>
      <c r="D47" s="26"/>
      <c r="E47" s="26"/>
      <c r="F47" s="26"/>
      <c r="G47" s="26"/>
      <c r="H47" s="26"/>
    </row>
    <row r="48" spans="2:8" ht="12.75">
      <c r="B48" s="26"/>
      <c r="C48" s="26"/>
      <c r="D48" s="26"/>
      <c r="E48" s="26"/>
      <c r="F48" s="26"/>
      <c r="G48" s="26"/>
      <c r="H48" s="26"/>
    </row>
    <row r="49" spans="2:8" ht="12.75">
      <c r="B49" s="26"/>
      <c r="C49" s="26"/>
      <c r="D49" s="26"/>
      <c r="E49" s="26"/>
      <c r="F49" s="26"/>
      <c r="G49" s="26"/>
      <c r="H49" s="26"/>
    </row>
    <row r="50" spans="2:8" ht="12.75">
      <c r="B50" s="26"/>
      <c r="C50" s="26"/>
      <c r="D50" s="26"/>
      <c r="E50" s="26"/>
      <c r="F50" s="26"/>
      <c r="G50" s="26"/>
      <c r="H50" s="26"/>
    </row>
    <row r="51" spans="2:9" ht="25.5">
      <c r="B51" s="71" t="s">
        <v>78</v>
      </c>
      <c r="C51" s="71" t="s">
        <v>79</v>
      </c>
      <c r="D51" s="71" t="s">
        <v>92</v>
      </c>
      <c r="E51" s="71" t="s">
        <v>93</v>
      </c>
      <c r="F51" s="71" t="s">
        <v>88</v>
      </c>
      <c r="G51" s="71" t="s">
        <v>82</v>
      </c>
      <c r="H51" s="71" t="s">
        <v>80</v>
      </c>
      <c r="I51" s="72" t="s">
        <v>11</v>
      </c>
    </row>
    <row r="52" spans="1:9" ht="12.75">
      <c r="A52">
        <v>2015</v>
      </c>
      <c r="B52" s="168">
        <v>19788.072112379785</v>
      </c>
      <c r="C52" s="168">
        <v>1698.6730477105082</v>
      </c>
      <c r="D52" s="168">
        <v>214.37726250911015</v>
      </c>
      <c r="E52" s="168">
        <v>13.529836634907774</v>
      </c>
      <c r="F52" s="168">
        <v>173.11044382291075</v>
      </c>
      <c r="G52" s="168">
        <v>4507.4084484440209</v>
      </c>
      <c r="H52" s="168">
        <v>148.63171035408885</v>
      </c>
      <c r="I52" s="168">
        <v>26543.802861855336</v>
      </c>
    </row>
    <row r="53" spans="1:9" ht="12.75">
      <c r="A53">
        <v>2016</v>
      </c>
      <c r="B53" s="168">
        <v>19954.532840276337</v>
      </c>
      <c r="C53" s="168">
        <v>1696.3492786702566</v>
      </c>
      <c r="D53" s="168">
        <v>232.10914485302993</v>
      </c>
      <c r="E53" s="168">
        <v>13.941849152116717</v>
      </c>
      <c r="F53" s="168">
        <v>176.27779859155965</v>
      </c>
      <c r="G53" s="168">
        <v>4538.0234355828761</v>
      </c>
      <c r="H53" s="168">
        <v>149.81273106457181</v>
      </c>
      <c r="I53" s="168">
        <v>26761.04707819075</v>
      </c>
    </row>
    <row r="54" spans="2:8" ht="12.75">
      <c r="B54" s="26"/>
      <c r="C54" s="26"/>
      <c r="D54" s="26"/>
      <c r="E54" s="26"/>
      <c r="F54" s="26"/>
      <c r="G54" s="26"/>
      <c r="H54" s="26"/>
    </row>
    <row r="55" spans="2:8" ht="12.75">
      <c r="B55" s="26"/>
      <c r="C55" s="26"/>
      <c r="D55" s="26"/>
      <c r="E55" s="26"/>
      <c r="F55" s="26"/>
      <c r="G55" s="26"/>
      <c r="H55" s="26"/>
    </row>
    <row r="56" spans="2:8" ht="12.75">
      <c r="B56" s="26"/>
      <c r="C56" s="26"/>
      <c r="D56" s="26"/>
      <c r="E56" s="26"/>
      <c r="F56" s="26"/>
      <c r="G56" s="26"/>
      <c r="H56" s="26"/>
    </row>
    <row r="57" spans="2:8" ht="12.75">
      <c r="B57" s="26"/>
      <c r="C57" s="26"/>
      <c r="D57" s="26"/>
      <c r="E57" s="26"/>
      <c r="F57" s="26"/>
      <c r="G57" s="26"/>
      <c r="H57" s="26"/>
    </row>
    <row r="58" spans="2:8" ht="12.75">
      <c r="B58" s="26"/>
      <c r="C58" s="26"/>
      <c r="D58" s="26"/>
      <c r="E58" s="26"/>
      <c r="F58" s="26"/>
      <c r="G58" s="26"/>
      <c r="H58" s="26"/>
    </row>
    <row r="59" spans="2:8" ht="12.75">
      <c r="B59" s="26"/>
      <c r="C59" s="26"/>
      <c r="D59" s="26"/>
      <c r="E59" s="26"/>
      <c r="F59" s="26"/>
      <c r="G59" s="26"/>
      <c r="H59" s="26"/>
    </row>
    <row r="60" spans="2:8" ht="12.75">
      <c r="B60" s="26"/>
      <c r="C60" s="26"/>
      <c r="D60" s="26"/>
      <c r="E60" s="26"/>
      <c r="F60" s="26"/>
      <c r="G60" s="26"/>
      <c r="H60" s="26"/>
    </row>
    <row r="61" spans="2:8" ht="12.75">
      <c r="B61" s="26"/>
      <c r="C61" s="26"/>
      <c r="D61" s="26"/>
      <c r="E61" s="26"/>
      <c r="F61" s="26"/>
      <c r="G61" s="26"/>
      <c r="H61" s="26"/>
    </row>
    <row r="62" spans="2:8" ht="12.75">
      <c r="B62" s="26"/>
      <c r="C62" s="26"/>
      <c r="D62" s="26"/>
      <c r="E62" s="26"/>
      <c r="F62" s="26"/>
      <c r="G62" s="26"/>
      <c r="H62" s="26"/>
    </row>
    <row r="63" spans="2:8" ht="12.75">
      <c r="B63" s="26"/>
      <c r="C63" s="26"/>
      <c r="D63" s="26"/>
      <c r="E63" s="26"/>
      <c r="F63" s="26"/>
      <c r="G63" s="26"/>
      <c r="H63" s="26"/>
    </row>
    <row r="64" spans="2:8" ht="12.75" hidden="1">
      <c r="B64" s="26"/>
      <c r="C64" s="26"/>
      <c r="D64" s="26"/>
      <c r="E64" s="26"/>
      <c r="F64" s="26"/>
      <c r="G64" s="26"/>
      <c r="H64" s="26"/>
    </row>
    <row r="65" spans="2:8" ht="12.75" hidden="1">
      <c r="B65" s="26"/>
      <c r="C65" s="26"/>
      <c r="G65" s="26"/>
      <c r="H65" s="26"/>
    </row>
    <row r="66" ht="12.75" hidden="1">
      <c r="D66" s="6" t="e">
        <f>D8*#REF!</f>
        <v>#REF!</v>
      </c>
    </row>
    <row r="67" spans="1:11" ht="12.75" hidden="1">
      <c r="A67">
        <v>2008</v>
      </c>
      <c r="B67" s="6" t="e">
        <f>B8*#REF!</f>
        <v>#REF!</v>
      </c>
      <c r="C67" s="6" t="e">
        <f>C8*#REF!</f>
        <v>#REF!</v>
      </c>
      <c r="D67" s="6" t="e">
        <f>D9*#REF!</f>
        <v>#REF!</v>
      </c>
      <c r="G67" s="6" t="e">
        <f>G8*#REF!</f>
        <v>#REF!</v>
      </c>
      <c r="H67" s="6" t="e">
        <f>#REF!*#REF!</f>
        <v>#REF!</v>
      </c>
      <c r="I67" s="6" t="e">
        <f>SUM(B67:H67)</f>
        <v>#REF!</v>
      </c>
      <c r="J67" s="6" t="e">
        <f>SUM(#REF!)</f>
        <v>#REF!</v>
      </c>
      <c r="K67" s="6" t="e">
        <f>J67-I67</f>
        <v>#REF!</v>
      </c>
    </row>
    <row r="68" spans="1:11" ht="12.75" hidden="1">
      <c r="A68">
        <v>2009</v>
      </c>
      <c r="B68" s="6" t="e">
        <f>B9*#REF!</f>
        <v>#REF!</v>
      </c>
      <c r="C68" s="6" t="e">
        <f>C9*#REF!</f>
        <v>#REF!</v>
      </c>
      <c r="G68" s="6" t="e">
        <f>G9*#REF!</f>
        <v>#REF!</v>
      </c>
      <c r="H68" s="6" t="e">
        <f>H9*#REF!</f>
        <v>#REF!</v>
      </c>
      <c r="I68" s="6" t="e">
        <f>SUM(B68:H68)</f>
        <v>#REF!</v>
      </c>
      <c r="J68" s="6" t="e">
        <f>SUM(#REF!)</f>
        <v>#REF!</v>
      </c>
      <c r="K68" s="6" t="e">
        <f>J68-I68</f>
        <v>#REF!</v>
      </c>
    </row>
    <row r="69" ht="12.75" hidden="1"/>
    <row r="70" ht="12.75" hidden="1">
      <c r="A70" t="s">
        <v>19</v>
      </c>
    </row>
    <row r="71" spans="4:6" ht="12.75" hidden="1">
      <c r="D71" s="27">
        <v>0.65</v>
      </c>
      <c r="E71" s="27"/>
      <c r="F71" s="27"/>
    </row>
    <row r="72" spans="1:8" ht="12.75" hidden="1">
      <c r="A72">
        <v>2008</v>
      </c>
      <c r="B72" s="27">
        <v>1</v>
      </c>
      <c r="C72" s="27">
        <v>1</v>
      </c>
      <c r="D72" s="27">
        <v>0.65</v>
      </c>
      <c r="E72" s="27"/>
      <c r="F72" s="27"/>
      <c r="G72" s="27">
        <v>0</v>
      </c>
      <c r="H72" s="27">
        <v>0</v>
      </c>
    </row>
    <row r="73" spans="1:8" ht="12.75" hidden="1">
      <c r="A73">
        <v>2009</v>
      </c>
      <c r="B73" s="27">
        <v>1</v>
      </c>
      <c r="C73" s="27">
        <v>1</v>
      </c>
      <c r="G73" s="27">
        <v>0</v>
      </c>
      <c r="H73" s="27">
        <v>0</v>
      </c>
    </row>
    <row r="74" ht="12.75" hidden="1"/>
    <row r="75" ht="12.75" hidden="1">
      <c r="A75" t="s">
        <v>20</v>
      </c>
    </row>
    <row r="76" ht="12.75" hidden="1">
      <c r="D76" s="6" t="e">
        <f>D66*D71</f>
        <v>#REF!</v>
      </c>
    </row>
    <row r="77" spans="1:9" ht="12.75" hidden="1">
      <c r="A77">
        <v>2008</v>
      </c>
      <c r="B77" s="6" t="e">
        <f>B67*B72</f>
        <v>#REF!</v>
      </c>
      <c r="C77" s="6" t="e">
        <f>C67*C72</f>
        <v>#REF!</v>
      </c>
      <c r="D77" s="6" t="e">
        <f>D67*D72</f>
        <v>#REF!</v>
      </c>
      <c r="G77" s="6" t="e">
        <f>G67*G72</f>
        <v>#REF!</v>
      </c>
      <c r="H77" s="6" t="e">
        <f>H67*H72</f>
        <v>#REF!</v>
      </c>
      <c r="I77" s="6" t="e">
        <f>SUM(B77:H77)</f>
        <v>#REF!</v>
      </c>
    </row>
    <row r="78" spans="1:9" ht="12.75" hidden="1">
      <c r="A78">
        <v>2009</v>
      </c>
      <c r="B78" s="6" t="e">
        <f>B68*B73</f>
        <v>#REF!</v>
      </c>
      <c r="C78" s="6" t="e">
        <f>C68*C73</f>
        <v>#REF!</v>
      </c>
      <c r="G78" s="6" t="e">
        <f>G68*G73</f>
        <v>#REF!</v>
      </c>
      <c r="H78" s="6" t="e">
        <f>H68*H73</f>
        <v>#REF!</v>
      </c>
      <c r="I78" s="6" t="e">
        <f>SUM(B78:H78)</f>
        <v>#REF!</v>
      </c>
    </row>
    <row r="79" ht="12.75" hidden="1"/>
    <row r="80" ht="12.75" hidden="1">
      <c r="A80" t="s">
        <v>21</v>
      </c>
    </row>
    <row r="81" ht="12.75" hidden="1">
      <c r="D81" s="6" t="e">
        <f>D76/$I$77*$K$67</f>
        <v>#REF!</v>
      </c>
    </row>
    <row r="82" spans="1:8" ht="12.75" hidden="1">
      <c r="A82">
        <v>2008</v>
      </c>
      <c r="B82" s="6" t="e">
        <f>B77/$I$77*$K$67</f>
        <v>#REF!</v>
      </c>
      <c r="C82" s="6" t="e">
        <f>C77/$I$77*$K$67</f>
        <v>#REF!</v>
      </c>
      <c r="D82" s="6" t="e">
        <f>D77/$I$78*$K$68</f>
        <v>#REF!</v>
      </c>
      <c r="G82" s="6" t="e">
        <f>G77/$I$77*$K$67</f>
        <v>#REF!</v>
      </c>
      <c r="H82" s="6" t="e">
        <f>H77/$I$77*$K$67</f>
        <v>#REF!</v>
      </c>
    </row>
    <row r="83" spans="1:8" ht="12.75" hidden="1">
      <c r="A83">
        <v>2009</v>
      </c>
      <c r="B83" s="6" t="e">
        <f>B78/$I$78*$K$68</f>
        <v>#REF!</v>
      </c>
      <c r="C83" s="6" t="e">
        <f>C78/$I$78*$K$68</f>
        <v>#REF!</v>
      </c>
      <c r="G83" s="6" t="e">
        <f>G78/$I$78*$K$68</f>
        <v>#REF!</v>
      </c>
      <c r="H83" s="6" t="e">
        <f>H78/$I$78*$K$68</f>
        <v>#REF!</v>
      </c>
    </row>
    <row r="84" ht="12.75" hidden="1"/>
    <row r="85" ht="12.75" hidden="1">
      <c r="A85" t="s">
        <v>22</v>
      </c>
    </row>
    <row r="86" spans="4:10" ht="12.75" hidden="1">
      <c r="D86" s="6" t="e">
        <f>D66+D81</f>
        <v>#REF!</v>
      </c>
      <c r="J86" s="6" t="s">
        <v>23</v>
      </c>
    </row>
    <row r="87" spans="1:10" ht="12.75" hidden="1">
      <c r="A87">
        <v>2008</v>
      </c>
      <c r="B87" s="6" t="e">
        <f>B67+B82</f>
        <v>#REF!</v>
      </c>
      <c r="C87" s="6" t="e">
        <f>C67+C82</f>
        <v>#REF!</v>
      </c>
      <c r="D87" s="6" t="e">
        <f>D67+D82</f>
        <v>#REF!</v>
      </c>
      <c r="G87" s="6" t="e">
        <f>G67+G82</f>
        <v>#REF!</v>
      </c>
      <c r="H87" s="6" t="e">
        <f>H67+H82</f>
        <v>#REF!</v>
      </c>
      <c r="I87" s="6" t="e">
        <f>SUM(B87:H87)</f>
        <v>#REF!</v>
      </c>
      <c r="J87" s="6" t="e">
        <f>I87-J67</f>
        <v>#REF!</v>
      </c>
    </row>
    <row r="88" spans="1:10" ht="12.75" hidden="1">
      <c r="A88">
        <v>2009</v>
      </c>
      <c r="B88" s="6" t="e">
        <f>B68+B83</f>
        <v>#REF!</v>
      </c>
      <c r="C88" s="6" t="e">
        <f>C68+C83</f>
        <v>#REF!</v>
      </c>
      <c r="G88" s="6" t="e">
        <f>G68+G83</f>
        <v>#REF!</v>
      </c>
      <c r="H88" s="6" t="e">
        <f>H68+H83</f>
        <v>#REF!</v>
      </c>
      <c r="I88" s="6" t="e">
        <f>SUM(B88:H88)</f>
        <v>#REF!</v>
      </c>
      <c r="J88" s="6" t="e">
        <f>I88-J68</f>
        <v>#REF!</v>
      </c>
    </row>
    <row r="89" ht="12.75" hidden="1"/>
    <row r="90" ht="12.75" hidden="1">
      <c r="A90" t="s">
        <v>24</v>
      </c>
    </row>
    <row r="91" spans="4:6" ht="12.75" hidden="1">
      <c r="D91" s="16" t="e">
        <f>(D66-D86)/D66</f>
        <v>#REF!</v>
      </c>
      <c r="E91" s="16"/>
      <c r="F91" s="16"/>
    </row>
    <row r="92" spans="1:8" ht="12.75" hidden="1">
      <c r="A92">
        <v>2008</v>
      </c>
      <c r="B92" s="16" t="e">
        <f>(B67-B87)/B67</f>
        <v>#REF!</v>
      </c>
      <c r="C92" s="16" t="e">
        <f>(C67-C87)/C67</f>
        <v>#REF!</v>
      </c>
      <c r="D92" s="16" t="e">
        <f>(D67-D87)/D67</f>
        <v>#REF!</v>
      </c>
      <c r="E92" s="16"/>
      <c r="F92" s="16"/>
      <c r="G92" s="16" t="e">
        <f>(G67-G87)/G67</f>
        <v>#REF!</v>
      </c>
      <c r="H92" s="16" t="e">
        <f>(H67-H87)/H67</f>
        <v>#REF!</v>
      </c>
    </row>
    <row r="93" spans="1:8" ht="12.75" hidden="1">
      <c r="A93">
        <v>2009</v>
      </c>
      <c r="B93" s="16" t="e">
        <f>(B68-B88)/B68</f>
        <v>#REF!</v>
      </c>
      <c r="C93" s="16" t="e">
        <f>(C68-C88)/C68</f>
        <v>#REF!</v>
      </c>
      <c r="G93" s="16" t="e">
        <f>(G68-G88)/G68</f>
        <v>#REF!</v>
      </c>
      <c r="H93" s="16" t="e">
        <f>(H68-H88)/H68</f>
        <v>#REF!</v>
      </c>
    </row>
    <row r="94" ht="12.75" hidden="1"/>
    <row r="95" ht="12.75" hidden="1"/>
    <row r="96" ht="12.75" hidden="1"/>
  </sheetData>
  <pageMargins left="0.38" right="0.75" top="0.73" bottom="0.74" header="0.5" footer="0.5"/>
  <pageSetup orientation="portrait" r:id="rId2"/>
  <headerFooter alignWithMargins="0"/>
  <ignoredErrors>
    <ignoredError sqref="I3:I11 I12:I14" formulaRange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11" customWidth="1"/>
    <col min="2" max="2" width="14.1428571428571" style="6" bestFit="1" customWidth="1"/>
    <col min="3" max="4" width="14.1428571428571" style="6" customWidth="1"/>
    <col min="5" max="5" width="17.7142857142857" style="6" customWidth="1"/>
    <col min="6" max="7" width="12.7142857142857" style="6" bestFit="1" customWidth="1"/>
    <col min="8" max="8" width="11.7142857142857" style="6" bestFit="1" customWidth="1"/>
    <col min="9" max="9" width="10.7142857142857" style="6" bestFit="1" customWidth="1"/>
    <col min="10" max="11" width="9.14285714285714" style="6"/>
  </cols>
  <sheetData>
    <row r="1" spans="2:6" ht="42" customHeight="1"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ht="12.75">
      <c r="A2" s="31">
        <v>2003</v>
      </c>
      <c r="B2" s="139">
        <v>292864.41000000003</v>
      </c>
      <c r="C2" s="138">
        <v>235859</v>
      </c>
      <c r="D2" s="138">
        <v>1090.8200000000006</v>
      </c>
      <c r="E2" s="139">
        <v>6764</v>
      </c>
      <c r="F2" s="6">
        <f t="shared" si="0" ref="F2:F15">SUM(B2:E2)</f>
        <v>536578.23</v>
      </c>
    </row>
    <row r="3" spans="1:6" ht="12.75">
      <c r="A3" s="31">
        <v>2004</v>
      </c>
      <c r="B3" s="139">
        <v>298046.73</v>
      </c>
      <c r="C3" s="138">
        <v>236202.55</v>
      </c>
      <c r="D3" s="138">
        <v>1155.1400000000012</v>
      </c>
      <c r="E3" s="139">
        <v>6796</v>
      </c>
      <c r="F3" s="6">
        <f t="shared" si="0"/>
        <v>542200.42000000004</v>
      </c>
    </row>
    <row r="4" spans="1:6" ht="12.75">
      <c r="A4" s="31">
        <v>2005</v>
      </c>
      <c r="B4" s="139">
        <v>276911.94999999995</v>
      </c>
      <c r="C4" s="138">
        <v>235749.59</v>
      </c>
      <c r="D4" s="138">
        <v>806.75000000000068</v>
      </c>
      <c r="E4" s="139">
        <v>6855.37</v>
      </c>
      <c r="F4" s="6">
        <f t="shared" si="0"/>
        <v>520323.65999999992</v>
      </c>
    </row>
    <row r="5" spans="1:6" ht="12.75">
      <c r="A5" s="31">
        <v>2006</v>
      </c>
      <c r="B5" s="139">
        <v>299829.52599999995</v>
      </c>
      <c r="C5" s="138">
        <v>250935.3768</v>
      </c>
      <c r="D5" s="138">
        <v>643.70999999999981</v>
      </c>
      <c r="E5" s="139">
        <v>7431.4600000000009</v>
      </c>
      <c r="F5" s="6">
        <f t="shared" si="0"/>
        <v>558840.07279999985</v>
      </c>
    </row>
    <row r="6" spans="1:6" ht="12.75">
      <c r="A6" s="31">
        <v>2007</v>
      </c>
      <c r="B6" s="139">
        <v>322163.37</v>
      </c>
      <c r="C6" s="138">
        <v>282975.62</v>
      </c>
      <c r="D6" s="138">
        <v>635.96999999999991</v>
      </c>
      <c r="E6" s="139">
        <v>7477.1900000000014</v>
      </c>
      <c r="F6" s="6">
        <f t="shared" si="0"/>
        <v>613252.14999999991</v>
      </c>
    </row>
    <row r="7" spans="1:6" ht="12.75">
      <c r="A7" s="31">
        <v>2008</v>
      </c>
      <c r="B7" s="139">
        <v>322746.80000000005</v>
      </c>
      <c r="C7" s="138">
        <v>265624.51</v>
      </c>
      <c r="D7" s="138">
        <v>627.91999999999996</v>
      </c>
      <c r="E7" s="139">
        <v>7513.5100000000011</v>
      </c>
      <c r="F7" s="6">
        <f t="shared" si="0"/>
        <v>596512.74000000011</v>
      </c>
    </row>
    <row r="8" spans="1:6" ht="12.75">
      <c r="A8" s="31">
        <v>2009</v>
      </c>
      <c r="B8" s="139">
        <v>330063.74999999994</v>
      </c>
      <c r="C8" s="138">
        <v>257988.30</v>
      </c>
      <c r="D8" s="138">
        <v>615.68000000000006</v>
      </c>
      <c r="E8" s="139">
        <v>7542.3500000000013</v>
      </c>
      <c r="F8" s="6">
        <f t="shared" si="0"/>
        <v>596210.07999999996</v>
      </c>
    </row>
    <row r="9" spans="1:6" ht="12.75">
      <c r="A9" s="31">
        <v>2010</v>
      </c>
      <c r="B9" s="139">
        <v>320892.79120000004</v>
      </c>
      <c r="C9" s="138">
        <v>285634.91000000003</v>
      </c>
      <c r="D9" s="138">
        <v>585.82999999999993</v>
      </c>
      <c r="E9" s="139">
        <v>7569.3000000000011</v>
      </c>
      <c r="F9" s="6">
        <f t="shared" si="0"/>
        <v>614682.83120000002</v>
      </c>
    </row>
    <row r="10" spans="1:6" ht="12.75">
      <c r="A10" s="31">
        <v>2011</v>
      </c>
      <c r="B10" s="139">
        <v>318710.76</v>
      </c>
      <c r="C10" s="138">
        <v>294618.27999999997</v>
      </c>
      <c r="D10" s="138">
        <v>530.20999999999992</v>
      </c>
      <c r="E10" s="139">
        <v>7634.1600000000008</v>
      </c>
      <c r="F10" s="6">
        <f t="shared" si="0"/>
        <v>621493.41</v>
      </c>
    </row>
    <row r="11" spans="1:6" ht="12.75">
      <c r="A11" s="31">
        <v>2012</v>
      </c>
      <c r="B11" s="139">
        <v>313359.68</v>
      </c>
      <c r="C11" s="138">
        <v>289208.77999999997</v>
      </c>
      <c r="D11" s="138">
        <v>649.59999999999991</v>
      </c>
      <c r="E11" s="138">
        <v>7680.7800000000007</v>
      </c>
      <c r="F11" s="6">
        <f t="shared" si="0"/>
        <v>610898.84</v>
      </c>
    </row>
    <row r="12" spans="1:6" ht="12.75">
      <c r="A12" s="31">
        <v>2013</v>
      </c>
      <c r="B12" s="139">
        <v>321135.30999999994</v>
      </c>
      <c r="C12" s="139">
        <v>296491.61</v>
      </c>
      <c r="D12" s="139">
        <v>675.93</v>
      </c>
      <c r="E12" s="139">
        <v>7730.8799999999992</v>
      </c>
      <c r="F12" s="6">
        <f t="shared" si="0"/>
        <v>626033.73</v>
      </c>
    </row>
    <row r="13" spans="1:6" ht="12.75">
      <c r="A13" s="31">
        <v>2014</v>
      </c>
      <c r="B13" s="139">
        <v>362945.97000000003</v>
      </c>
      <c r="C13" s="139">
        <v>307814.96999999991</v>
      </c>
      <c r="D13" s="139">
        <f>+D12/D11*D12</f>
        <v>703.32722429187197</v>
      </c>
      <c r="E13" s="139">
        <v>7764.2099999999982</v>
      </c>
      <c r="F13" s="6">
        <f t="shared" si="0"/>
        <v>679228.47722429177</v>
      </c>
    </row>
    <row r="14" spans="1:6" ht="12.75">
      <c r="A14" s="31">
        <v>2015</v>
      </c>
      <c r="B14" s="140">
        <f>'Rate Class Energy Model'!J66*'Rate Class Load Model'!B37</f>
        <v>355732.47900861094</v>
      </c>
      <c r="C14" s="140">
        <f>'Rate Class Energy Model'!K66*'Rate Class Load Model'!C37</f>
        <v>315597.41265660711</v>
      </c>
      <c r="D14" s="140">
        <f>'Rate Class Energy Model'!L66*'Rate Class Load Model'!D37</f>
        <v>618.11221391042602</v>
      </c>
      <c r="E14" s="140">
        <f>'Rate Class Energy Model'!M66*'Rate Class Load Model'!E37</f>
        <v>7964.0495972316767</v>
      </c>
      <c r="F14" s="6">
        <f t="shared" si="0"/>
        <v>679912.05347636016</v>
      </c>
    </row>
    <row r="15" spans="1:6" ht="12.75">
      <c r="A15" s="31">
        <v>2016</v>
      </c>
      <c r="B15" s="140">
        <f>'Rate Class Energy Model'!J67*'Rate Class Load Model'!B37</f>
        <v>376125.67493414757</v>
      </c>
      <c r="C15" s="140">
        <f>'Rate Class Energy Model'!K67*'Rate Class Load Model'!C37</f>
        <v>314748.5043406068</v>
      </c>
      <c r="D15" s="140">
        <f>'Rate Class Energy Model'!L67*'Rate Class Load Model'!D37</f>
        <v>628.40982728347217</v>
      </c>
      <c r="E15" s="140">
        <f>'Rate Class Energy Model'!M67*'Rate Class Load Model'!E37</f>
        <v>8058.3674665927629</v>
      </c>
      <c r="F15" s="6">
        <f t="shared" si="0"/>
        <v>699560.95656863065</v>
      </c>
    </row>
    <row r="16" ht="12.75">
      <c r="A16" s="22"/>
    </row>
    <row r="17" spans="2:5" ht="12.75">
      <c r="B17" s="5"/>
      <c r="C17" s="5"/>
      <c r="D17" s="5"/>
      <c r="E17" s="5"/>
    </row>
    <row r="18" spans="1:5" ht="12.75">
      <c r="A18" s="4"/>
      <c r="B18" s="29"/>
      <c r="C18" s="29"/>
      <c r="D18" s="29"/>
      <c r="E18" s="29"/>
    </row>
    <row r="19" spans="1:5" ht="12.75">
      <c r="A19" s="4"/>
      <c r="B19" s="29"/>
      <c r="C19" s="29"/>
      <c r="D19" s="29"/>
      <c r="E19" s="29"/>
    </row>
    <row r="20" spans="1:5" ht="12.75">
      <c r="A20" s="4"/>
      <c r="B20" s="29"/>
      <c r="C20" s="29"/>
      <c r="D20" s="29"/>
      <c r="E20" s="29"/>
    </row>
    <row r="21" spans="1:5" ht="12.75">
      <c r="A21" s="250" t="s">
        <v>230</v>
      </c>
      <c r="B21" s="29"/>
      <c r="C21" s="29"/>
      <c r="D21" s="29"/>
      <c r="E21" s="29"/>
    </row>
    <row r="22" spans="1:5" ht="12.75">
      <c r="A22" s="4">
        <v>2003</v>
      </c>
      <c r="B22" s="29">
        <f>B2/'Rate Class Energy Model'!J5</f>
        <v>0.0030632546782708003</v>
      </c>
      <c r="C22" s="29">
        <f>C2/'Rate Class Energy Model'!K5</f>
        <v>0.0025159559407985413</v>
      </c>
      <c r="D22" s="29">
        <f>D2/'Rate Class Energy Model'!L5</f>
        <v>0.0038016327134603959</v>
      </c>
      <c r="E22" s="29">
        <f>E2/'Rate Class Energy Model'!M5</f>
        <v>0.0028673194308979667</v>
      </c>
    </row>
    <row r="23" spans="1:5" ht="12.75">
      <c r="A23" s="4">
        <v>2004</v>
      </c>
      <c r="B23" s="29">
        <f>B3/'Rate Class Energy Model'!J6</f>
        <v>0.0029648481971473939</v>
      </c>
      <c r="C23" s="29">
        <f>C3/'Rate Class Energy Model'!K6</f>
        <v>0.0024687808150225111</v>
      </c>
      <c r="D23" s="29">
        <f>D3/'Rate Class Energy Model'!L6</f>
        <v>0.0040648193603833628</v>
      </c>
      <c r="E23" s="29">
        <f>E3/'Rate Class Energy Model'!M6</f>
        <v>0.0027761357958507515</v>
      </c>
    </row>
    <row r="24" spans="1:5" ht="12.75">
      <c r="A24" s="4">
        <v>2005</v>
      </c>
      <c r="B24" s="29">
        <f>B4/'Rate Class Energy Model'!J7</f>
        <v>0.0025419451151823444</v>
      </c>
      <c r="C24" s="29">
        <f>C4/'Rate Class Energy Model'!K7</f>
        <v>0.0024910784532824232</v>
      </c>
      <c r="D24" s="29">
        <f>D4/'Rate Class Energy Model'!L7</f>
        <v>0.0025078260960389081</v>
      </c>
      <c r="E24" s="29">
        <f>E4/'Rate Class Energy Model'!M7</f>
        <v>0.0027804887939309594</v>
      </c>
    </row>
    <row r="25" spans="1:5" ht="12.75">
      <c r="A25" s="4">
        <v>2006</v>
      </c>
      <c r="B25" s="29">
        <f>B5/'Rate Class Energy Model'!J8</f>
        <v>0.0026906226764155305</v>
      </c>
      <c r="C25" s="29">
        <f>C5/'Rate Class Energy Model'!K8</f>
        <v>0.002799648344881328</v>
      </c>
      <c r="D25" s="29">
        <f>D5/'Rate Class Energy Model'!L8</f>
        <v>0.0017539110559936324</v>
      </c>
      <c r="E25" s="29">
        <f>E5/'Rate Class Energy Model'!M8</f>
        <v>0.002826112393811388</v>
      </c>
    </row>
    <row r="26" spans="1:5" ht="12.75">
      <c r="A26" s="4">
        <v>2007</v>
      </c>
      <c r="B26" s="29">
        <f>B6/'Rate Class Energy Model'!J9</f>
        <v>0.002805777005927304</v>
      </c>
      <c r="C26" s="29">
        <f>C6/'Rate Class Energy Model'!K9</f>
        <v>0.0028809754805488468</v>
      </c>
      <c r="D26" s="29">
        <f>D6/'Rate Class Energy Model'!L9</f>
        <v>0.0013430775247611506</v>
      </c>
      <c r="E26" s="29">
        <f>E6/'Rate Class Energy Model'!M9</f>
        <v>0.002821820891015782</v>
      </c>
    </row>
    <row r="27" spans="1:5" ht="12.75">
      <c r="A27" s="4">
        <v>2008</v>
      </c>
      <c r="B27" s="29">
        <f>B7/'Rate Class Energy Model'!J10</f>
        <v>0.002783199611211022</v>
      </c>
      <c r="C27" s="29">
        <f>C7/'Rate Class Energy Model'!K10</f>
        <v>0.0028385556883171979</v>
      </c>
      <c r="D27" s="29">
        <f>D7/'Rate Class Energy Model'!L10</f>
        <v>0.001369817381170164</v>
      </c>
      <c r="E27" s="29">
        <f>E7/'Rate Class Energy Model'!M10</f>
        <v>0.0028138814265463645</v>
      </c>
    </row>
    <row r="28" spans="1:5" ht="12.75">
      <c r="A28" s="4">
        <v>2009</v>
      </c>
      <c r="B28" s="29">
        <f>B8/'Rate Class Energy Model'!J11</f>
        <v>0.0027404623090084893</v>
      </c>
      <c r="C28" s="29">
        <f>C8/'Rate Class Energy Model'!K11</f>
        <v>0.0029309363750879024</v>
      </c>
      <c r="D28" s="29">
        <f>D8/'Rate Class Energy Model'!L11</f>
        <v>0.0011603948901009844</v>
      </c>
      <c r="E28" s="29">
        <f>E8/'Rate Class Energy Model'!M11</f>
        <v>0.0028308689645672692</v>
      </c>
    </row>
    <row r="29" spans="1:5" ht="12.75">
      <c r="A29" s="4">
        <v>2010</v>
      </c>
      <c r="B29" s="29">
        <f>B9/'Rate Class Energy Model'!J12</f>
        <v>0.0026595242602277824</v>
      </c>
      <c r="C29" s="29">
        <f>C9/'Rate Class Energy Model'!K12</f>
        <v>0.0027809522956574019</v>
      </c>
      <c r="D29" s="29">
        <f>D9/'Rate Class Energy Model'!L12</f>
        <v>0.0010254219505516373</v>
      </c>
      <c r="E29" s="29">
        <f>E9/'Rate Class Energy Model'!M12</f>
        <v>0.0027948502179165687</v>
      </c>
    </row>
    <row r="30" spans="1:5" ht="12.75">
      <c r="A30" s="4">
        <v>2011</v>
      </c>
      <c r="B30" s="29">
        <f>B10/'Rate Class Energy Model'!J13</f>
        <v>0.0026461733641495624</v>
      </c>
      <c r="C30" s="29">
        <f>C10/'Rate Class Energy Model'!K13</f>
        <v>0.0027586223234918423</v>
      </c>
      <c r="D30" s="29">
        <f>D10/'Rate Class Energy Model'!L13</f>
        <v>0.0012186074305611417</v>
      </c>
      <c r="E30" s="29">
        <f>E10/'Rate Class Energy Model'!M13</f>
        <v>0.0027829376035742176</v>
      </c>
    </row>
    <row r="31" spans="1:5" ht="12.75">
      <c r="A31" s="4">
        <v>2012</v>
      </c>
      <c r="B31" s="29">
        <f>B11/'Rate Class Energy Model'!J14</f>
        <v>0.0026381158902563668</v>
      </c>
      <c r="C31" s="29">
        <f>C11/'Rate Class Energy Model'!K14</f>
        <v>0.0027936469246719405</v>
      </c>
      <c r="D31" s="29">
        <f>D11/'Rate Class Energy Model'!L14</f>
        <v>0.0014782250240331033</v>
      </c>
      <c r="E31" s="29">
        <f>E11/'Rate Class Energy Model'!M14</f>
        <v>0.0027805102607278897</v>
      </c>
    </row>
    <row r="32" spans="1:5" ht="12.75">
      <c r="A32" s="4">
        <v>2013</v>
      </c>
      <c r="B32" s="29">
        <f>B12/'Rate Class Energy Model'!J15</f>
        <v>0.0026264980545914096</v>
      </c>
      <c r="C32" s="29">
        <f>C12/'Rate Class Energy Model'!K15</f>
        <v>0.0026048218915626239</v>
      </c>
      <c r="D32" s="29">
        <f>D12/'Rate Class Energy Model'!L15</f>
        <v>0.0015229122574969144</v>
      </c>
      <c r="E32" s="29">
        <f>E12/'Rate Class Energy Model'!M15</f>
        <v>0.0027916860097411309</v>
      </c>
    </row>
    <row r="33" spans="1:5" ht="12.75">
      <c r="A33" s="4">
        <v>2014</v>
      </c>
      <c r="B33" s="29">
        <f>B13/'Rate Class Energy Model'!J16</f>
        <v>0.0026844110476100325</v>
      </c>
      <c r="C33" s="29">
        <f>C13/'Rate Class Energy Model'!K16</f>
        <v>0.0025519412299234352</v>
      </c>
      <c r="D33" s="29">
        <f>D13/'Rate Class Energy Model'!L16</f>
        <v>0.0015689504008710455</v>
      </c>
      <c r="E33" s="29">
        <f>E13/'Rate Class Energy Model'!M16</f>
        <v>0.0027902686800812039</v>
      </c>
    </row>
    <row r="34" spans="1:5" ht="12.75">
      <c r="A34" s="4"/>
      <c r="B34" s="29"/>
      <c r="C34" s="29"/>
      <c r="D34" s="29"/>
      <c r="E34" s="29"/>
    </row>
    <row r="35" spans="1:5" ht="12.75">
      <c r="A35" s="4"/>
      <c r="B35" s="29"/>
      <c r="C35" s="29"/>
      <c r="D35" s="29"/>
      <c r="E35" s="29"/>
    </row>
    <row r="37" spans="1:5" ht="12.75">
      <c r="A37" t="s">
        <v>16</v>
      </c>
      <c r="B37" s="29">
        <f>AVERAGE(B29:B33)</f>
        <v>0.0026509445233670304</v>
      </c>
      <c r="C37" s="29">
        <f>AVERAGE(C29:C33)</f>
        <v>0.0026979969330614487</v>
      </c>
      <c r="D37" s="29">
        <f t="shared" si="1" ref="D37:E37">AVERAGE(D29:D33)</f>
        <v>0.0013628234127027687</v>
      </c>
      <c r="E37" s="29">
        <f t="shared" si="1"/>
        <v>0.0027880505544082023</v>
      </c>
    </row>
    <row r="39" spans="2:9" ht="12.75">
      <c r="B39" s="287"/>
      <c r="C39" s="287"/>
      <c r="D39" s="287"/>
      <c r="E39" s="287"/>
      <c r="F39" s="288"/>
      <c r="G39" s="28"/>
      <c r="H39" s="28"/>
      <c r="I39" s="28"/>
    </row>
    <row r="44" spans="2:5" ht="12.75">
      <c r="B44" s="27"/>
      <c r="C44" s="27"/>
      <c r="D44" s="27"/>
      <c r="E44" s="27"/>
    </row>
    <row r="45" spans="2:5" ht="12.75">
      <c r="B45" s="27"/>
      <c r="C45" s="27"/>
      <c r="D45" s="27"/>
      <c r="E45" s="27"/>
    </row>
    <row r="64" spans="2:5" ht="12.75">
      <c r="B64" s="16"/>
      <c r="C64" s="16"/>
      <c r="D64" s="16"/>
      <c r="E64" s="16"/>
    </row>
    <row r="65" spans="2:5" ht="12.75">
      <c r="B65" s="16"/>
      <c r="C65" s="16"/>
      <c r="D65" s="16"/>
      <c r="E65" s="16"/>
    </row>
  </sheetData>
  <pageMargins left="0.393700787401575" right="0.748031496062992" top="0.748031496062992" bottom="0.748031496062992" header="0.511811023622047" footer="0.511811023622047"/>
  <pageSetup horizontalDpi="300" verticalDpi="300" orientation="portrait" r:id="rId1"/>
  <headerFooter alignWithMargins="0"/>
  <ignoredErrors>
    <ignoredError sqref="F2:F15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G154"/>
  <sheetViews>
    <sheetView workbookViewId="0" topLeftCell="A1">
      <pane xSplit="1" ySplit="2" topLeftCell="B3" activePane="bottomRight" state="frozen"/>
      <selection pane="topLeft" activeCell="M39" sqref="M39"/>
      <selection pane="bottomLeft" activeCell="M39" sqref="M39"/>
      <selection pane="topRight" activeCell="M39" sqref="M39"/>
      <selection pane="bottomRight" activeCell="M39" sqref="M39"/>
    </sheetView>
  </sheetViews>
  <sheetFormatPr defaultColWidth="9.14285714285714" defaultRowHeight="12.75"/>
  <cols>
    <col min="1" max="1" width="11.8571428571429" customWidth="1"/>
    <col min="2" max="2" width="18" style="6" customWidth="1"/>
    <col min="3" max="3" width="11.7142857142857" style="1" customWidth="1"/>
    <col min="4" max="4" width="13.4285714285714" style="1" customWidth="1"/>
    <col min="5" max="5" width="12.4285714285714" style="1" customWidth="1"/>
    <col min="6" max="6" width="14.4285714285714" style="35" customWidth="1"/>
    <col min="7" max="7" width="10.1428571428571" style="1" customWidth="1"/>
    <col min="8" max="8" width="12.4285714285714" style="1" customWidth="1"/>
    <col min="9" max="9" width="13" style="1" customWidth="1"/>
    <col min="10" max="10" width="15.4285714285714" style="1" bestFit="1" customWidth="1"/>
    <col min="11" max="11" width="17" style="1" customWidth="1"/>
    <col min="12" max="12" width="12.4285714285714" style="1" customWidth="1"/>
    <col min="13" max="13" width="25.8571428571429" bestFit="1" customWidth="1"/>
    <col min="14" max="16" width="18" customWidth="1"/>
    <col min="17" max="17" width="17.1428571428571" customWidth="1"/>
    <col min="18" max="19" width="15.7142857142857" customWidth="1"/>
    <col min="20" max="20" width="15" customWidth="1"/>
    <col min="21" max="22" width="14.1428571428571" bestFit="1" customWidth="1"/>
    <col min="23" max="23" width="11.7142857142857" bestFit="1" customWidth="1"/>
    <col min="24" max="24" width="11.8571428571429" bestFit="1" customWidth="1"/>
    <col min="25" max="25" width="12.5714285714286" style="6" customWidth="1"/>
    <col min="26" max="26" width="11.2857142857143" style="6" customWidth="1"/>
    <col min="27" max="27" width="11.5714285714286" style="6" customWidth="1"/>
    <col min="28" max="28" width="9.28571428571429" style="6" customWidth="1"/>
    <col min="29" max="29" width="9.14285714285714" style="6"/>
    <col min="30" max="30" width="11.7142857142857" style="6" bestFit="1" customWidth="1"/>
    <col min="31" max="31" width="10.7142857142857" style="6" bestFit="1" customWidth="1"/>
    <col min="32" max="33" width="9.14285714285714" style="6"/>
  </cols>
  <sheetData>
    <row r="2" spans="2:27" ht="42" customHeight="1">
      <c r="B2" s="7" t="s">
        <v>90</v>
      </c>
      <c r="C2" s="12" t="s">
        <v>3</v>
      </c>
      <c r="D2" s="12" t="s">
        <v>4</v>
      </c>
      <c r="E2" s="12" t="s">
        <v>27</v>
      </c>
      <c r="F2" s="33" t="s">
        <v>7</v>
      </c>
      <c r="G2" s="12" t="s">
        <v>5</v>
      </c>
      <c r="H2" s="12" t="s">
        <v>77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28</v>
      </c>
      <c r="Y2" s="9"/>
      <c r="Z2" s="9"/>
      <c r="AA2" s="9"/>
    </row>
    <row r="3" spans="1:12" ht="13.5" thickBot="1">
      <c r="A3" s="3">
        <v>37622</v>
      </c>
      <c r="B3" s="46">
        <v>43446520.175941855</v>
      </c>
      <c r="C3" s="65">
        <v>829.50</v>
      </c>
      <c r="D3" s="65">
        <v>0</v>
      </c>
      <c r="E3" s="67">
        <v>0</v>
      </c>
      <c r="F3" s="68">
        <v>125.66024937363977</v>
      </c>
      <c r="G3" s="67">
        <v>31</v>
      </c>
      <c r="H3" s="47">
        <v>50170</v>
      </c>
      <c r="I3" s="67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14" ht="12.75">
      <c r="A4" s="3">
        <v>37653</v>
      </c>
      <c r="B4" s="46">
        <v>41424649.187225088</v>
      </c>
      <c r="C4" s="65">
        <v>699.20</v>
      </c>
      <c r="D4" s="65">
        <v>0</v>
      </c>
      <c r="E4" s="67">
        <v>0</v>
      </c>
      <c r="F4" s="68">
        <v>125.80592062045517</v>
      </c>
      <c r="G4" s="67">
        <v>28</v>
      </c>
      <c r="H4" s="47">
        <v>50392</v>
      </c>
      <c r="I4" s="67">
        <v>319.87200000000001</v>
      </c>
      <c r="J4" s="10">
        <f t="shared" si="0" ref="J4:J67">$N$18+C4*$N$19+D4*$N$20+E4*$N$21+F4*$N$22+G4*$N$23+H4*$N$24+I4*$N$25</f>
        <v>44186219.902829319</v>
      </c>
      <c r="K4" s="10"/>
      <c r="L4" s="14"/>
      <c r="M4" s="54" t="s">
        <v>29</v>
      </c>
      <c r="N4" s="54"/>
    </row>
    <row r="5" spans="1:14" ht="12.75">
      <c r="A5" s="3">
        <v>37681</v>
      </c>
      <c r="B5" s="46">
        <v>39855061.856951609</v>
      </c>
      <c r="C5" s="65">
        <v>593.10</v>
      </c>
      <c r="D5" s="65">
        <v>0</v>
      </c>
      <c r="E5" s="67">
        <v>1</v>
      </c>
      <c r="F5" s="68">
        <v>125.9517607362029</v>
      </c>
      <c r="G5" s="67">
        <v>31</v>
      </c>
      <c r="H5" s="47">
        <v>50438</v>
      </c>
      <c r="I5" s="67">
        <v>336.28800000000001</v>
      </c>
      <c r="J5" s="10">
        <f t="shared" si="0"/>
        <v>41572854.200582579</v>
      </c>
      <c r="K5" s="10"/>
      <c r="L5" s="14"/>
      <c r="M5" s="36" t="s">
        <v>30</v>
      </c>
      <c r="N5" s="64">
        <v>0.86182872144808842</v>
      </c>
    </row>
    <row r="6" spans="1:14" ht="12.75">
      <c r="A6" s="3">
        <v>37712</v>
      </c>
      <c r="B6" s="46">
        <v>36478558.175559379</v>
      </c>
      <c r="C6" s="65">
        <v>387.10</v>
      </c>
      <c r="D6" s="65">
        <v>0</v>
      </c>
      <c r="E6" s="67">
        <v>1</v>
      </c>
      <c r="F6" s="68">
        <v>126.09776991664374</v>
      </c>
      <c r="G6" s="67">
        <v>30</v>
      </c>
      <c r="H6" s="47">
        <v>50542</v>
      </c>
      <c r="I6" s="67">
        <v>336.24</v>
      </c>
      <c r="J6" s="10">
        <f t="shared" si="0"/>
        <v>39592690.363142014</v>
      </c>
      <c r="K6" s="10"/>
      <c r="L6" s="14"/>
      <c r="M6" s="36" t="s">
        <v>31</v>
      </c>
      <c r="N6" s="64">
        <v>0.74274874511284672</v>
      </c>
    </row>
    <row r="7" spans="1:14" ht="12.75">
      <c r="A7" s="3">
        <v>37742</v>
      </c>
      <c r="B7" s="46">
        <v>37530913.023522653</v>
      </c>
      <c r="C7" s="65">
        <v>215.80</v>
      </c>
      <c r="D7" s="65">
        <v>0</v>
      </c>
      <c r="E7" s="67">
        <v>1</v>
      </c>
      <c r="F7" s="68">
        <v>126.2439483577654</v>
      </c>
      <c r="G7" s="67">
        <v>31</v>
      </c>
      <c r="H7" s="47">
        <v>50637</v>
      </c>
      <c r="I7" s="67">
        <v>336.28800000000001</v>
      </c>
      <c r="J7" s="10">
        <f t="shared" si="0"/>
        <v>37946078.395406246</v>
      </c>
      <c r="K7" s="10"/>
      <c r="L7" s="14"/>
      <c r="M7" s="36" t="s">
        <v>32</v>
      </c>
      <c r="N7" s="64">
        <v>0.73436011723609174</v>
      </c>
    </row>
    <row r="8" spans="1:14" ht="12.75">
      <c r="A8" s="3">
        <v>37773</v>
      </c>
      <c r="B8" s="46">
        <v>40980738.850640655</v>
      </c>
      <c r="C8" s="65">
        <v>54.50</v>
      </c>
      <c r="D8" s="65">
        <v>41.40</v>
      </c>
      <c r="E8" s="67">
        <v>0</v>
      </c>
      <c r="F8" s="68">
        <v>126.3902962557828</v>
      </c>
      <c r="G8" s="67">
        <v>30</v>
      </c>
      <c r="H8" s="47">
        <v>50793</v>
      </c>
      <c r="I8" s="67">
        <v>336.24</v>
      </c>
      <c r="J8" s="10">
        <f t="shared" si="0"/>
        <v>45135420.494667485</v>
      </c>
      <c r="K8" s="10"/>
      <c r="L8" s="14"/>
      <c r="M8" s="36" t="s">
        <v>33</v>
      </c>
      <c r="N8" s="36">
        <v>3236890.8927269015</v>
      </c>
    </row>
    <row r="9" spans="1:14" ht="13.5" thickBot="1">
      <c r="A9" s="3">
        <v>37803</v>
      </c>
      <c r="B9" s="46">
        <v>53492896.003059857</v>
      </c>
      <c r="C9" s="65">
        <v>6.50</v>
      </c>
      <c r="D9" s="65">
        <v>83.90</v>
      </c>
      <c r="E9" s="67">
        <v>0</v>
      </c>
      <c r="F9" s="68">
        <v>126.5368138071383</v>
      </c>
      <c r="G9" s="67">
        <v>31</v>
      </c>
      <c r="H9" s="47">
        <v>50926</v>
      </c>
      <c r="I9" s="67">
        <v>351.91199999999998</v>
      </c>
      <c r="J9" s="10">
        <f t="shared" si="0"/>
        <v>52010246.219151944</v>
      </c>
      <c r="K9" s="10"/>
      <c r="L9" s="14"/>
      <c r="M9" s="52" t="s">
        <v>34</v>
      </c>
      <c r="N9" s="52">
        <v>96</v>
      </c>
    </row>
    <row r="10" spans="1:12" ht="12.75">
      <c r="A10" s="3">
        <v>37834</v>
      </c>
      <c r="B10" s="46">
        <v>53069636.498374447</v>
      </c>
      <c r="C10" s="65">
        <v>5.70</v>
      </c>
      <c r="D10" s="65">
        <v>102.60</v>
      </c>
      <c r="E10" s="67">
        <v>0</v>
      </c>
      <c r="F10" s="68">
        <v>126.68350120850199</v>
      </c>
      <c r="G10" s="67">
        <v>31</v>
      </c>
      <c r="H10" s="47">
        <v>51033</v>
      </c>
      <c r="I10" s="67">
        <v>319.92</v>
      </c>
      <c r="J10" s="10">
        <f t="shared" si="0"/>
        <v>55230494.436841577</v>
      </c>
      <c r="K10" s="10"/>
      <c r="L10" s="14"/>
    </row>
    <row r="11" spans="1:13" ht="13.5" thickBot="1">
      <c r="A11" s="3">
        <v>37865</v>
      </c>
      <c r="B11" s="46">
        <v>39251960.040160634</v>
      </c>
      <c r="C11" s="65">
        <v>73.900000000000006</v>
      </c>
      <c r="D11" s="65">
        <v>14.80</v>
      </c>
      <c r="E11" s="67">
        <v>1</v>
      </c>
      <c r="F11" s="68">
        <v>126.83035865677196</v>
      </c>
      <c r="G11" s="67">
        <v>30</v>
      </c>
      <c r="H11" s="47">
        <v>51167</v>
      </c>
      <c r="I11" s="67">
        <v>336.24</v>
      </c>
      <c r="J11" s="10">
        <f t="shared" si="0"/>
        <v>39136804.151691951</v>
      </c>
      <c r="K11" s="10"/>
      <c r="L11" s="14"/>
      <c r="M11" t="s">
        <v>35</v>
      </c>
    </row>
    <row r="12" spans="1:18" ht="12.75">
      <c r="A12" s="3">
        <v>37895</v>
      </c>
      <c r="B12" s="46">
        <v>37782501.549053349</v>
      </c>
      <c r="C12" s="65">
        <v>293.50</v>
      </c>
      <c r="D12" s="65">
        <v>0</v>
      </c>
      <c r="E12" s="67">
        <v>1</v>
      </c>
      <c r="F12" s="68">
        <v>126.97738634907456</v>
      </c>
      <c r="G12" s="67">
        <v>31</v>
      </c>
      <c r="H12" s="47">
        <v>51290</v>
      </c>
      <c r="I12" s="67">
        <v>351.91199999999998</v>
      </c>
      <c r="J12" s="10">
        <f t="shared" si="0"/>
        <v>38692965.43506223</v>
      </c>
      <c r="K12" s="10"/>
      <c r="L12" s="14"/>
      <c r="M12" s="53"/>
      <c r="N12" s="53" t="s">
        <v>39</v>
      </c>
      <c r="O12" s="53" t="s">
        <v>40</v>
      </c>
      <c r="P12" s="53" t="s">
        <v>41</v>
      </c>
      <c r="Q12" s="53" t="s">
        <v>42</v>
      </c>
      <c r="R12" s="53" t="s">
        <v>43</v>
      </c>
    </row>
    <row r="13" spans="1:18" ht="12.75">
      <c r="A13" s="3">
        <v>37926</v>
      </c>
      <c r="B13" s="46">
        <v>38643918.932874352</v>
      </c>
      <c r="C13" s="65">
        <v>391.50</v>
      </c>
      <c r="D13" s="65">
        <v>0</v>
      </c>
      <c r="E13" s="67">
        <v>1</v>
      </c>
      <c r="F13" s="68">
        <v>127.12458448276465</v>
      </c>
      <c r="G13" s="67">
        <v>30</v>
      </c>
      <c r="H13" s="47">
        <v>51377</v>
      </c>
      <c r="I13" s="67">
        <v>319.68</v>
      </c>
      <c r="J13" s="10">
        <f t="shared" si="0"/>
        <v>39634985.12471842</v>
      </c>
      <c r="K13" s="10"/>
      <c r="L13" s="14"/>
      <c r="M13" s="36" t="s">
        <v>36</v>
      </c>
      <c r="N13" s="36">
        <v>3</v>
      </c>
      <c r="O13" s="36">
        <v>2783097194431071.5</v>
      </c>
      <c r="P13" s="36">
        <v>927699064810357.12</v>
      </c>
      <c r="Q13" s="36">
        <v>88.542340419106381</v>
      </c>
      <c r="R13" s="36">
        <v>5.0211891734197296E-27</v>
      </c>
    </row>
    <row r="14" spans="1:18" ht="12.75">
      <c r="A14" s="3">
        <v>37956</v>
      </c>
      <c r="B14" s="46">
        <v>43629588.410786003</v>
      </c>
      <c r="C14" s="65">
        <v>571</v>
      </c>
      <c r="D14" s="65">
        <v>0</v>
      </c>
      <c r="E14" s="67">
        <v>0</v>
      </c>
      <c r="F14" s="68">
        <v>127.27195325542573</v>
      </c>
      <c r="G14" s="67">
        <v>31</v>
      </c>
      <c r="H14" s="47">
        <v>51456</v>
      </c>
      <c r="I14" s="67">
        <v>336.28800000000001</v>
      </c>
      <c r="J14" s="10">
        <f t="shared" si="0"/>
        <v>42953904.34962602</v>
      </c>
      <c r="K14" s="10"/>
      <c r="L14" s="14"/>
      <c r="M14" s="36" t="s">
        <v>37</v>
      </c>
      <c r="N14" s="36">
        <v>92</v>
      </c>
      <c r="O14" s="36">
        <v>963926563930488.88</v>
      </c>
      <c r="P14" s="36">
        <v>10477462651418.357</v>
      </c>
      <c r="Q14" s="36"/>
      <c r="R14" s="36"/>
    </row>
    <row r="15" spans="1:18" ht="13.5" thickBot="1">
      <c r="A15" s="3">
        <v>37987</v>
      </c>
      <c r="B15" s="46">
        <v>50137810.049722694</v>
      </c>
      <c r="C15" s="65">
        <v>859.10</v>
      </c>
      <c r="D15" s="65">
        <v>0</v>
      </c>
      <c r="E15" s="67">
        <v>0</v>
      </c>
      <c r="F15" s="68">
        <v>127.53411264087498</v>
      </c>
      <c r="G15" s="67">
        <v>31</v>
      </c>
      <c r="H15" s="47">
        <v>51561</v>
      </c>
      <c r="I15" s="67">
        <v>336.28800000000001</v>
      </c>
      <c r="J15" s="10">
        <f t="shared" si="0"/>
        <v>45723249.98829896</v>
      </c>
      <c r="K15" s="10"/>
      <c r="L15" s="14"/>
      <c r="M15" s="52" t="s">
        <v>11</v>
      </c>
      <c r="N15" s="52">
        <v>95</v>
      </c>
      <c r="O15" s="52">
        <v>3747023758361560.5</v>
      </c>
      <c r="P15" s="52"/>
      <c r="Q15" s="52"/>
      <c r="R15" s="52"/>
    </row>
    <row r="16" spans="1:12" ht="13.5" thickBot="1">
      <c r="A16" s="3">
        <v>38018</v>
      </c>
      <c r="B16" s="46">
        <v>41976613.291260272</v>
      </c>
      <c r="C16" s="65">
        <v>647.70000000000005</v>
      </c>
      <c r="D16" s="65">
        <v>0</v>
      </c>
      <c r="E16" s="67">
        <v>0</v>
      </c>
      <c r="F16" s="68">
        <v>127.79681203173486</v>
      </c>
      <c r="G16" s="67">
        <v>29</v>
      </c>
      <c r="H16" s="47">
        <v>51656</v>
      </c>
      <c r="I16" s="67">
        <v>320.16000000000003</v>
      </c>
      <c r="J16" s="10">
        <f t="shared" si="0"/>
        <v>43691178.943469182</v>
      </c>
      <c r="K16" s="10"/>
      <c r="L16" s="14"/>
    </row>
    <row r="17" spans="1:21" ht="12.75">
      <c r="A17" s="3">
        <v>38047</v>
      </c>
      <c r="B17" s="46">
        <v>40379087.846624583</v>
      </c>
      <c r="C17" s="65">
        <v>513.60</v>
      </c>
      <c r="D17" s="65">
        <v>0</v>
      </c>
      <c r="E17" s="67">
        <v>1</v>
      </c>
      <c r="F17" s="68">
        <v>128.06005254032812</v>
      </c>
      <c r="G17" s="67">
        <v>31</v>
      </c>
      <c r="H17" s="47">
        <v>51785</v>
      </c>
      <c r="I17" s="67">
        <v>368.28</v>
      </c>
      <c r="J17" s="10">
        <f t="shared" si="0"/>
        <v>40808664.758463524</v>
      </c>
      <c r="K17" s="10"/>
      <c r="L17" s="14"/>
      <c r="M17" s="53"/>
      <c r="N17" s="53" t="s">
        <v>44</v>
      </c>
      <c r="O17" s="53" t="s">
        <v>33</v>
      </c>
      <c r="P17" s="53" t="s">
        <v>45</v>
      </c>
      <c r="Q17" s="53" t="s">
        <v>46</v>
      </c>
      <c r="R17" s="53" t="s">
        <v>47</v>
      </c>
      <c r="S17" s="53" t="s">
        <v>48</v>
      </c>
      <c r="T17" s="53" t="s">
        <v>49</v>
      </c>
      <c r="U17" s="53" t="s">
        <v>50</v>
      </c>
    </row>
    <row r="18" spans="1:21" ht="12.75">
      <c r="A18" s="3">
        <v>38078</v>
      </c>
      <c r="B18" s="46">
        <v>35176707.219353609</v>
      </c>
      <c r="C18" s="65">
        <v>329.30</v>
      </c>
      <c r="D18" s="65">
        <v>0</v>
      </c>
      <c r="E18" s="67">
        <v>1</v>
      </c>
      <c r="F18" s="68">
        <v>128.32383528126866</v>
      </c>
      <c r="G18" s="67">
        <v>30</v>
      </c>
      <c r="H18" s="47">
        <v>51882</v>
      </c>
      <c r="I18" s="67">
        <v>336.24</v>
      </c>
      <c r="J18" s="10">
        <f t="shared" si="0"/>
        <v>39037090.995161124</v>
      </c>
      <c r="K18" s="10"/>
      <c r="L18" s="14"/>
      <c r="M18" s="36" t="s">
        <v>38</v>
      </c>
      <c r="N18" s="36">
        <v>37465197.790506795</v>
      </c>
      <c r="O18" s="36">
        <v>1560797.1784810978</v>
      </c>
      <c r="P18" s="60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ht="12.75">
      <c r="A19" s="3">
        <v>38108</v>
      </c>
      <c r="B19" s="46">
        <v>36196805.134825014</v>
      </c>
      <c r="C19" s="65">
        <v>164.10</v>
      </c>
      <c r="D19" s="65">
        <v>14.20</v>
      </c>
      <c r="E19" s="67">
        <v>1</v>
      </c>
      <c r="F19" s="68">
        <v>128.58816137146633</v>
      </c>
      <c r="G19" s="67">
        <v>31</v>
      </c>
      <c r="H19" s="47">
        <v>51966</v>
      </c>
      <c r="I19" s="67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60">
        <v>4.0891232977421677</v>
      </c>
      <c r="Q19" s="36">
        <v>9.2619175292429066E-05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ht="12.75">
      <c r="A20" s="3">
        <v>38139</v>
      </c>
      <c r="B20" s="46">
        <v>40747866.532797858</v>
      </c>
      <c r="C20" s="65">
        <v>60.10</v>
      </c>
      <c r="D20" s="65">
        <v>29.20</v>
      </c>
      <c r="E20" s="67">
        <v>0</v>
      </c>
      <c r="F20" s="68">
        <v>128.85303193013166</v>
      </c>
      <c r="G20" s="67">
        <v>30</v>
      </c>
      <c r="H20" s="47">
        <v>52051</v>
      </c>
      <c r="I20" s="67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60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5" thickBot="1">
      <c r="A21" s="3">
        <v>38169</v>
      </c>
      <c r="B21" s="46">
        <v>48619398.60393957</v>
      </c>
      <c r="C21" s="65">
        <v>7.70</v>
      </c>
      <c r="D21" s="65">
        <v>71.599999999999994</v>
      </c>
      <c r="E21" s="67">
        <v>0</v>
      </c>
      <c r="F21" s="68">
        <v>129.11844807878055</v>
      </c>
      <c r="G21" s="67">
        <v>31</v>
      </c>
      <c r="H21" s="47">
        <v>52156</v>
      </c>
      <c r="I21" s="67">
        <v>336.28800000000001</v>
      </c>
      <c r="J21" s="10">
        <f t="shared" si="0"/>
        <v>49898591.873679169</v>
      </c>
      <c r="K21" s="10"/>
      <c r="L21" s="14"/>
      <c r="M21" s="52" t="s">
        <v>27</v>
      </c>
      <c r="N21" s="52">
        <v>-1593485.2015067269</v>
      </c>
      <c r="O21" s="52">
        <v>963431.05545995443</v>
      </c>
      <c r="P21" s="61">
        <v>-1.6539691060155586</v>
      </c>
      <c r="Q21" s="52">
        <v>0.10154199807572573</v>
      </c>
      <c r="R21" s="52">
        <v>-3506942.3945049196</v>
      </c>
      <c r="S21" s="52">
        <v>319971.99149146583</v>
      </c>
      <c r="T21" s="52">
        <v>-3506942.3945049196</v>
      </c>
      <c r="U21" s="52">
        <v>319971.99149146583</v>
      </c>
    </row>
    <row r="22" spans="1:12" ht="12.75">
      <c r="A22" s="3">
        <v>38200</v>
      </c>
      <c r="B22" s="46">
        <v>47071878.829604134</v>
      </c>
      <c r="C22" s="65">
        <v>28.90</v>
      </c>
      <c r="D22" s="65">
        <v>40</v>
      </c>
      <c r="E22" s="67">
        <v>0</v>
      </c>
      <c r="F22" s="68">
        <v>129.38441094123903</v>
      </c>
      <c r="G22" s="67">
        <v>31</v>
      </c>
      <c r="H22" s="47">
        <v>52296</v>
      </c>
      <c r="I22" s="67">
        <v>336.28800000000001</v>
      </c>
      <c r="J22" s="10">
        <f t="shared" si="0"/>
        <v>44647678.061320521</v>
      </c>
      <c r="K22" s="10"/>
      <c r="L22" s="14"/>
    </row>
    <row r="23" spans="1:12" ht="12.75">
      <c r="A23" s="3">
        <v>38231</v>
      </c>
      <c r="B23" s="46">
        <v>43312053.643144004</v>
      </c>
      <c r="C23" s="65">
        <v>43.90</v>
      </c>
      <c r="D23" s="65">
        <v>31.20</v>
      </c>
      <c r="E23" s="67">
        <v>1</v>
      </c>
      <c r="F23" s="68">
        <v>129.65092164364802</v>
      </c>
      <c r="G23" s="67">
        <v>30</v>
      </c>
      <c r="H23" s="47">
        <v>52434</v>
      </c>
      <c r="I23" s="67">
        <v>336.24</v>
      </c>
      <c r="J23" s="10">
        <f t="shared" si="0"/>
        <v>41679349.817904949</v>
      </c>
      <c r="K23" s="10"/>
      <c r="L23" s="14"/>
    </row>
    <row r="24" spans="1:12" ht="12.75">
      <c r="A24" s="3">
        <v>38261</v>
      </c>
      <c r="B24" s="46">
        <v>38022363.1956397</v>
      </c>
      <c r="C24" s="65">
        <v>253.50</v>
      </c>
      <c r="D24" s="65">
        <v>0</v>
      </c>
      <c r="E24" s="67">
        <v>1</v>
      </c>
      <c r="F24" s="68">
        <v>129.91798131446814</v>
      </c>
      <c r="G24" s="67">
        <v>31</v>
      </c>
      <c r="H24" s="47">
        <v>52600</v>
      </c>
      <c r="I24" s="67">
        <v>319.92</v>
      </c>
      <c r="J24" s="10">
        <f t="shared" si="0"/>
        <v>38308467.602549501</v>
      </c>
      <c r="K24" s="10"/>
      <c r="L24" s="14"/>
    </row>
    <row r="25" spans="1:21" ht="13.5" thickBot="1">
      <c r="A25" s="3">
        <v>38292</v>
      </c>
      <c r="B25" s="46">
        <v>38493628.60011474</v>
      </c>
      <c r="C25" s="65">
        <v>396</v>
      </c>
      <c r="D25" s="65">
        <v>0</v>
      </c>
      <c r="E25" s="67">
        <v>1</v>
      </c>
      <c r="F25" s="68">
        <v>130.18559108448443</v>
      </c>
      <c r="G25" s="67">
        <v>30</v>
      </c>
      <c r="H25" s="47">
        <v>52687</v>
      </c>
      <c r="I25" s="67">
        <v>352.08</v>
      </c>
      <c r="J25" s="10">
        <f t="shared" si="0"/>
        <v>39678241.130876102</v>
      </c>
      <c r="K25" s="10"/>
      <c r="L25" s="14"/>
      <c r="M25" s="52"/>
      <c r="N25" s="63"/>
      <c r="O25" s="52"/>
      <c r="P25" s="61"/>
      <c r="Q25" s="52"/>
      <c r="R25" s="52"/>
      <c r="S25" s="52"/>
      <c r="T25" s="52"/>
      <c r="U25" s="52"/>
    </row>
    <row r="26" spans="1:12" ht="12.75">
      <c r="A26" s="3">
        <v>38322</v>
      </c>
      <c r="B26" s="46">
        <v>47476677.223178424</v>
      </c>
      <c r="C26" s="65">
        <v>636.70000000000005</v>
      </c>
      <c r="D26" s="65">
        <v>0</v>
      </c>
      <c r="E26" s="67">
        <v>0</v>
      </c>
      <c r="F26" s="68">
        <v>130.45375208681136</v>
      </c>
      <c r="G26" s="67">
        <v>31</v>
      </c>
      <c r="H26" s="47">
        <v>52787</v>
      </c>
      <c r="I26" s="67">
        <v>336.28800000000001</v>
      </c>
      <c r="J26" s="10">
        <f t="shared" si="0"/>
        <v>43585442.039528176</v>
      </c>
      <c r="K26" s="10"/>
      <c r="L26" s="14"/>
    </row>
    <row r="27" spans="1:12" ht="12.75">
      <c r="A27" s="3">
        <v>38353</v>
      </c>
      <c r="B27" s="46">
        <v>46691245.888315164</v>
      </c>
      <c r="C27" s="65">
        <v>765.80</v>
      </c>
      <c r="D27" s="65">
        <v>0</v>
      </c>
      <c r="E27" s="67">
        <v>0</v>
      </c>
      <c r="F27" s="68">
        <v>130.74370215685079</v>
      </c>
      <c r="G27" s="67">
        <v>31</v>
      </c>
      <c r="H27" s="47">
        <v>52910</v>
      </c>
      <c r="I27" s="67">
        <v>319.92</v>
      </c>
      <c r="J27" s="10">
        <f t="shared" si="0"/>
        <v>44826408.793963015</v>
      </c>
      <c r="K27" s="10"/>
      <c r="L27" s="14"/>
    </row>
    <row r="28" spans="1:12" ht="12.75">
      <c r="A28" s="3">
        <v>38384</v>
      </c>
      <c r="B28" s="46">
        <v>41421727.825588062</v>
      </c>
      <c r="C28" s="65">
        <v>641.70000000000005</v>
      </c>
      <c r="D28" s="65">
        <v>0</v>
      </c>
      <c r="E28" s="67">
        <v>0</v>
      </c>
      <c r="F28" s="68">
        <v>131.0342966778299</v>
      </c>
      <c r="G28" s="67">
        <v>28</v>
      </c>
      <c r="H28" s="47">
        <v>53000</v>
      </c>
      <c r="I28" s="67">
        <v>319.87200000000001</v>
      </c>
      <c r="J28" s="10">
        <f t="shared" si="0"/>
        <v>43633504.268592268</v>
      </c>
      <c r="K28" s="10"/>
      <c r="L28" s="14"/>
    </row>
    <row r="29" spans="1:12" ht="12.75">
      <c r="A29" s="3">
        <v>38412</v>
      </c>
      <c r="B29" s="46">
        <v>40805161.923886023</v>
      </c>
      <c r="C29" s="65">
        <v>646.90</v>
      </c>
      <c r="D29" s="65">
        <v>0</v>
      </c>
      <c r="E29" s="67">
        <v>1</v>
      </c>
      <c r="F29" s="68">
        <v>131.32553708212294</v>
      </c>
      <c r="G29" s="67">
        <v>31</v>
      </c>
      <c r="H29" s="47">
        <v>53062</v>
      </c>
      <c r="I29" s="67">
        <v>351.91199999999998</v>
      </c>
      <c r="J29" s="10">
        <f t="shared" si="0"/>
        <v>42090003.785312198</v>
      </c>
      <c r="K29" s="10"/>
      <c r="L29" s="14"/>
    </row>
    <row r="30" spans="1:12" ht="12.75">
      <c r="A30" s="3">
        <v>38443</v>
      </c>
      <c r="B30" s="46">
        <v>35165396.538535096</v>
      </c>
      <c r="C30" s="65">
        <v>339</v>
      </c>
      <c r="D30" s="65">
        <v>0</v>
      </c>
      <c r="E30" s="67">
        <v>1</v>
      </c>
      <c r="F30" s="68">
        <v>131.61742480528775</v>
      </c>
      <c r="G30" s="67">
        <v>30</v>
      </c>
      <c r="H30" s="47">
        <v>53163</v>
      </c>
      <c r="I30" s="67">
        <v>336.24</v>
      </c>
      <c r="J30" s="10">
        <f t="shared" si="0"/>
        <v>39130331.719545461</v>
      </c>
      <c r="K30" s="10"/>
      <c r="L30" s="14"/>
    </row>
    <row r="31" spans="1:12" ht="12.75">
      <c r="A31" s="3">
        <v>38473</v>
      </c>
      <c r="B31" s="46">
        <v>36853618.722509086</v>
      </c>
      <c r="C31" s="65">
        <v>212.70</v>
      </c>
      <c r="D31" s="65">
        <v>0</v>
      </c>
      <c r="E31" s="67">
        <v>1</v>
      </c>
      <c r="F31" s="68">
        <v>131.90996128607299</v>
      </c>
      <c r="G31" s="67">
        <v>31</v>
      </c>
      <c r="H31" s="47">
        <v>53320</v>
      </c>
      <c r="I31" s="67">
        <v>336.28800000000001</v>
      </c>
      <c r="J31" s="10">
        <f t="shared" si="0"/>
        <v>37916279.813386515</v>
      </c>
      <c r="K31" s="10"/>
      <c r="L31" s="14"/>
    </row>
    <row r="32" spans="1:12" ht="12.75">
      <c r="A32" s="3">
        <v>38504</v>
      </c>
      <c r="B32" s="46">
        <v>56200447.466054693</v>
      </c>
      <c r="C32" s="65">
        <v>13.10</v>
      </c>
      <c r="D32" s="65">
        <v>119.60</v>
      </c>
      <c r="E32" s="67">
        <v>0</v>
      </c>
      <c r="F32" s="68">
        <v>132.20314796642501</v>
      </c>
      <c r="G32" s="67">
        <v>30</v>
      </c>
      <c r="H32" s="47">
        <v>53357</v>
      </c>
      <c r="I32" s="67">
        <v>352.08</v>
      </c>
      <c r="J32" s="10">
        <f t="shared" si="0"/>
        <v>58236115.785256311</v>
      </c>
      <c r="K32" s="10"/>
      <c r="L32" s="14"/>
    </row>
    <row r="33" spans="1:12" ht="12.75">
      <c r="A33" s="3">
        <v>38534</v>
      </c>
      <c r="B33" s="46">
        <v>63525600.009562053</v>
      </c>
      <c r="C33" s="65">
        <v>1.1000000000000001</v>
      </c>
      <c r="D33" s="65">
        <v>144.69999999999999</v>
      </c>
      <c r="E33" s="67">
        <v>0</v>
      </c>
      <c r="F33" s="68">
        <v>132.49698629149512</v>
      </c>
      <c r="G33" s="67">
        <v>31</v>
      </c>
      <c r="H33" s="47">
        <v>53560</v>
      </c>
      <c r="I33" s="67">
        <v>319.92</v>
      </c>
      <c r="J33" s="10">
        <f t="shared" si="0"/>
        <v>62453453.503734112</v>
      </c>
      <c r="K33" s="10"/>
      <c r="L33" s="14"/>
    </row>
    <row r="34" spans="1:12" ht="12.75">
      <c r="A34" s="3">
        <v>38565</v>
      </c>
      <c r="B34" s="46">
        <v>58470687.301587299</v>
      </c>
      <c r="C34" s="65">
        <v>3.80</v>
      </c>
      <c r="D34" s="65">
        <v>102.50</v>
      </c>
      <c r="E34" s="67">
        <v>0</v>
      </c>
      <c r="F34" s="68">
        <v>132.79147770964664</v>
      </c>
      <c r="G34" s="67">
        <v>31</v>
      </c>
      <c r="H34" s="47">
        <v>53553</v>
      </c>
      <c r="I34" s="67">
        <v>351.91199999999998</v>
      </c>
      <c r="J34" s="10">
        <f t="shared" si="0"/>
        <v>55194969.088330157</v>
      </c>
      <c r="K34" s="10"/>
      <c r="L34" s="14"/>
    </row>
    <row r="35" spans="1:12" ht="12.75">
      <c r="A35" s="3">
        <v>38596</v>
      </c>
      <c r="B35" s="46">
        <v>45505383.027347483</v>
      </c>
      <c r="C35" s="65">
        <v>32.799999999999997</v>
      </c>
      <c r="D35" s="65">
        <v>25.60</v>
      </c>
      <c r="E35" s="67">
        <v>1</v>
      </c>
      <c r="F35" s="68">
        <v>133.08662367246211</v>
      </c>
      <c r="G35" s="67">
        <v>30</v>
      </c>
      <c r="H35" s="47">
        <v>53669</v>
      </c>
      <c r="I35" s="67">
        <v>336.24</v>
      </c>
      <c r="J35" s="10">
        <f t="shared" si="0"/>
        <v>40605996.387227409</v>
      </c>
      <c r="K35" s="10"/>
      <c r="L35" s="14"/>
    </row>
    <row r="36" spans="1:12" ht="12.75">
      <c r="A36" s="3">
        <v>38626</v>
      </c>
      <c r="B36" s="46">
        <v>38036890.648307517</v>
      </c>
      <c r="C36" s="65">
        <v>234.20</v>
      </c>
      <c r="D36" s="65">
        <v>7.60</v>
      </c>
      <c r="E36" s="67">
        <v>1</v>
      </c>
      <c r="F36" s="68">
        <v>133.38242563475035</v>
      </c>
      <c r="G36" s="67">
        <v>31</v>
      </c>
      <c r="H36" s="47">
        <v>53817</v>
      </c>
      <c r="I36" s="67">
        <v>319.92</v>
      </c>
      <c r="J36" s="10">
        <f t="shared" si="0"/>
        <v>39434836.709858529</v>
      </c>
      <c r="K36" s="10"/>
      <c r="L36" s="14"/>
    </row>
    <row r="37" spans="1:12" ht="12.75">
      <c r="A37" s="3">
        <v>38657</v>
      </c>
      <c r="B37" s="46">
        <v>39198767.316886589</v>
      </c>
      <c r="C37" s="65">
        <v>396.30</v>
      </c>
      <c r="D37" s="65">
        <v>0</v>
      </c>
      <c r="E37" s="67">
        <v>1</v>
      </c>
      <c r="F37" s="68">
        <v>133.67888505455369</v>
      </c>
      <c r="G37" s="67">
        <v>30</v>
      </c>
      <c r="H37" s="47">
        <v>53923</v>
      </c>
      <c r="I37" s="67">
        <v>352.08</v>
      </c>
      <c r="J37" s="10">
        <f t="shared" si="0"/>
        <v>39681124.864619948</v>
      </c>
      <c r="K37" s="10"/>
      <c r="L37" s="14"/>
    </row>
    <row r="38" spans="1:12" ht="12.75">
      <c r="A38" s="3">
        <v>38687</v>
      </c>
      <c r="B38" s="46">
        <v>48107176.343469106</v>
      </c>
      <c r="C38" s="65">
        <v>688.80</v>
      </c>
      <c r="D38" s="65">
        <v>0</v>
      </c>
      <c r="E38" s="67">
        <v>0</v>
      </c>
      <c r="F38" s="68">
        <v>133.97600339315525</v>
      </c>
      <c r="G38" s="67">
        <v>31</v>
      </c>
      <c r="H38" s="47">
        <v>53983</v>
      </c>
      <c r="I38" s="67">
        <v>319.92</v>
      </c>
      <c r="J38" s="10">
        <f t="shared" si="0"/>
        <v>44086250.466376007</v>
      </c>
      <c r="K38" s="10"/>
      <c r="L38" s="14"/>
    </row>
    <row r="39" spans="1:12" ht="12.75">
      <c r="A39" s="3">
        <v>38718</v>
      </c>
      <c r="B39" s="39">
        <v>43486315.920826167</v>
      </c>
      <c r="C39" s="65">
        <v>554.70000000000005</v>
      </c>
      <c r="D39" s="65">
        <v>0</v>
      </c>
      <c r="E39" s="67">
        <v>0</v>
      </c>
      <c r="F39" s="68">
        <v>134.25197202423306</v>
      </c>
      <c r="G39" s="67">
        <v>31</v>
      </c>
      <c r="H39" s="47">
        <v>54120</v>
      </c>
      <c r="I39" s="67">
        <v>336.28800000000001</v>
      </c>
      <c r="J39" s="10">
        <f t="shared" si="0"/>
        <v>42797221.482877083</v>
      </c>
      <c r="K39" s="10"/>
      <c r="L39" s="14"/>
    </row>
    <row r="40" spans="1:12" ht="12.75">
      <c r="A40" s="3">
        <v>38749</v>
      </c>
      <c r="B40" s="39">
        <v>39596332.520558424</v>
      </c>
      <c r="C40" s="65">
        <v>602.79999999999995</v>
      </c>
      <c r="D40" s="65">
        <v>0</v>
      </c>
      <c r="E40" s="67">
        <v>0</v>
      </c>
      <c r="F40" s="68">
        <v>134.52850910550649</v>
      </c>
      <c r="G40" s="67">
        <v>28</v>
      </c>
      <c r="H40" s="47">
        <v>54226</v>
      </c>
      <c r="I40" s="67">
        <v>319.87200000000001</v>
      </c>
      <c r="J40" s="10">
        <f t="shared" si="0"/>
        <v>43259580.126473643</v>
      </c>
      <c r="K40" s="10"/>
      <c r="L40" s="14"/>
    </row>
    <row r="41" spans="1:12" ht="12.75">
      <c r="A41" s="3">
        <v>38777</v>
      </c>
      <c r="B41" s="39">
        <v>40630720.787913553</v>
      </c>
      <c r="C41" s="65">
        <v>530.40</v>
      </c>
      <c r="D41" s="65">
        <v>0</v>
      </c>
      <c r="E41" s="67">
        <v>1</v>
      </c>
      <c r="F41" s="68">
        <v>134.80561580788987</v>
      </c>
      <c r="G41" s="67">
        <v>31</v>
      </c>
      <c r="H41" s="47">
        <v>54292</v>
      </c>
      <c r="I41" s="67">
        <v>368.28</v>
      </c>
      <c r="J41" s="10">
        <f t="shared" si="0"/>
        <v>40970153.848118871</v>
      </c>
      <c r="K41" s="10"/>
      <c r="L41" s="14"/>
    </row>
    <row r="42" spans="1:12" ht="12.75">
      <c r="A42" s="3">
        <v>38808</v>
      </c>
      <c r="B42" s="39">
        <v>34886527.863836296</v>
      </c>
      <c r="C42" s="65">
        <v>314.60000000000002</v>
      </c>
      <c r="D42" s="65">
        <v>0</v>
      </c>
      <c r="E42" s="67">
        <v>1</v>
      </c>
      <c r="F42" s="68">
        <v>135.08329330470943</v>
      </c>
      <c r="G42" s="67">
        <v>30</v>
      </c>
      <c r="H42" s="47">
        <v>54319</v>
      </c>
      <c r="I42" s="67">
        <v>303.83999999999997</v>
      </c>
      <c r="J42" s="10">
        <f t="shared" si="0"/>
        <v>38895788.041712694</v>
      </c>
      <c r="K42" s="10"/>
      <c r="L42" s="14"/>
    </row>
    <row r="43" spans="1:12" ht="12.75">
      <c r="A43" s="3">
        <v>38838</v>
      </c>
      <c r="B43" s="39">
        <v>37710949.841787331</v>
      </c>
      <c r="C43" s="65">
        <v>155.50</v>
      </c>
      <c r="D43" s="65">
        <v>22.40</v>
      </c>
      <c r="E43" s="67">
        <v>1</v>
      </c>
      <c r="F43" s="68">
        <v>135.36154277170829</v>
      </c>
      <c r="G43" s="67">
        <v>31</v>
      </c>
      <c r="H43" s="47">
        <v>54503</v>
      </c>
      <c r="I43" s="67">
        <v>351.91199999999998</v>
      </c>
      <c r="J43" s="10">
        <f t="shared" si="0"/>
        <v>41233069.041514345</v>
      </c>
      <c r="K43" s="10"/>
      <c r="L43" s="14"/>
    </row>
    <row r="44" spans="1:12" ht="12.75">
      <c r="A44" s="3">
        <v>38869</v>
      </c>
      <c r="B44" s="39">
        <v>47310688.12925496</v>
      </c>
      <c r="C44" s="65">
        <v>26.70</v>
      </c>
      <c r="D44" s="65">
        <v>43.20</v>
      </c>
      <c r="E44" s="67">
        <v>0</v>
      </c>
      <c r="F44" s="68">
        <v>135.64036538705133</v>
      </c>
      <c r="G44" s="67">
        <v>30</v>
      </c>
      <c r="H44" s="47">
        <v>54582</v>
      </c>
      <c r="I44" s="67">
        <v>352.08</v>
      </c>
      <c r="J44" s="10">
        <f t="shared" si="0"/>
        <v>45178905.12747819</v>
      </c>
      <c r="K44" s="10"/>
      <c r="L44" s="14"/>
    </row>
    <row r="45" spans="1:12" ht="12.75">
      <c r="A45" s="3">
        <v>38899</v>
      </c>
      <c r="B45" s="39">
        <v>62049187.371751845</v>
      </c>
      <c r="C45" s="65">
        <v>1.90</v>
      </c>
      <c r="D45" s="65">
        <v>136.10</v>
      </c>
      <c r="E45" s="67">
        <v>0</v>
      </c>
      <c r="F45" s="68">
        <v>135.9197623313303</v>
      </c>
      <c r="G45" s="67">
        <v>31</v>
      </c>
      <c r="H45" s="47">
        <v>54614</v>
      </c>
      <c r="I45" s="67">
        <v>319.92</v>
      </c>
      <c r="J45" s="10">
        <f t="shared" si="0"/>
        <v>60976637.134217352</v>
      </c>
      <c r="K45" s="10"/>
      <c r="L45" s="14"/>
    </row>
    <row r="46" spans="1:12" ht="12.75">
      <c r="A46" s="3">
        <v>38930</v>
      </c>
      <c r="B46" s="39">
        <v>52352728.22897689</v>
      </c>
      <c r="C46" s="65">
        <v>8.10</v>
      </c>
      <c r="D46" s="65">
        <v>70.099999999999994</v>
      </c>
      <c r="E46" s="67">
        <v>0</v>
      </c>
      <c r="F46" s="68">
        <v>136.19973478756879</v>
      </c>
      <c r="G46" s="67">
        <v>31</v>
      </c>
      <c r="H46" s="47">
        <v>54720</v>
      </c>
      <c r="I46" s="67">
        <v>351.91199999999998</v>
      </c>
      <c r="J46" s="10">
        <f t="shared" si="0"/>
        <v>49643511.329998419</v>
      </c>
      <c r="K46" s="10"/>
      <c r="L46" s="14"/>
    </row>
    <row r="47" spans="1:12" ht="12.75">
      <c r="A47" s="3">
        <v>38961</v>
      </c>
      <c r="B47" s="39">
        <v>38968951.951289676</v>
      </c>
      <c r="C47" s="65">
        <v>105.30</v>
      </c>
      <c r="D47" s="65">
        <v>4.0999999999999996</v>
      </c>
      <c r="E47" s="67">
        <v>1</v>
      </c>
      <c r="F47" s="68">
        <v>136.48028394122719</v>
      </c>
      <c r="G47" s="67">
        <v>30</v>
      </c>
      <c r="H47" s="47">
        <v>54771</v>
      </c>
      <c r="I47" s="67">
        <v>319.68</v>
      </c>
      <c r="J47" s="10">
        <f t="shared" si="0"/>
        <v>37591632.893239222</v>
      </c>
      <c r="K47" s="10"/>
      <c r="L47" s="14"/>
    </row>
    <row r="48" spans="1:12" ht="12.75">
      <c r="A48" s="3">
        <v>38991</v>
      </c>
      <c r="B48" s="39">
        <v>39248850.47463803</v>
      </c>
      <c r="C48" s="65">
        <v>304.10000000000002</v>
      </c>
      <c r="D48" s="65">
        <v>0</v>
      </c>
      <c r="E48" s="67">
        <v>1</v>
      </c>
      <c r="F48" s="68">
        <v>136.76141098020776</v>
      </c>
      <c r="G48" s="67">
        <v>31</v>
      </c>
      <c r="H48" s="47">
        <v>54867</v>
      </c>
      <c r="I48" s="67">
        <v>336.28800000000001</v>
      </c>
      <c r="J48" s="10">
        <f t="shared" si="0"/>
        <v>38794857.360678099</v>
      </c>
      <c r="K48" s="10"/>
      <c r="L48" s="14"/>
    </row>
    <row r="49" spans="1:12" ht="12.75">
      <c r="A49" s="3">
        <v>39022</v>
      </c>
      <c r="B49" s="39">
        <v>39935326.982452773</v>
      </c>
      <c r="C49" s="65">
        <v>393.10</v>
      </c>
      <c r="D49" s="65">
        <v>0</v>
      </c>
      <c r="E49" s="67">
        <v>1</v>
      </c>
      <c r="F49" s="68">
        <v>137.04311709485967</v>
      </c>
      <c r="G49" s="67">
        <v>30</v>
      </c>
      <c r="H49" s="47">
        <v>54921</v>
      </c>
      <c r="I49" s="67">
        <v>352.08</v>
      </c>
      <c r="J49" s="10">
        <f t="shared" si="0"/>
        <v>39650365.038018927</v>
      </c>
      <c r="K49" s="10"/>
      <c r="L49" s="14"/>
    </row>
    <row r="50" spans="1:12" ht="12.75">
      <c r="A50" s="3">
        <v>39052</v>
      </c>
      <c r="B50" s="39">
        <v>45212711.794035867</v>
      </c>
      <c r="C50" s="65">
        <v>508.10</v>
      </c>
      <c r="D50" s="65">
        <v>0</v>
      </c>
      <c r="E50" s="67">
        <v>0</v>
      </c>
      <c r="F50" s="68">
        <v>137.32540347798411</v>
      </c>
      <c r="G50" s="67">
        <v>31</v>
      </c>
      <c r="H50" s="47">
        <v>55016</v>
      </c>
      <c r="I50" s="67">
        <v>304.29599999999999</v>
      </c>
      <c r="J50" s="10">
        <f t="shared" si="0"/>
        <v>42349281.507999748</v>
      </c>
      <c r="K50" s="10"/>
      <c r="L50" s="14"/>
    </row>
    <row r="51" spans="1:12" ht="12.75">
      <c r="A51" s="3">
        <v>39083</v>
      </c>
      <c r="B51" s="39">
        <v>43000891.916770548</v>
      </c>
      <c r="C51" s="65">
        <v>665.60</v>
      </c>
      <c r="D51" s="65">
        <v>0</v>
      </c>
      <c r="E51" s="67">
        <v>0</v>
      </c>
      <c r="F51" s="68">
        <v>137.58587596073079</v>
      </c>
      <c r="G51" s="67">
        <v>31</v>
      </c>
      <c r="H51" s="47">
        <v>55075</v>
      </c>
      <c r="I51" s="67">
        <v>351.91199999999998</v>
      </c>
      <c r="J51" s="10">
        <f t="shared" si="0"/>
        <v>43863241.723518625</v>
      </c>
      <c r="K51" s="10"/>
      <c r="L51" s="14"/>
    </row>
    <row r="52" spans="1:12" ht="12.75">
      <c r="A52" s="3">
        <v>39114</v>
      </c>
      <c r="B52" s="39">
        <v>43691512.618659511</v>
      </c>
      <c r="C52" s="65">
        <v>761.80</v>
      </c>
      <c r="D52" s="65">
        <v>0</v>
      </c>
      <c r="E52" s="67">
        <v>0</v>
      </c>
      <c r="F52" s="68">
        <v>137.84684249565245</v>
      </c>
      <c r="G52" s="67">
        <v>28</v>
      </c>
      <c r="H52" s="47">
        <v>55142</v>
      </c>
      <c r="I52" s="67">
        <v>319.87200000000001</v>
      </c>
      <c r="J52" s="10">
        <f t="shared" si="0"/>
        <v>44787959.010711744</v>
      </c>
      <c r="K52" s="10"/>
      <c r="L52" s="14"/>
    </row>
    <row r="53" spans="1:12" ht="12.75">
      <c r="A53" s="3">
        <v>39142</v>
      </c>
      <c r="B53" s="39">
        <v>41759123.722312786</v>
      </c>
      <c r="C53" s="65">
        <v>565.20000000000005</v>
      </c>
      <c r="D53" s="65">
        <v>0</v>
      </c>
      <c r="E53" s="67">
        <v>1</v>
      </c>
      <c r="F53" s="68">
        <v>138.10830401984444</v>
      </c>
      <c r="G53" s="67">
        <v>31</v>
      </c>
      <c r="H53" s="47">
        <v>55179</v>
      </c>
      <c r="I53" s="67">
        <v>351.91199999999998</v>
      </c>
      <c r="J53" s="10">
        <f t="shared" si="0"/>
        <v>41304666.962404951</v>
      </c>
      <c r="K53" s="10"/>
      <c r="L53" s="14"/>
    </row>
    <row r="54" spans="1:12" ht="12.75">
      <c r="A54" s="3">
        <v>39173</v>
      </c>
      <c r="B54" s="39">
        <v>37329473.142199636</v>
      </c>
      <c r="C54" s="65">
        <v>374.20</v>
      </c>
      <c r="D54" s="65">
        <v>0</v>
      </c>
      <c r="E54" s="67">
        <v>1</v>
      </c>
      <c r="F54" s="68">
        <v>138.37026147217955</v>
      </c>
      <c r="G54" s="67">
        <v>30</v>
      </c>
      <c r="H54" s="47">
        <v>55235</v>
      </c>
      <c r="I54" s="67">
        <v>319.68</v>
      </c>
      <c r="J54" s="10">
        <f t="shared" si="0"/>
        <v>39468689.812156662</v>
      </c>
      <c r="K54" s="10"/>
      <c r="L54" s="14"/>
    </row>
    <row r="55" spans="1:12" ht="12.75">
      <c r="A55" s="3">
        <v>39203</v>
      </c>
      <c r="B55" s="39">
        <v>39372691.283919841</v>
      </c>
      <c r="C55" s="65">
        <v>138.40</v>
      </c>
      <c r="D55" s="65">
        <v>23.30</v>
      </c>
      <c r="E55" s="67">
        <v>1</v>
      </c>
      <c r="F55" s="68">
        <v>138.63271579331135</v>
      </c>
      <c r="G55" s="67">
        <v>31</v>
      </c>
      <c r="H55" s="47">
        <v>55254</v>
      </c>
      <c r="I55" s="67">
        <v>351.91199999999998</v>
      </c>
      <c r="J55" s="10">
        <f t="shared" si="0"/>
        <v>41224051.531318679</v>
      </c>
      <c r="K55" s="10"/>
      <c r="L55" s="14"/>
    </row>
    <row r="56" spans="1:12" ht="12.75">
      <c r="A56" s="3">
        <v>39234</v>
      </c>
      <c r="B56" s="39">
        <v>51017213.126857802</v>
      </c>
      <c r="C56" s="65">
        <v>19.20</v>
      </c>
      <c r="D56" s="65">
        <v>74.20</v>
      </c>
      <c r="E56" s="67">
        <v>0</v>
      </c>
      <c r="F56" s="68">
        <v>138.89566792567766</v>
      </c>
      <c r="G56" s="67">
        <v>30</v>
      </c>
      <c r="H56" s="47">
        <v>55380</v>
      </c>
      <c r="I56" s="67">
        <v>336.24</v>
      </c>
      <c r="J56" s="10">
        <f t="shared" si="0"/>
        <v>50457939.238670088</v>
      </c>
      <c r="K56" s="10"/>
      <c r="L56" s="14"/>
    </row>
    <row r="57" spans="1:12" ht="12.75">
      <c r="A57" s="3">
        <v>39264</v>
      </c>
      <c r="B57" s="39">
        <v>53491300.958864711</v>
      </c>
      <c r="C57" s="65">
        <v>9.1999999999999993</v>
      </c>
      <c r="D57" s="65">
        <v>82</v>
      </c>
      <c r="E57" s="67">
        <v>0</v>
      </c>
      <c r="F57" s="68">
        <v>139.1591188135038</v>
      </c>
      <c r="G57" s="67">
        <v>31</v>
      </c>
      <c r="H57" s="47">
        <v>55403</v>
      </c>
      <c r="I57" s="67">
        <v>336.28800000000001</v>
      </c>
      <c r="J57" s="10">
        <f t="shared" si="0"/>
        <v>51708227.494972445</v>
      </c>
      <c r="K57" s="10"/>
      <c r="L57" s="14"/>
    </row>
    <row r="58" spans="1:12" ht="12.75">
      <c r="A58" s="3">
        <v>39295</v>
      </c>
      <c r="B58" s="39">
        <v>57002883.900661618</v>
      </c>
      <c r="C58" s="65">
        <v>8.40</v>
      </c>
      <c r="D58" s="65">
        <v>106</v>
      </c>
      <c r="E58" s="67">
        <v>0</v>
      </c>
      <c r="F58" s="68">
        <v>139.42306940280611</v>
      </c>
      <c r="G58" s="67">
        <v>31</v>
      </c>
      <c r="H58" s="47">
        <v>55507</v>
      </c>
      <c r="I58" s="67">
        <v>351.91199999999998</v>
      </c>
      <c r="J58" s="10">
        <f t="shared" si="0"/>
        <v>55843345.89041616</v>
      </c>
      <c r="K58" s="10"/>
      <c r="L58" s="14"/>
    </row>
    <row r="59" spans="1:12" ht="12.75">
      <c r="A59" s="3">
        <v>39326</v>
      </c>
      <c r="B59" s="39">
        <v>43322407.287371755</v>
      </c>
      <c r="C59" s="65">
        <v>55.20</v>
      </c>
      <c r="D59" s="65">
        <v>37.200000000000003</v>
      </c>
      <c r="E59" s="67">
        <v>1</v>
      </c>
      <c r="F59" s="68">
        <v>139.68752064139528</v>
      </c>
      <c r="G59" s="67">
        <v>30</v>
      </c>
      <c r="H59" s="47">
        <v>55577</v>
      </c>
      <c r="I59" s="67">
        <v>303.83999999999997</v>
      </c>
      <c r="J59" s="10">
        <f t="shared" si="0"/>
        <v>42823672.543613292</v>
      </c>
      <c r="K59" s="10"/>
      <c r="L59" s="14"/>
    </row>
    <row r="60" spans="1:12" ht="12.75">
      <c r="A60" s="3">
        <v>39356</v>
      </c>
      <c r="B60" s="39">
        <v>39989579.959727682</v>
      </c>
      <c r="C60" s="65">
        <v>157.80000000000001</v>
      </c>
      <c r="D60" s="65">
        <v>13</v>
      </c>
      <c r="E60" s="67">
        <v>1</v>
      </c>
      <c r="F60" s="68">
        <v>139.95247347887977</v>
      </c>
      <c r="G60" s="67">
        <v>31</v>
      </c>
      <c r="H60" s="47">
        <v>55613</v>
      </c>
      <c r="I60" s="67">
        <v>351.91199999999998</v>
      </c>
      <c r="J60" s="10">
        <f t="shared" si="0"/>
        <v>39632577.728980355</v>
      </c>
      <c r="K60" s="10"/>
      <c r="L60" s="14"/>
    </row>
    <row r="61" spans="1:12" ht="12.75">
      <c r="A61" s="3">
        <v>39387</v>
      </c>
      <c r="B61" s="39">
        <v>40517809.339342222</v>
      </c>
      <c r="C61" s="65">
        <v>467.50</v>
      </c>
      <c r="D61" s="65">
        <v>0</v>
      </c>
      <c r="E61" s="67">
        <v>1</v>
      </c>
      <c r="F61" s="68">
        <v>140.21792886666916</v>
      </c>
      <c r="G61" s="67">
        <v>30</v>
      </c>
      <c r="H61" s="47">
        <v>55765</v>
      </c>
      <c r="I61" s="67">
        <v>352.08</v>
      </c>
      <c r="J61" s="10">
        <f t="shared" si="0"/>
        <v>40365531.006492607</v>
      </c>
      <c r="K61" s="10"/>
      <c r="L61" s="14"/>
    </row>
    <row r="62" spans="1:12" ht="12.75">
      <c r="A62" s="3">
        <v>39417</v>
      </c>
      <c r="B62" s="39">
        <v>28788230.204238184</v>
      </c>
      <c r="C62" s="65">
        <v>641</v>
      </c>
      <c r="D62" s="65">
        <v>0</v>
      </c>
      <c r="E62" s="67">
        <v>0</v>
      </c>
      <c r="F62" s="68">
        <v>140.48388775797773</v>
      </c>
      <c r="G62" s="67">
        <v>31</v>
      </c>
      <c r="H62" s="47">
        <v>55815</v>
      </c>
      <c r="I62" s="67">
        <v>304.29599999999999</v>
      </c>
      <c r="J62" s="10">
        <f t="shared" si="0"/>
        <v>43626775.556523301</v>
      </c>
      <c r="K62" s="10"/>
      <c r="L62" s="14"/>
    </row>
    <row r="63" spans="1:10" ht="12.75">
      <c r="A63" s="3">
        <v>39448</v>
      </c>
      <c r="B63" s="47">
        <v>45047723.779844671</v>
      </c>
      <c r="C63" s="65">
        <v>632.70000000000005</v>
      </c>
      <c r="D63" s="65">
        <v>0</v>
      </c>
      <c r="E63" s="67">
        <v>0</v>
      </c>
      <c r="F63" s="68">
        <v>140.42521823206457</v>
      </c>
      <c r="G63" s="67">
        <v>31</v>
      </c>
      <c r="H63" s="47">
        <v>55914</v>
      </c>
      <c r="I63" s="67">
        <v>352</v>
      </c>
      <c r="J63" s="10">
        <f t="shared" si="0"/>
        <v>43546992.256276906</v>
      </c>
    </row>
    <row r="64" spans="1:10" ht="12.75">
      <c r="A64" s="3">
        <v>39479</v>
      </c>
      <c r="B64" s="47">
        <v>43398528.756352484</v>
      </c>
      <c r="C64" s="65">
        <v>678.80</v>
      </c>
      <c r="D64" s="65">
        <v>0</v>
      </c>
      <c r="E64" s="67">
        <v>0</v>
      </c>
      <c r="F64" s="68">
        <v>140.36657320798807</v>
      </c>
      <c r="G64" s="67">
        <v>29</v>
      </c>
      <c r="H64" s="47">
        <v>55994</v>
      </c>
      <c r="I64" s="67">
        <v>320</v>
      </c>
      <c r="J64" s="10">
        <f t="shared" si="0"/>
        <v>43990126.00824783</v>
      </c>
    </row>
    <row r="65" spans="1:10" ht="12.75">
      <c r="A65" s="3">
        <v>39508</v>
      </c>
      <c r="B65" s="47">
        <v>41982818.812925503</v>
      </c>
      <c r="C65" s="65">
        <v>621.79999999999995</v>
      </c>
      <c r="D65" s="65">
        <v>0</v>
      </c>
      <c r="E65" s="67">
        <v>1</v>
      </c>
      <c r="F65" s="68">
        <v>140.30795267551565</v>
      </c>
      <c r="G65" s="67">
        <v>31</v>
      </c>
      <c r="H65" s="47">
        <v>56076</v>
      </c>
      <c r="I65" s="67">
        <v>304</v>
      </c>
      <c r="J65" s="10">
        <f t="shared" si="0"/>
        <v>41848731.395410463</v>
      </c>
    </row>
    <row r="66" spans="1:10" ht="12.75">
      <c r="A66" s="3">
        <v>39539</v>
      </c>
      <c r="B66" s="47">
        <v>35956715.322657973</v>
      </c>
      <c r="C66" s="65">
        <v>290.60000000000002</v>
      </c>
      <c r="D66" s="65">
        <v>0</v>
      </c>
      <c r="E66" s="67">
        <v>1</v>
      </c>
      <c r="F66" s="68">
        <v>140.24935662441902</v>
      </c>
      <c r="G66" s="67">
        <v>30</v>
      </c>
      <c r="H66" s="47">
        <v>56134</v>
      </c>
      <c r="I66" s="67">
        <v>352</v>
      </c>
      <c r="J66" s="10">
        <f t="shared" si="0"/>
        <v>38665089.342205055</v>
      </c>
    </row>
    <row r="67" spans="1:10" ht="12.75">
      <c r="A67" s="3">
        <v>39569</v>
      </c>
      <c r="B67" s="47">
        <v>36811364.224757887</v>
      </c>
      <c r="C67" s="65">
        <v>214.10</v>
      </c>
      <c r="D67" s="65">
        <v>0.30</v>
      </c>
      <c r="E67" s="67">
        <v>1</v>
      </c>
      <c r="F67" s="68">
        <v>140.19078504447415</v>
      </c>
      <c r="G67" s="67">
        <v>31</v>
      </c>
      <c r="H67" s="47">
        <v>56250</v>
      </c>
      <c r="I67" s="67">
        <v>336</v>
      </c>
      <c r="J67" s="10">
        <f t="shared" si="0"/>
        <v>37981522.341925628</v>
      </c>
    </row>
    <row r="68" spans="1:10" ht="12.75">
      <c r="A68" s="3">
        <v>39600</v>
      </c>
      <c r="B68" s="47">
        <v>46862478.483076036</v>
      </c>
      <c r="C68" s="65">
        <v>34.200000000000003</v>
      </c>
      <c r="D68" s="65">
        <v>55</v>
      </c>
      <c r="E68" s="67">
        <v>0</v>
      </c>
      <c r="F68" s="68">
        <v>140.13223792546131</v>
      </c>
      <c r="G68" s="67">
        <v>30</v>
      </c>
      <c r="H68" s="47">
        <v>56284</v>
      </c>
      <c r="I68" s="67">
        <v>336</v>
      </c>
      <c r="J68" s="10">
        <f t="shared" si="1" ref="J68:J122">$N$18+C68*$N$19+D68*$N$20+E68*$N$21+F68*$N$22+G68*$N$23+H68*$N$24+I68*$N$25</f>
        <v>47287879.244187191</v>
      </c>
    </row>
    <row r="69" spans="1:10" ht="12.75">
      <c r="A69" s="3">
        <v>39630</v>
      </c>
      <c r="B69" s="47">
        <v>57464251.35679356</v>
      </c>
      <c r="C69" s="65">
        <v>3.70</v>
      </c>
      <c r="D69" s="65">
        <v>87.70</v>
      </c>
      <c r="E69" s="67">
        <v>0</v>
      </c>
      <c r="F69" s="68">
        <v>140.07371525716499</v>
      </c>
      <c r="G69" s="67">
        <v>31</v>
      </c>
      <c r="H69" s="47">
        <v>56337</v>
      </c>
      <c r="I69" s="67">
        <v>352</v>
      </c>
      <c r="J69" s="10">
        <f t="shared" si="1"/>
        <v>52639276.026624262</v>
      </c>
    </row>
    <row r="70" spans="1:10" ht="12.75">
      <c r="A70" s="3">
        <v>39661</v>
      </c>
      <c r="B70" s="47">
        <v>49905793.671492957</v>
      </c>
      <c r="C70" s="65">
        <v>20.20</v>
      </c>
      <c r="D70" s="65">
        <v>45.20</v>
      </c>
      <c r="E70" s="67">
        <v>0</v>
      </c>
      <c r="F70" s="68">
        <v>140.01521702937399</v>
      </c>
      <c r="G70" s="67">
        <v>31</v>
      </c>
      <c r="H70" s="47">
        <v>56396</v>
      </c>
      <c r="I70" s="67">
        <v>320</v>
      </c>
      <c r="J70" s="10">
        <f t="shared" si="1"/>
        <v>45461658.259036034</v>
      </c>
    </row>
    <row r="71" spans="1:10" ht="12.75">
      <c r="A71" s="3">
        <v>39692</v>
      </c>
      <c r="B71" s="47">
        <v>42637047.732284978</v>
      </c>
      <c r="C71" s="65">
        <v>70.400000000000006</v>
      </c>
      <c r="D71" s="65">
        <v>20.30</v>
      </c>
      <c r="E71" s="67">
        <v>1</v>
      </c>
      <c r="F71" s="68">
        <v>139.95674323188132</v>
      </c>
      <c r="G71" s="67">
        <v>30</v>
      </c>
      <c r="H71" s="47">
        <v>56508</v>
      </c>
      <c r="I71" s="67">
        <v>336</v>
      </c>
      <c r="J71" s="10">
        <f t="shared" si="1"/>
        <v>40052554.172035284</v>
      </c>
    </row>
    <row r="72" spans="1:10" ht="12.75">
      <c r="A72" s="3">
        <v>39722</v>
      </c>
      <c r="B72" s="47">
        <v>39427095.637165599</v>
      </c>
      <c r="C72" s="65">
        <v>297.50</v>
      </c>
      <c r="D72" s="65">
        <v>0</v>
      </c>
      <c r="E72" s="67">
        <v>1</v>
      </c>
      <c r="F72" s="68">
        <v>139.89829385448431</v>
      </c>
      <c r="G72" s="67">
        <v>31</v>
      </c>
      <c r="H72" s="47">
        <v>56576</v>
      </c>
      <c r="I72" s="67">
        <v>352</v>
      </c>
      <c r="J72" s="10">
        <f t="shared" si="1"/>
        <v>38731415.2183135</v>
      </c>
    </row>
    <row r="73" spans="1:10" ht="12.75">
      <c r="A73" s="3">
        <v>39753</v>
      </c>
      <c r="B73" s="47">
        <v>41225126.483843133</v>
      </c>
      <c r="C73" s="65">
        <v>460.60</v>
      </c>
      <c r="D73" s="65">
        <v>0</v>
      </c>
      <c r="E73" s="67">
        <v>1</v>
      </c>
      <c r="F73" s="68">
        <v>139.83986888698453</v>
      </c>
      <c r="G73" s="67">
        <v>30</v>
      </c>
      <c r="H73" s="47">
        <v>56751</v>
      </c>
      <c r="I73" s="67">
        <v>304</v>
      </c>
      <c r="J73" s="10">
        <f t="shared" si="1"/>
        <v>40299205.130384155</v>
      </c>
    </row>
    <row r="74" spans="1:10" ht="12.75">
      <c r="A74" s="3">
        <v>39783</v>
      </c>
      <c r="B74" s="47">
        <v>48905862.556333303</v>
      </c>
      <c r="C74" s="65">
        <v>655.29999999999995</v>
      </c>
      <c r="D74" s="65">
        <v>0</v>
      </c>
      <c r="E74" s="67">
        <v>0</v>
      </c>
      <c r="F74" s="68">
        <v>139.78146831918784</v>
      </c>
      <c r="G74" s="67">
        <v>31</v>
      </c>
      <c r="H74" s="47">
        <v>56841</v>
      </c>
      <c r="I74" s="67">
        <v>336</v>
      </c>
      <c r="J74" s="10">
        <f t="shared" si="1"/>
        <v>43764233.531646602</v>
      </c>
    </row>
    <row r="75" spans="1:33" s="15" customFormat="1" ht="12.75">
      <c r="A75" s="3">
        <v>39814</v>
      </c>
      <c r="B75" s="47">
        <v>45047723.779844671</v>
      </c>
      <c r="C75" s="65">
        <v>712.8153846153848</v>
      </c>
      <c r="D75" s="65">
        <v>0</v>
      </c>
      <c r="E75" s="67">
        <v>0</v>
      </c>
      <c r="F75" s="68">
        <v>139.37911160687111</v>
      </c>
      <c r="G75" s="67">
        <v>31</v>
      </c>
      <c r="H75" s="47">
        <f t="shared" si="2" ref="H75:H80">H74+($H$81-$H$74)/7</f>
        <v>51391.928571428572</v>
      </c>
      <c r="I75" s="67">
        <v>336</v>
      </c>
      <c r="J75" s="10">
        <f t="shared" si="1"/>
        <v>44317097.049665384</v>
      </c>
      <c r="K75" s="48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11" ht="12.75">
      <c r="A76" s="3">
        <v>39845</v>
      </c>
      <c r="B76" s="47">
        <v>43398528.756352484</v>
      </c>
      <c r="C76" s="65">
        <v>627.40</v>
      </c>
      <c r="D76" s="65">
        <v>0</v>
      </c>
      <c r="E76" s="67">
        <v>0</v>
      </c>
      <c r="F76" s="68">
        <v>138.97791306613385</v>
      </c>
      <c r="G76" s="67">
        <v>28</v>
      </c>
      <c r="H76" s="47">
        <f t="shared" si="2"/>
        <v>45942.857142857145</v>
      </c>
      <c r="I76" s="67">
        <v>304</v>
      </c>
      <c r="J76" s="10">
        <f t="shared" si="1"/>
        <v>43496046.293468967</v>
      </c>
      <c r="K76" s="48"/>
    </row>
    <row r="77" spans="1:11" ht="12.75">
      <c r="A77" s="3">
        <v>39873</v>
      </c>
      <c r="B77" s="47">
        <v>41982818.812925503</v>
      </c>
      <c r="C77" s="65">
        <v>566.50769230769231</v>
      </c>
      <c r="D77" s="65">
        <v>0</v>
      </c>
      <c r="E77" s="67">
        <v>1</v>
      </c>
      <c r="F77" s="68">
        <v>138.57786936321438</v>
      </c>
      <c r="G77" s="67">
        <v>31</v>
      </c>
      <c r="H77" s="47">
        <f t="shared" si="2"/>
        <v>40493.785714285717</v>
      </c>
      <c r="I77" s="67">
        <v>352</v>
      </c>
      <c r="J77" s="10">
        <f t="shared" si="1"/>
        <v>41317237.083852477</v>
      </c>
      <c r="K77" s="48"/>
    </row>
    <row r="78" spans="1:11" ht="12.75">
      <c r="A78" s="3">
        <v>39904</v>
      </c>
      <c r="B78" s="47">
        <v>35956715.322657973</v>
      </c>
      <c r="C78" s="65">
        <v>341.76153846153852</v>
      </c>
      <c r="D78" s="65">
        <v>0.61538461538461542</v>
      </c>
      <c r="E78" s="67">
        <v>1</v>
      </c>
      <c r="F78" s="68">
        <v>138.17897717394706</v>
      </c>
      <c r="G78" s="67">
        <v>30</v>
      </c>
      <c r="H78" s="47">
        <f t="shared" si="2"/>
        <v>35044.71428571429</v>
      </c>
      <c r="I78" s="67">
        <v>320</v>
      </c>
      <c r="J78" s="10">
        <f t="shared" si="1"/>
        <v>39263102.713548906</v>
      </c>
      <c r="K78" s="48"/>
    </row>
    <row r="79" spans="1:11" ht="12.75">
      <c r="A79" s="3">
        <v>39934</v>
      </c>
      <c r="B79" s="47">
        <v>36811364.224757887</v>
      </c>
      <c r="C79" s="65">
        <v>178.33076923076925</v>
      </c>
      <c r="D79" s="65">
        <v>11.461538461538464</v>
      </c>
      <c r="E79" s="67">
        <v>1</v>
      </c>
      <c r="F79" s="68">
        <v>137.78123318373483</v>
      </c>
      <c r="G79" s="67">
        <v>31</v>
      </c>
      <c r="H79" s="47">
        <f t="shared" si="2"/>
        <v>29595.642857142862</v>
      </c>
      <c r="I79" s="67">
        <v>320</v>
      </c>
      <c r="J79" s="10">
        <f t="shared" si="1"/>
        <v>39564363.997751854</v>
      </c>
      <c r="K79" s="48"/>
    </row>
    <row r="80" spans="1:11" ht="12.75">
      <c r="A80" s="3">
        <v>39965</v>
      </c>
      <c r="B80" s="47">
        <v>46862478.483076036</v>
      </c>
      <c r="C80" s="65">
        <v>38</v>
      </c>
      <c r="D80" s="65">
        <v>61.20</v>
      </c>
      <c r="E80" s="67">
        <v>0</v>
      </c>
      <c r="F80" s="68">
        <v>137.38463408752156</v>
      </c>
      <c r="G80" s="67">
        <v>30</v>
      </c>
      <c r="H80" s="47">
        <f t="shared" si="2"/>
        <v>24146.571428571435</v>
      </c>
      <c r="I80" s="67">
        <v>352</v>
      </c>
      <c r="J80" s="10">
        <f t="shared" si="1"/>
        <v>48394632.029233508</v>
      </c>
      <c r="K80" s="48"/>
    </row>
    <row r="81" spans="1:11" ht="12.75">
      <c r="A81" s="3">
        <v>39995</v>
      </c>
      <c r="B81" s="47">
        <v>57464251.35679356</v>
      </c>
      <c r="C81" s="65">
        <v>6.9153846153846157</v>
      </c>
      <c r="D81" s="65">
        <v>96.953846153846143</v>
      </c>
      <c r="E81" s="67">
        <v>0</v>
      </c>
      <c r="F81" s="68">
        <v>136.98917658976464</v>
      </c>
      <c r="G81" s="67">
        <v>31</v>
      </c>
      <c r="H81" s="47">
        <f>'Rate Class Customer Model'!B9</f>
        <v>18697.499999999993</v>
      </c>
      <c r="I81" s="67">
        <v>352</v>
      </c>
      <c r="J81" s="10">
        <f t="shared" si="1"/>
        <v>54267555.03430479</v>
      </c>
      <c r="K81" s="48"/>
    </row>
    <row r="82" spans="1:11" ht="12.75">
      <c r="A82" s="3">
        <v>40026</v>
      </c>
      <c r="B82" s="47">
        <v>49905793.671492957</v>
      </c>
      <c r="C82" s="65">
        <v>10.86923076923077</v>
      </c>
      <c r="D82" s="65">
        <v>76.623076923076937</v>
      </c>
      <c r="E82" s="67">
        <v>0</v>
      </c>
      <c r="F82" s="68">
        <v>136.59485740440758</v>
      </c>
      <c r="G82" s="67">
        <v>31</v>
      </c>
      <c r="H82" s="47">
        <f t="shared" si="3" ref="H82:H91">H81+($H$92-$H$81)/11</f>
        <v>18712.863636363629</v>
      </c>
      <c r="I82" s="67">
        <v>320</v>
      </c>
      <c r="J82" s="10">
        <f t="shared" si="1"/>
        <v>50796124.475638941</v>
      </c>
      <c r="K82" s="48"/>
    </row>
    <row r="83" spans="1:11" ht="12.75">
      <c r="A83" s="3">
        <v>40057</v>
      </c>
      <c r="B83" s="47">
        <v>42637047.732284978</v>
      </c>
      <c r="C83" s="65">
        <v>70.815384615384602</v>
      </c>
      <c r="D83" s="65">
        <v>27.34615384615385</v>
      </c>
      <c r="E83" s="67">
        <v>1</v>
      </c>
      <c r="F83" s="68">
        <v>136.20167325485272</v>
      </c>
      <c r="G83" s="67">
        <v>30</v>
      </c>
      <c r="H83" s="47">
        <f t="shared" si="3"/>
        <v>18728.227272727265</v>
      </c>
      <c r="I83" s="67">
        <v>336</v>
      </c>
      <c r="J83" s="10">
        <f t="shared" si="1"/>
        <v>41272833.075974867</v>
      </c>
      <c r="K83" s="48"/>
    </row>
    <row r="84" spans="1:11" ht="12.75">
      <c r="A84" s="3">
        <v>40087</v>
      </c>
      <c r="B84" s="47">
        <v>39427095.637165599</v>
      </c>
      <c r="C84" s="65">
        <v>259.90769230769229</v>
      </c>
      <c r="D84" s="65">
        <v>2.5846153846153848</v>
      </c>
      <c r="E84" s="67">
        <v>1</v>
      </c>
      <c r="F84" s="68">
        <v>135.80962087393394</v>
      </c>
      <c r="G84" s="67">
        <v>31</v>
      </c>
      <c r="H84" s="47">
        <f t="shared" si="3"/>
        <v>18743.590909090901</v>
      </c>
      <c r="I84" s="67">
        <v>336</v>
      </c>
      <c r="J84" s="10">
        <f t="shared" si="1"/>
        <v>38816209.789406367</v>
      </c>
      <c r="K84" s="48"/>
    </row>
    <row r="85" spans="1:11" ht="12.75">
      <c r="A85" s="3">
        <v>40118</v>
      </c>
      <c r="B85" s="47">
        <v>41225126.483843133</v>
      </c>
      <c r="C85" s="65">
        <v>424.6153846153847</v>
      </c>
      <c r="D85" s="65">
        <v>0</v>
      </c>
      <c r="E85" s="67">
        <v>1</v>
      </c>
      <c r="F85" s="68">
        <v>135.41869700388958</v>
      </c>
      <c r="G85" s="67">
        <v>30</v>
      </c>
      <c r="H85" s="47">
        <f t="shared" si="3"/>
        <v>18758.954545454537</v>
      </c>
      <c r="I85" s="67">
        <v>320</v>
      </c>
      <c r="J85" s="10">
        <f t="shared" si="1"/>
        <v>39953304.964904435</v>
      </c>
      <c r="K85" s="48"/>
    </row>
    <row r="86" spans="1:33" s="32" customFormat="1" ht="12.75">
      <c r="A86" s="3">
        <v>40148</v>
      </c>
      <c r="B86" s="47">
        <v>48905862.556333303</v>
      </c>
      <c r="C86" s="65">
        <v>614.35384615384623</v>
      </c>
      <c r="D86" s="65">
        <v>0</v>
      </c>
      <c r="E86" s="67">
        <v>0</v>
      </c>
      <c r="F86" s="68">
        <v>135.02889839633545</v>
      </c>
      <c r="G86" s="67">
        <v>31</v>
      </c>
      <c r="H86" s="47">
        <f t="shared" si="3"/>
        <v>18774.318181818173</v>
      </c>
      <c r="I86" s="67">
        <v>352</v>
      </c>
      <c r="J86" s="10">
        <f t="shared" si="1"/>
        <v>43370640.846557125</v>
      </c>
      <c r="K86" s="48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27" ht="12.75">
      <c r="A87" s="3">
        <v>40179</v>
      </c>
      <c r="B87" s="46">
        <v>44617931.717536397</v>
      </c>
      <c r="C87" s="65">
        <v>719.94353846153865</v>
      </c>
      <c r="D87" s="65">
        <v>0</v>
      </c>
      <c r="E87" s="67">
        <v>0</v>
      </c>
      <c r="F87" s="68">
        <v>135.32901731143812</v>
      </c>
      <c r="G87" s="67">
        <v>31</v>
      </c>
      <c r="H87" s="47">
        <f t="shared" si="3"/>
        <v>18789.681818181809</v>
      </c>
      <c r="I87" s="67">
        <v>320</v>
      </c>
      <c r="J87" s="10">
        <f t="shared" si="1"/>
        <v>44385616.042256974</v>
      </c>
      <c r="K87" s="48"/>
      <c r="Y87" s="11"/>
      <c r="Z87" s="11"/>
      <c r="AA87" s="11"/>
    </row>
    <row r="88" spans="1:11" ht="12.75">
      <c r="A88" s="3">
        <v>40210</v>
      </c>
      <c r="B88" s="46">
        <v>44641686.424937896</v>
      </c>
      <c r="C88" s="65">
        <v>633.67399999999998</v>
      </c>
      <c r="D88" s="65">
        <v>0</v>
      </c>
      <c r="E88" s="67">
        <v>0</v>
      </c>
      <c r="F88" s="68">
        <v>135.62980327903304</v>
      </c>
      <c r="G88" s="67">
        <v>28</v>
      </c>
      <c r="H88" s="47">
        <f t="shared" si="3"/>
        <v>18805.045454545445</v>
      </c>
      <c r="I88" s="67">
        <v>304</v>
      </c>
      <c r="J88" s="10">
        <f t="shared" si="1"/>
        <v>43556354.77849859</v>
      </c>
      <c r="K88" s="48"/>
    </row>
    <row r="89" spans="1:11" ht="12.75">
      <c r="A89" s="3">
        <v>40238</v>
      </c>
      <c r="B89" s="46">
        <v>44665441.132339403</v>
      </c>
      <c r="C89" s="65">
        <v>572.17276923076929</v>
      </c>
      <c r="D89" s="65">
        <v>0</v>
      </c>
      <c r="E89" s="67">
        <v>1</v>
      </c>
      <c r="F89" s="68">
        <v>135.9312577817293</v>
      </c>
      <c r="G89" s="67">
        <v>31</v>
      </c>
      <c r="H89" s="47">
        <f t="shared" si="3"/>
        <v>18820.409090909081</v>
      </c>
      <c r="I89" s="67">
        <v>368</v>
      </c>
      <c r="J89" s="10">
        <f t="shared" si="1"/>
        <v>41371692.328801006</v>
      </c>
      <c r="K89" s="48"/>
    </row>
    <row r="90" spans="1:11" ht="12.75">
      <c r="A90" s="3">
        <v>40269</v>
      </c>
      <c r="B90" s="46">
        <v>44689195.839740902</v>
      </c>
      <c r="C90" s="65">
        <v>345.17915384615389</v>
      </c>
      <c r="D90" s="65">
        <v>0.6215384615384616</v>
      </c>
      <c r="E90" s="67">
        <v>1</v>
      </c>
      <c r="F90" s="68">
        <v>136.23338230543126</v>
      </c>
      <c r="G90" s="67">
        <v>30</v>
      </c>
      <c r="H90" s="47">
        <f t="shared" si="3"/>
        <v>18835.772727272717</v>
      </c>
      <c r="I90" s="67">
        <v>320</v>
      </c>
      <c r="J90" s="10">
        <f t="shared" si="1"/>
        <v>39297016.614794396</v>
      </c>
      <c r="K90" s="48"/>
    </row>
    <row r="91" spans="1:11" ht="12.75">
      <c r="A91" s="3">
        <v>40299</v>
      </c>
      <c r="B91" s="46">
        <v>44712950.547142401</v>
      </c>
      <c r="C91" s="65">
        <v>180.11407692307694</v>
      </c>
      <c r="D91" s="65">
        <v>11.576153846153849</v>
      </c>
      <c r="E91" s="67">
        <v>1</v>
      </c>
      <c r="F91" s="68">
        <v>136.5361783393459</v>
      </c>
      <c r="G91" s="67">
        <v>31</v>
      </c>
      <c r="H91" s="47">
        <f t="shared" si="3"/>
        <v>18851.136363636353</v>
      </c>
      <c r="I91" s="67">
        <v>320</v>
      </c>
      <c r="J91" s="10">
        <f t="shared" si="1"/>
        <v>39601290.511839382</v>
      </c>
      <c r="K91" s="48"/>
    </row>
    <row r="92" spans="1:11" ht="12.75">
      <c r="A92" s="3">
        <v>40330</v>
      </c>
      <c r="B92" s="46">
        <v>44736705.2545439</v>
      </c>
      <c r="C92" s="65">
        <v>38.380000000000003</v>
      </c>
      <c r="D92" s="65">
        <v>61.812000000000005</v>
      </c>
      <c r="E92" s="67">
        <v>0</v>
      </c>
      <c r="F92" s="68">
        <v>136.83964737599013</v>
      </c>
      <c r="G92" s="67">
        <v>30</v>
      </c>
      <c r="H92" s="47">
        <f>'Rate Class Customer Model'!B10</f>
        <v>18866.499999999993</v>
      </c>
      <c r="I92" s="67">
        <v>352</v>
      </c>
      <c r="J92" s="10">
        <f t="shared" si="1"/>
        <v>48503926.371620774</v>
      </c>
      <c r="K92" s="48"/>
    </row>
    <row r="93" spans="1:11" ht="12.75">
      <c r="A93" s="3">
        <v>40360</v>
      </c>
      <c r="B93" s="46">
        <v>44760459.9619454</v>
      </c>
      <c r="C93" s="65">
        <v>6.9845384615384623</v>
      </c>
      <c r="D93" s="65">
        <v>97.923384615384606</v>
      </c>
      <c r="E93" s="67">
        <v>0</v>
      </c>
      <c r="F93" s="68">
        <v>137.14379091119821</v>
      </c>
      <c r="G93" s="67">
        <v>31</v>
      </c>
      <c r="H93" s="47">
        <f t="shared" si="4" ref="H93:H122">H92+($H$92-$H$81)/11</f>
        <v>18881.863636363629</v>
      </c>
      <c r="I93" s="67">
        <v>336</v>
      </c>
      <c r="J93" s="10">
        <f t="shared" si="1"/>
        <v>54435578.606742762</v>
      </c>
      <c r="K93" s="48"/>
    </row>
    <row r="94" spans="1:11" ht="12.75">
      <c r="A94" s="3">
        <v>40391</v>
      </c>
      <c r="B94" s="46">
        <v>44784214.669346899</v>
      </c>
      <c r="C94" s="65">
        <v>10.977923076923078</v>
      </c>
      <c r="D94" s="65">
        <v>77.38930769230771</v>
      </c>
      <c r="E94" s="67">
        <v>0</v>
      </c>
      <c r="F94" s="68">
        <v>137.44861044412903</v>
      </c>
      <c r="G94" s="67">
        <v>31</v>
      </c>
      <c r="H94" s="47">
        <f t="shared" si="4"/>
        <v>18897.227272727265</v>
      </c>
      <c r="I94" s="67">
        <v>336</v>
      </c>
      <c r="J94" s="10">
        <f t="shared" si="1"/>
        <v>50929433.742490269</v>
      </c>
      <c r="K94" s="48"/>
    </row>
    <row r="95" spans="1:11" ht="12.75">
      <c r="A95" s="3">
        <v>40422</v>
      </c>
      <c r="B95" s="46">
        <v>44807969.376748398</v>
      </c>
      <c r="C95" s="65">
        <v>71.52353846153845</v>
      </c>
      <c r="D95" s="65">
        <v>27.61961538461539</v>
      </c>
      <c r="E95" s="67">
        <v>1</v>
      </c>
      <c r="F95" s="68">
        <v>137.75410747727361</v>
      </c>
      <c r="G95" s="67">
        <v>30</v>
      </c>
      <c r="H95" s="47">
        <f t="shared" si="4"/>
        <v>18912.590909090901</v>
      </c>
      <c r="I95" s="67">
        <v>336</v>
      </c>
      <c r="J95" s="10">
        <f t="shared" si="1"/>
        <v>41326844.280844621</v>
      </c>
      <c r="K95" s="48"/>
    </row>
    <row r="96" spans="1:11" ht="12.75">
      <c r="A96" s="3">
        <v>40452</v>
      </c>
      <c r="B96" s="46">
        <v>44831724.084149897</v>
      </c>
      <c r="C96" s="65">
        <v>262.50676923076924</v>
      </c>
      <c r="D96" s="65">
        <v>2.6104615384615388</v>
      </c>
      <c r="E96" s="67">
        <v>1</v>
      </c>
      <c r="F96" s="68">
        <v>138.06028351646239</v>
      </c>
      <c r="G96" s="67">
        <v>31</v>
      </c>
      <c r="H96" s="47">
        <f t="shared" si="4"/>
        <v>18927.954545454537</v>
      </c>
      <c r="I96" s="67">
        <v>320</v>
      </c>
      <c r="J96" s="10">
        <f t="shared" si="1"/>
        <v>38845654.76141043</v>
      </c>
      <c r="K96" s="48"/>
    </row>
    <row r="97" spans="1:11" ht="12.75">
      <c r="A97" s="3">
        <v>40483</v>
      </c>
      <c r="B97" s="46">
        <v>44855478.791551404</v>
      </c>
      <c r="C97" s="65">
        <v>428.86153846153854</v>
      </c>
      <c r="D97" s="65">
        <v>0</v>
      </c>
      <c r="E97" s="67">
        <v>1</v>
      </c>
      <c r="F97" s="68">
        <v>138.36714007087275</v>
      </c>
      <c r="G97" s="67">
        <v>30</v>
      </c>
      <c r="H97" s="47">
        <f t="shared" si="4"/>
        <v>18943.318181818173</v>
      </c>
      <c r="I97" s="67">
        <v>336</v>
      </c>
      <c r="J97" s="10">
        <f t="shared" si="1"/>
        <v>39994120.888663478</v>
      </c>
      <c r="K97" s="48"/>
    </row>
    <row r="98" spans="1:11" ht="12.75">
      <c r="A98" s="3">
        <v>40513</v>
      </c>
      <c r="B98" s="46">
        <v>44879233.498952903</v>
      </c>
      <c r="C98" s="65">
        <v>620.4973846153847</v>
      </c>
      <c r="D98" s="65">
        <v>0</v>
      </c>
      <c r="E98" s="67">
        <v>0</v>
      </c>
      <c r="F98" s="68">
        <v>138.67467865303649</v>
      </c>
      <c r="G98" s="67">
        <v>31</v>
      </c>
      <c r="H98" s="47">
        <f t="shared" si="4"/>
        <v>18958.681818181809</v>
      </c>
      <c r="I98" s="67">
        <v>368</v>
      </c>
      <c r="J98" s="10">
        <f t="shared" si="1"/>
        <v>43429695.277117632</v>
      </c>
      <c r="K98" s="48"/>
    </row>
    <row r="99" spans="1:11" ht="12.75">
      <c r="A99" s="3">
        <v>40544</v>
      </c>
      <c r="B99" s="66"/>
      <c r="C99" s="19">
        <f t="shared" si="5" ref="C99:D110">(C3+C15+C27+C39+C51+C63+C75+C87)/8</f>
        <v>717.5198653846154</v>
      </c>
      <c r="D99" s="19">
        <f t="shared" si="5"/>
        <v>0</v>
      </c>
      <c r="E99" s="67">
        <v>0</v>
      </c>
      <c r="F99" s="68">
        <v>139.03916243618784</v>
      </c>
      <c r="G99" s="67">
        <v>31</v>
      </c>
      <c r="H99" s="47">
        <f t="shared" si="4"/>
        <v>18974.045454545445</v>
      </c>
      <c r="I99" s="67">
        <v>336</v>
      </c>
      <c r="J99" s="10">
        <f t="shared" si="1"/>
        <v>44362318.616137058</v>
      </c>
      <c r="K99" s="48"/>
    </row>
    <row r="100" spans="1:11" ht="12.75">
      <c r="A100" s="3">
        <v>40575</v>
      </c>
      <c r="C100" s="19">
        <f t="shared" si="5"/>
        <v>661.63424999999995</v>
      </c>
      <c r="D100" s="19">
        <f t="shared" si="5"/>
        <v>0</v>
      </c>
      <c r="E100" s="67">
        <v>0</v>
      </c>
      <c r="F100" s="68">
        <v>139.40460420553731</v>
      </c>
      <c r="G100" s="67">
        <v>28</v>
      </c>
      <c r="H100" s="47">
        <f t="shared" si="4"/>
        <v>18989.409090909081</v>
      </c>
      <c r="I100" s="67">
        <v>304</v>
      </c>
      <c r="J100" s="10">
        <f t="shared" si="1"/>
        <v>43825121.166536443</v>
      </c>
      <c r="K100" s="48"/>
    </row>
    <row r="101" spans="1:11" ht="12.75">
      <c r="A101" s="3">
        <v>40603</v>
      </c>
      <c r="C101" s="19">
        <f t="shared" si="5"/>
        <v>576.21005769230771</v>
      </c>
      <c r="D101" s="19">
        <f t="shared" si="5"/>
        <v>0</v>
      </c>
      <c r="E101" s="67">
        <v>1</v>
      </c>
      <c r="F101" s="68">
        <v>139.77100647899545</v>
      </c>
      <c r="G101" s="67">
        <v>31</v>
      </c>
      <c r="H101" s="47">
        <f t="shared" si="4"/>
        <v>19004.772727272717</v>
      </c>
      <c r="I101" s="67">
        <v>368</v>
      </c>
      <c r="J101" s="10">
        <f t="shared" si="1"/>
        <v>41410500.545368262</v>
      </c>
      <c r="K101" s="48"/>
    </row>
    <row r="102" spans="1:11" ht="12.7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7">
        <v>1</v>
      </c>
      <c r="F102" s="68">
        <v>140.13837178109071</v>
      </c>
      <c r="G102" s="67">
        <v>30</v>
      </c>
      <c r="H102" s="47">
        <f t="shared" si="4"/>
        <v>19020.136363636353</v>
      </c>
      <c r="I102" s="67">
        <v>320</v>
      </c>
      <c r="J102" s="10">
        <f t="shared" si="1"/>
        <v>39168724.950283289</v>
      </c>
      <c r="K102" s="48"/>
    </row>
    <row r="103" spans="1:11" ht="12.75">
      <c r="A103" s="3">
        <v>40664</v>
      </c>
      <c r="C103" s="19">
        <f t="shared" si="5"/>
        <v>182.38060576923076</v>
      </c>
      <c r="D103" s="19">
        <f t="shared" si="5"/>
        <v>10.404711538461537</v>
      </c>
      <c r="E103" s="67">
        <v>1</v>
      </c>
      <c r="F103" s="68">
        <v>140.50670264298682</v>
      </c>
      <c r="G103" s="67">
        <v>31</v>
      </c>
      <c r="H103" s="47">
        <f t="shared" si="4"/>
        <v>19035.499999999989</v>
      </c>
      <c r="I103" s="67">
        <v>336</v>
      </c>
      <c r="J103" s="10">
        <f t="shared" si="1"/>
        <v>39420866.523543559</v>
      </c>
      <c r="K103" s="48"/>
    </row>
    <row r="104" spans="1:11" ht="12.7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7">
        <v>0</v>
      </c>
      <c r="F104" s="68">
        <v>140.87600160250034</v>
      </c>
      <c r="G104" s="67">
        <v>30</v>
      </c>
      <c r="H104" s="47">
        <f t="shared" si="4"/>
        <v>19050.863636363625</v>
      </c>
      <c r="I104" s="67">
        <v>352</v>
      </c>
      <c r="J104" s="10">
        <f t="shared" si="1"/>
        <v>48284767.612918958</v>
      </c>
      <c r="K104" s="48"/>
    </row>
    <row r="105" spans="1:11" ht="12.7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7">
        <v>0</v>
      </c>
      <c r="F105" s="68">
        <v>141.24627120411799</v>
      </c>
      <c r="G105" s="67">
        <v>31</v>
      </c>
      <c r="H105" s="47">
        <f t="shared" si="4"/>
        <v>19066.227272727261</v>
      </c>
      <c r="I105" s="67">
        <v>320</v>
      </c>
      <c r="J105" s="10">
        <f t="shared" si="1"/>
        <v>54798695.736678354</v>
      </c>
      <c r="K105" s="48"/>
    </row>
    <row r="106" spans="1:11" ht="12.7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7">
        <v>0</v>
      </c>
      <c r="F106" s="68">
        <v>141.61751399901428</v>
      </c>
      <c r="G106" s="67">
        <v>31</v>
      </c>
      <c r="H106" s="47">
        <f t="shared" si="4"/>
        <v>19081.590909090897</v>
      </c>
      <c r="I106" s="67">
        <v>352</v>
      </c>
      <c r="J106" s="10">
        <f t="shared" si="1"/>
        <v>50968401.910509013</v>
      </c>
      <c r="K106" s="48"/>
    </row>
    <row r="107" spans="1:11" ht="12.7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7">
        <v>1</v>
      </c>
      <c r="F107" s="68">
        <v>141.98973254506907</v>
      </c>
      <c r="G107" s="67">
        <v>30</v>
      </c>
      <c r="H107" s="47">
        <f t="shared" si="4"/>
        <v>19096.954545454533</v>
      </c>
      <c r="I107" s="67">
        <v>336</v>
      </c>
      <c r="J107" s="10">
        <f t="shared" si="1"/>
        <v>40561210.915316448</v>
      </c>
      <c r="K107" s="48"/>
    </row>
    <row r="108" spans="1:11" ht="12.7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7">
        <v>1</v>
      </c>
      <c r="F108" s="68">
        <v>142.3629294068852</v>
      </c>
      <c r="G108" s="67">
        <v>31</v>
      </c>
      <c r="H108" s="47">
        <f t="shared" si="4"/>
        <v>19112.318181818169</v>
      </c>
      <c r="I108" s="67">
        <v>320</v>
      </c>
      <c r="J108" s="10">
        <f t="shared" si="1"/>
        <v>38907123.075782381</v>
      </c>
      <c r="K108" s="48"/>
    </row>
    <row r="109" spans="1:11" ht="12.75">
      <c r="A109" s="3">
        <v>40848</v>
      </c>
      <c r="C109" s="19">
        <f t="shared" si="5"/>
        <v>419.80961538461543</v>
      </c>
      <c r="D109" s="19">
        <f t="shared" si="5"/>
        <v>0</v>
      </c>
      <c r="E109" s="67">
        <v>1</v>
      </c>
      <c r="F109" s="68">
        <v>142.73710715580614</v>
      </c>
      <c r="G109" s="67">
        <v>30</v>
      </c>
      <c r="H109" s="47">
        <f t="shared" si="4"/>
        <v>19127.681818181805</v>
      </c>
      <c r="I109" s="67">
        <v>352</v>
      </c>
      <c r="J109" s="10">
        <f t="shared" si="1"/>
        <v>39907109.768584758</v>
      </c>
      <c r="K109" s="48"/>
    </row>
    <row r="110" spans="1:11" ht="12.75">
      <c r="A110" s="3">
        <v>40878</v>
      </c>
      <c r="C110" s="19">
        <f t="shared" si="5"/>
        <v>616.96890384615381</v>
      </c>
      <c r="D110" s="19">
        <f t="shared" si="5"/>
        <v>0</v>
      </c>
      <c r="E110" s="67">
        <v>0</v>
      </c>
      <c r="F110" s="68">
        <v>143.11226836993367</v>
      </c>
      <c r="G110" s="67">
        <v>31</v>
      </c>
      <c r="H110" s="47">
        <f t="shared" si="4"/>
        <v>19143.045454545441</v>
      </c>
      <c r="I110" s="67">
        <v>336</v>
      </c>
      <c r="J110" s="10">
        <f t="shared" si="1"/>
        <v>43395777.946921825</v>
      </c>
      <c r="K110" s="48"/>
    </row>
    <row r="111" spans="1:11" ht="12.75">
      <c r="A111" s="3">
        <v>40909</v>
      </c>
      <c r="C111" s="19">
        <f>C99</f>
        <v>717.5198653846154</v>
      </c>
      <c r="D111" s="19">
        <f>D99</f>
        <v>0</v>
      </c>
      <c r="E111" s="67">
        <v>0</v>
      </c>
      <c r="F111" s="68">
        <v>143.48841563414587</v>
      </c>
      <c r="G111" s="67">
        <v>31</v>
      </c>
      <c r="H111" s="47">
        <f t="shared" si="4"/>
        <v>19158.409090909077</v>
      </c>
      <c r="I111" s="67">
        <v>336</v>
      </c>
      <c r="J111" s="10">
        <f t="shared" si="1"/>
        <v>44362318.616137058</v>
      </c>
      <c r="K111" s="48"/>
    </row>
    <row r="112" spans="1:11" ht="12.75">
      <c r="A112" s="3">
        <v>40940</v>
      </c>
      <c r="C112" s="19">
        <f t="shared" si="6" ref="C112:D122">C100</f>
        <v>661.63424999999995</v>
      </c>
      <c r="D112" s="19">
        <f t="shared" si="6"/>
        <v>0</v>
      </c>
      <c r="E112" s="67">
        <v>0</v>
      </c>
      <c r="F112" s="68">
        <v>143.86555154011452</v>
      </c>
      <c r="G112" s="67">
        <v>29</v>
      </c>
      <c r="H112" s="47">
        <f t="shared" si="4"/>
        <v>19173.772727272713</v>
      </c>
      <c r="I112" s="67">
        <v>320</v>
      </c>
      <c r="J112" s="10">
        <f t="shared" si="1"/>
        <v>43825121.166536443</v>
      </c>
      <c r="K112" s="48"/>
    </row>
    <row r="113" spans="1:11" ht="12.75">
      <c r="A113" s="3">
        <v>40969</v>
      </c>
      <c r="C113" s="19">
        <f t="shared" si="6"/>
        <v>576.21005769230771</v>
      </c>
      <c r="D113" s="19">
        <f t="shared" si="6"/>
        <v>0</v>
      </c>
      <c r="E113" s="67">
        <v>1</v>
      </c>
      <c r="F113" s="68">
        <v>144.24367868632334</v>
      </c>
      <c r="G113" s="67">
        <v>31</v>
      </c>
      <c r="H113" s="47">
        <f t="shared" si="4"/>
        <v>19189.136363636349</v>
      </c>
      <c r="I113" s="67">
        <v>352</v>
      </c>
      <c r="J113" s="10">
        <f t="shared" si="1"/>
        <v>41410500.545368262</v>
      </c>
      <c r="K113" s="48"/>
    </row>
    <row r="114" spans="1:11" ht="12.7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7">
        <v>1</v>
      </c>
      <c r="F114" s="68">
        <v>144.62279967808564</v>
      </c>
      <c r="G114" s="67">
        <v>30</v>
      </c>
      <c r="H114" s="47">
        <f t="shared" si="4"/>
        <v>19204.499999999985</v>
      </c>
      <c r="I114" s="67">
        <v>320</v>
      </c>
      <c r="J114" s="10">
        <f t="shared" si="1"/>
        <v>39168724.950283289</v>
      </c>
      <c r="K114" s="48"/>
    </row>
    <row r="115" spans="1:11" ht="12.75">
      <c r="A115" s="3">
        <v>41030</v>
      </c>
      <c r="C115" s="19">
        <f t="shared" si="6"/>
        <v>182.38060576923076</v>
      </c>
      <c r="D115" s="19">
        <f t="shared" si="6"/>
        <v>10.404711538461537</v>
      </c>
      <c r="E115" s="67">
        <v>1</v>
      </c>
      <c r="F115" s="68">
        <v>145.00291712756246</v>
      </c>
      <c r="G115" s="67">
        <v>31</v>
      </c>
      <c r="H115" s="47">
        <f t="shared" si="4"/>
        <v>19219.863636363621</v>
      </c>
      <c r="I115" s="67">
        <v>352</v>
      </c>
      <c r="J115" s="10">
        <f t="shared" si="1"/>
        <v>39420866.523543559</v>
      </c>
      <c r="K115" s="48"/>
    </row>
    <row r="116" spans="1:11" ht="12.7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7">
        <v>0</v>
      </c>
      <c r="F116" s="68">
        <v>145.38403365378039</v>
      </c>
      <c r="G116" s="67">
        <v>30</v>
      </c>
      <c r="H116" s="47">
        <f t="shared" si="4"/>
        <v>19235.227272727258</v>
      </c>
      <c r="I116" s="67">
        <v>336</v>
      </c>
      <c r="J116" s="10">
        <f t="shared" si="1"/>
        <v>48284767.612918958</v>
      </c>
      <c r="K116" s="48"/>
    </row>
    <row r="117" spans="1:11" ht="12.7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7">
        <v>0</v>
      </c>
      <c r="F117" s="68">
        <v>145.76615188264978</v>
      </c>
      <c r="G117" s="67">
        <v>31</v>
      </c>
      <c r="H117" s="47">
        <f t="shared" si="4"/>
        <v>19250.590909090894</v>
      </c>
      <c r="I117" s="67">
        <v>336</v>
      </c>
      <c r="J117" s="10">
        <f t="shared" si="1"/>
        <v>54798695.736678354</v>
      </c>
      <c r="K117" s="48"/>
    </row>
    <row r="118" spans="1:11" ht="12.7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7">
        <v>0</v>
      </c>
      <c r="F118" s="68">
        <v>146.14927444698273</v>
      </c>
      <c r="G118" s="67">
        <v>31</v>
      </c>
      <c r="H118" s="47">
        <f t="shared" si="4"/>
        <v>19265.95454545453</v>
      </c>
      <c r="I118" s="67">
        <v>352</v>
      </c>
      <c r="J118" s="10">
        <f t="shared" si="1"/>
        <v>50968401.910509013</v>
      </c>
      <c r="K118" s="48"/>
    </row>
    <row r="119" spans="1:11" ht="12.7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7">
        <v>1</v>
      </c>
      <c r="F119" s="68">
        <v>146.53340398651127</v>
      </c>
      <c r="G119" s="67">
        <v>30</v>
      </c>
      <c r="H119" s="47">
        <f t="shared" si="4"/>
        <v>19281.318181818166</v>
      </c>
      <c r="I119" s="67">
        <v>304</v>
      </c>
      <c r="J119" s="10">
        <f t="shared" si="1"/>
        <v>40561210.915316448</v>
      </c>
      <c r="K119" s="48"/>
    </row>
    <row r="120" spans="1:11" ht="12.7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7">
        <v>1</v>
      </c>
      <c r="F120" s="68">
        <v>146.91854314790552</v>
      </c>
      <c r="G120" s="67">
        <v>31</v>
      </c>
      <c r="H120" s="47">
        <f t="shared" si="4"/>
        <v>19296.681818181802</v>
      </c>
      <c r="I120" s="67">
        <v>352</v>
      </c>
      <c r="J120" s="10">
        <f t="shared" si="1"/>
        <v>38907123.075782381</v>
      </c>
      <c r="K120" s="48"/>
    </row>
    <row r="121" spans="1:11" ht="12.75">
      <c r="A121" s="3">
        <v>41214</v>
      </c>
      <c r="C121" s="19">
        <f t="shared" si="6"/>
        <v>419.80961538461543</v>
      </c>
      <c r="D121" s="19">
        <f t="shared" si="6"/>
        <v>0</v>
      </c>
      <c r="E121" s="67">
        <v>1</v>
      </c>
      <c r="F121" s="68">
        <v>147.30469458479195</v>
      </c>
      <c r="G121" s="67">
        <v>30</v>
      </c>
      <c r="H121" s="47">
        <f t="shared" si="4"/>
        <v>19312.045454545438</v>
      </c>
      <c r="I121" s="67">
        <v>352</v>
      </c>
      <c r="J121" s="10">
        <f t="shared" si="1"/>
        <v>39907109.768584758</v>
      </c>
      <c r="K121" s="48"/>
    </row>
    <row r="122" spans="1:11" ht="12.75">
      <c r="A122" s="3">
        <v>41244</v>
      </c>
      <c r="C122" s="19">
        <f t="shared" si="6"/>
        <v>616.96890384615381</v>
      </c>
      <c r="D122" s="19">
        <f t="shared" si="6"/>
        <v>0</v>
      </c>
      <c r="E122" s="67">
        <v>0</v>
      </c>
      <c r="F122" s="68">
        <v>147.69186095777155</v>
      </c>
      <c r="G122" s="67">
        <v>31</v>
      </c>
      <c r="H122" s="47">
        <f t="shared" si="4"/>
        <v>19327.409090909074</v>
      </c>
      <c r="I122" s="67">
        <v>304</v>
      </c>
      <c r="J122" s="10">
        <f t="shared" si="1"/>
        <v>43395777.946921825</v>
      </c>
      <c r="K122" s="48"/>
    </row>
    <row r="123" spans="1:27" ht="12.75">
      <c r="A123" s="3"/>
      <c r="Y123" s="11"/>
      <c r="Z123" s="11"/>
      <c r="AA123" s="11"/>
    </row>
    <row r="124" spans="1:10" ht="12.75">
      <c r="A124" s="3"/>
      <c r="C124" s="20"/>
      <c r="D124" s="1" t="s">
        <v>15</v>
      </c>
      <c r="J124" s="48">
        <f>SUM(J3:J122)</f>
        <v>5250106187.6858044</v>
      </c>
    </row>
    <row r="125" ht="12.75">
      <c r="A125" s="3"/>
    </row>
    <row r="126" spans="1:12" ht="12.75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si="7" ref="K126:K133">J126-B126</f>
        <v>15944441.961809456</v>
      </c>
      <c r="L126" s="5">
        <f t="shared" si="8" ref="L126:L133">K126/B126</f>
        <v>0.031536498700955436</v>
      </c>
    </row>
    <row r="127" spans="1:12" ht="12.75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0.0047884398375997719</v>
      </c>
    </row>
    <row r="128" spans="1:27" ht="12.75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-0.0048962099150110065</v>
      </c>
      <c r="Y128" s="11"/>
      <c r="Z128" s="11"/>
      <c r="AA128" s="11"/>
    </row>
    <row r="129" spans="1:12" ht="12.75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-9.2615893246081709E-05</v>
      </c>
    </row>
    <row r="130" spans="1:12" ht="12.75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0.030471934300932136</v>
      </c>
    </row>
    <row r="131" spans="1:12" ht="12.75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-0.028994344097114332</v>
      </c>
    </row>
    <row r="132" spans="1:12" ht="12.75">
      <c r="A132" s="17">
        <v>2009</v>
      </c>
      <c r="B132" s="6">
        <f>SUM(B75:B86)</f>
        <v>529624806.81752807</v>
      </c>
      <c r="J132" s="6">
        <f>SUM(J75:J86)</f>
        <v>524829147.35430759</v>
      </c>
      <c r="K132" s="37">
        <f t="shared" si="7"/>
        <v>-4795659.4632204771</v>
      </c>
      <c r="L132" s="5">
        <f t="shared" si="8"/>
        <v>-0.009054824097151342</v>
      </c>
    </row>
    <row r="133" spans="1:12" ht="12.75">
      <c r="A133">
        <v>2010</v>
      </c>
      <c r="B133" s="6">
        <f>SUM(B87:B98)</f>
        <v>536982991.29893577</v>
      </c>
      <c r="J133" s="6">
        <f>SUM(J87:J98)</f>
        <v>525677224.20508033</v>
      </c>
      <c r="K133" s="37">
        <f t="shared" si="7"/>
        <v>-11305767.093855441</v>
      </c>
      <c r="L133" s="5">
        <f t="shared" si="8"/>
        <v>-0.02105423686978863</v>
      </c>
    </row>
    <row r="134" spans="1:10" ht="12.75">
      <c r="A134" s="17">
        <v>2011</v>
      </c>
      <c r="J134" s="6">
        <f>SUM(J99:J110)</f>
        <v>525010618.76858032</v>
      </c>
    </row>
    <row r="135" spans="1:10" ht="12.75">
      <c r="A135" s="17">
        <v>2012</v>
      </c>
      <c r="J135" s="6">
        <f>SUM(J111:J122)</f>
        <v>525010618.76858032</v>
      </c>
    </row>
    <row r="136" ht="12.75">
      <c r="J136" s="6"/>
    </row>
    <row r="137" spans="1:11" ht="12.75">
      <c r="A137" t="s">
        <v>91</v>
      </c>
      <c r="B137" s="6">
        <f>SUM(B126:B133)</f>
        <v>4200084950.1486435</v>
      </c>
      <c r="J137" s="6">
        <f>SUM(J126:J133)</f>
        <v>4200084950.148643</v>
      </c>
      <c r="K137" s="6">
        <f>J137-B137</f>
        <v>0</v>
      </c>
    </row>
    <row r="139" spans="10:11" ht="12.75">
      <c r="J139" s="6">
        <f>SUM(J126:J135)</f>
        <v>5250106187.6858034</v>
      </c>
      <c r="K139" s="48">
        <f>J124-J139</f>
        <v>0</v>
      </c>
    </row>
    <row r="140" spans="10:12" ht="12.75">
      <c r="J140" s="20"/>
      <c r="K140" s="20" t="s">
        <v>75</v>
      </c>
      <c r="L140" s="20"/>
    </row>
    <row r="142" spans="25:27" ht="12.75">
      <c r="Y142" s="11"/>
      <c r="Z142" s="11"/>
      <c r="AA142" s="11"/>
    </row>
    <row r="154" spans="25:27" ht="12.75">
      <c r="Y154" s="11"/>
      <c r="Z154" s="11"/>
      <c r="AA154" s="11"/>
    </row>
  </sheetData>
  <pageMargins left="0.38" right="0.75" top="0.73" bottom="0.74" header="0.5" footer="0.5"/>
  <pageSetup horizontalDpi="300" verticalDpi="3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