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996" windowWidth="20376" windowHeight="11232" tabRatio="768" activeTab="6"/>
  </bookViews>
  <sheets>
    <sheet name="1. Billing Det. for Def-Var" sheetId="3" r:id="rId1"/>
    <sheet name="2. Allocating Def-Var Balances" sheetId="6" r:id="rId2"/>
    <sheet name="3. Calculation of Def-Var RR" sheetId="11" r:id="rId3"/>
    <sheet name="4. Calculation of GA RR" sheetId="33" r:id="rId4"/>
    <sheet name="5. Summary of Def-Var RR" sheetId="12" r:id="rId5"/>
    <sheet name="6. Rev2Cost_GDPIPI" sheetId="28" r:id="rId6"/>
    <sheet name="7. Final Tariff Schedule" sheetId="31" r:id="rId7"/>
    <sheet name="8. Shared Tax - Rate Rider" sheetId="1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BI_LDCLIST">'[1]3. Rate Class Selection'!$B$19:$B$26</definedName>
    <definedName name="COS_RES_CUSTOMERS">'6. Rev2Cost_GDPIPI'!$F$12</definedName>
    <definedName name="COS_RES_KWH">'6. Rev2Cost_GDPIPI'!$F$13</definedName>
    <definedName name="CustomerAdministration">[1]lists!$Z$1:$Z$36</definedName>
    <definedName name="forecast_wholesale_lineplus">'[2]13. RTSR - Forecast Wholesale'!$P$113</definedName>
    <definedName name="forecast_wholesale_network">'[2]13. RTSR - Forecast Wholesale'!$F$109</definedName>
    <definedName name="LossFactors">[1]lists!$L$2:$L$15</definedName>
    <definedName name="NonPayment">[1]lists!$AA$1:$AA$71</definedName>
    <definedName name="_xlnm.Print_Area" localSheetId="6">'7. Final Tariff Schedule'!$A$1:$E$417</definedName>
    <definedName name="_xlnm.Print_Titles" localSheetId="3">'4. Calculation of GA RR'!$1:$5</definedName>
    <definedName name="_xlnm.Print_Titles" localSheetId="6">'7. Final Tariff Schedule'!$1:$7</definedName>
    <definedName name="ratebase">#REF!</definedName>
    <definedName name="Total_Current_Wholesale_Lineplus">'[2]12. RTSR - Current Wholesale'!$P$113</definedName>
    <definedName name="total_current_wholesale_network">'[2]12. RTSR - Current Wholesale'!$F$109</definedName>
    <definedName name="Units">[1]lists!$N$2:$N$5</definedName>
    <definedName name="Units1">[3]lists!$O$2:$O$4</definedName>
    <definedName name="Units2">[1]lists!$P$2:$P$3</definedName>
    <definedName name="YRS_LEFT">'6. Rev2Cost_GDPIPI'!$F$14</definedName>
  </definedNames>
  <calcPr calcId="145621"/>
</workbook>
</file>

<file path=xl/calcChain.xml><?xml version="1.0" encoding="utf-8"?>
<calcChain xmlns="http://schemas.openxmlformats.org/spreadsheetml/2006/main">
  <c r="E29" i="13" l="1"/>
  <c r="F29" i="13" l="1"/>
  <c r="E30" i="31" s="1"/>
  <c r="E296" i="31"/>
  <c r="E295" i="31"/>
  <c r="E266" i="31"/>
  <c r="E265" i="31"/>
  <c r="E237" i="31"/>
  <c r="E236" i="31"/>
  <c r="E202" i="31"/>
  <c r="E201" i="31"/>
  <c r="E168" i="31"/>
  <c r="E167" i="31"/>
  <c r="E134" i="31"/>
  <c r="E133" i="31"/>
  <c r="E32" i="31"/>
  <c r="E31" i="31"/>
  <c r="H19" i="28" l="1"/>
  <c r="G19" i="28"/>
  <c r="H17" i="28" l="1"/>
  <c r="C16" i="6" l="1"/>
  <c r="C11" i="6"/>
  <c r="C13" i="6"/>
  <c r="C14" i="6"/>
  <c r="C29" i="6"/>
  <c r="D29" i="6"/>
  <c r="P16" i="6"/>
  <c r="C42" i="6"/>
  <c r="D42" i="6"/>
  <c r="R16" i="6" s="1"/>
  <c r="C54" i="6"/>
  <c r="D54" i="6"/>
  <c r="T16" i="6" s="1"/>
  <c r="I23" i="3"/>
  <c r="H16" i="6" s="1"/>
  <c r="C25" i="6"/>
  <c r="D25" i="6" s="1"/>
  <c r="P15" i="6" s="1"/>
  <c r="C38" i="6"/>
  <c r="D38" i="6"/>
  <c r="R15" i="6" s="1"/>
  <c r="C50" i="6"/>
  <c r="D50" i="6" s="1"/>
  <c r="T15" i="6" s="1"/>
  <c r="C28" i="6"/>
  <c r="D28" i="6"/>
  <c r="P14" i="6"/>
  <c r="C41" i="6"/>
  <c r="D41" i="6" s="1"/>
  <c r="R14" i="6" s="1"/>
  <c r="C53" i="6"/>
  <c r="D53" i="6" s="1"/>
  <c r="T14" i="6" s="1"/>
  <c r="C24" i="6"/>
  <c r="D24" i="6" s="1"/>
  <c r="P11" i="6" s="1"/>
  <c r="C37" i="6"/>
  <c r="D37" i="6" s="1"/>
  <c r="R11" i="6" s="1"/>
  <c r="C49" i="6"/>
  <c r="D49" i="6" s="1"/>
  <c r="T11" i="6" s="1"/>
  <c r="C23" i="6"/>
  <c r="C36" i="6"/>
  <c r="D36" i="6"/>
  <c r="C48" i="6"/>
  <c r="F28" i="6"/>
  <c r="G26" i="6"/>
  <c r="F41" i="6"/>
  <c r="S9" i="6"/>
  <c r="F53" i="6"/>
  <c r="G53" i="6" s="1"/>
  <c r="U14" i="6" s="1"/>
  <c r="U9" i="6"/>
  <c r="O21" i="3"/>
  <c r="F23" i="6"/>
  <c r="G23" i="6" s="1"/>
  <c r="Q10" i="6" s="1"/>
  <c r="F36" i="6"/>
  <c r="F48" i="6"/>
  <c r="G48" i="6" s="1"/>
  <c r="U10" i="6" s="1"/>
  <c r="E10" i="6"/>
  <c r="C11" i="33"/>
  <c r="D11" i="33"/>
  <c r="E11" i="33"/>
  <c r="F11" i="33"/>
  <c r="G11" i="33"/>
  <c r="B39" i="33"/>
  <c r="B33" i="33"/>
  <c r="B34" i="33"/>
  <c r="B35" i="33"/>
  <c r="B36" i="33"/>
  <c r="B37" i="33"/>
  <c r="B38" i="33"/>
  <c r="E39" i="33"/>
  <c r="F29" i="6"/>
  <c r="F42" i="6"/>
  <c r="F54" i="6"/>
  <c r="G54" i="6"/>
  <c r="U16" i="6" s="1"/>
  <c r="O23" i="3"/>
  <c r="L27" i="11" s="1"/>
  <c r="N27" i="11" s="1"/>
  <c r="F25" i="6"/>
  <c r="F38" i="6"/>
  <c r="F50" i="6"/>
  <c r="G50" i="6" s="1"/>
  <c r="F27" i="6"/>
  <c r="G27" i="6"/>
  <c r="Q13" i="6" s="1"/>
  <c r="F40" i="6"/>
  <c r="G40" i="6" s="1"/>
  <c r="S13" i="6" s="1"/>
  <c r="F52" i="6"/>
  <c r="G52" i="6" s="1"/>
  <c r="U13" i="6" s="1"/>
  <c r="O20" i="3"/>
  <c r="L24" i="11" s="1"/>
  <c r="F26" i="6"/>
  <c r="Q12" i="6"/>
  <c r="F39" i="6"/>
  <c r="G39" i="6"/>
  <c r="S12" i="6" s="1"/>
  <c r="F51" i="6"/>
  <c r="G51" i="6" s="1"/>
  <c r="U12" i="6" s="1"/>
  <c r="O19" i="3"/>
  <c r="L23" i="11" s="1"/>
  <c r="N23" i="11" s="1"/>
  <c r="F24" i="6"/>
  <c r="G24" i="6" s="1"/>
  <c r="Q11" i="6" s="1"/>
  <c r="F37" i="6"/>
  <c r="G37" i="6"/>
  <c r="S11" i="6" s="1"/>
  <c r="F49" i="6"/>
  <c r="G49" i="6"/>
  <c r="U11" i="6" s="1"/>
  <c r="N18" i="3"/>
  <c r="L22" i="11" s="1"/>
  <c r="N22" i="11" s="1"/>
  <c r="E12" i="6"/>
  <c r="E13" i="6"/>
  <c r="E14" i="6"/>
  <c r="E38" i="33"/>
  <c r="E37" i="33"/>
  <c r="E36" i="33"/>
  <c r="E35" i="33"/>
  <c r="E34" i="33"/>
  <c r="E33" i="33"/>
  <c r="E28" i="33"/>
  <c r="B28" i="33"/>
  <c r="E27" i="33"/>
  <c r="B27" i="33"/>
  <c r="E26" i="33"/>
  <c r="E29" i="33" s="1"/>
  <c r="B26" i="33"/>
  <c r="E25" i="33"/>
  <c r="B25" i="33"/>
  <c r="E24" i="33"/>
  <c r="B24" i="33"/>
  <c r="E19" i="33"/>
  <c r="B19" i="33"/>
  <c r="E18" i="33"/>
  <c r="E20" i="33" s="1"/>
  <c r="B18" i="33"/>
  <c r="E17" i="33"/>
  <c r="B17" i="33"/>
  <c r="E16" i="33"/>
  <c r="B16" i="33"/>
  <c r="F10" i="33"/>
  <c r="D10" i="33"/>
  <c r="D12" i="33" s="1"/>
  <c r="C10" i="33"/>
  <c r="E10" i="33" s="1"/>
  <c r="F9" i="33"/>
  <c r="F12" i="33" s="1"/>
  <c r="D9" i="33"/>
  <c r="C9" i="33"/>
  <c r="G10" i="33"/>
  <c r="M25" i="11"/>
  <c r="M24" i="11"/>
  <c r="M23" i="11"/>
  <c r="M30" i="11" s="1"/>
  <c r="T9" i="6"/>
  <c r="C40" i="6"/>
  <c r="C39" i="6"/>
  <c r="R9" i="6"/>
  <c r="D22" i="11"/>
  <c r="D26" i="11"/>
  <c r="D21" i="11"/>
  <c r="M20" i="3"/>
  <c r="M19" i="3"/>
  <c r="L20" i="3"/>
  <c r="L19" i="3"/>
  <c r="G11" i="6"/>
  <c r="G10" i="6"/>
  <c r="V27" i="3"/>
  <c r="U27" i="3"/>
  <c r="K27" i="3"/>
  <c r="G17" i="6"/>
  <c r="E199" i="31"/>
  <c r="E165" i="31"/>
  <c r="W20" i="3"/>
  <c r="W19" i="3"/>
  <c r="W23" i="3"/>
  <c r="W21" i="3"/>
  <c r="W18" i="3"/>
  <c r="W17" i="3"/>
  <c r="D37" i="13"/>
  <c r="C37" i="13"/>
  <c r="E25" i="13"/>
  <c r="D25" i="13"/>
  <c r="C25" i="13"/>
  <c r="K24" i="13"/>
  <c r="J24" i="13"/>
  <c r="I24" i="13"/>
  <c r="K23" i="13"/>
  <c r="J23" i="13"/>
  <c r="I23" i="13"/>
  <c r="K22" i="13"/>
  <c r="J22" i="13"/>
  <c r="I22" i="13"/>
  <c r="K21" i="13"/>
  <c r="J21" i="13"/>
  <c r="I21" i="13"/>
  <c r="K20" i="13"/>
  <c r="J20" i="13"/>
  <c r="I20" i="13"/>
  <c r="K19" i="13"/>
  <c r="J19" i="13"/>
  <c r="I19" i="13"/>
  <c r="K18" i="13"/>
  <c r="J18" i="13"/>
  <c r="I18" i="13"/>
  <c r="K17" i="13"/>
  <c r="K25" i="13"/>
  <c r="J17" i="13"/>
  <c r="I17" i="13"/>
  <c r="M19" i="13"/>
  <c r="N19" i="13"/>
  <c r="N22" i="13"/>
  <c r="M17" i="13"/>
  <c r="N21" i="13"/>
  <c r="L17" i="13"/>
  <c r="L18" i="13"/>
  <c r="N18" i="13"/>
  <c r="L19" i="13"/>
  <c r="L20" i="13"/>
  <c r="L21" i="13"/>
  <c r="L22" i="13"/>
  <c r="L23" i="13"/>
  <c r="M23" i="13"/>
  <c r="L24" i="13"/>
  <c r="N24" i="13"/>
  <c r="I25" i="13"/>
  <c r="J25" i="13"/>
  <c r="M24" i="13"/>
  <c r="O21" i="13"/>
  <c r="N23" i="13"/>
  <c r="O20" i="13"/>
  <c r="M21" i="13"/>
  <c r="M18" i="13"/>
  <c r="O19" i="13"/>
  <c r="O24" i="13"/>
  <c r="O22" i="13"/>
  <c r="O18" i="13"/>
  <c r="N20" i="13"/>
  <c r="M20" i="13"/>
  <c r="O23" i="13"/>
  <c r="L25" i="13"/>
  <c r="P17" i="13"/>
  <c r="O17" i="13"/>
  <c r="N17" i="13"/>
  <c r="M22" i="13"/>
  <c r="P22" i="13"/>
  <c r="E34" i="13"/>
  <c r="F34" i="13" s="1"/>
  <c r="P20" i="13"/>
  <c r="E32" i="13"/>
  <c r="F32" i="13" s="1"/>
  <c r="P23" i="13"/>
  <c r="E35" i="13"/>
  <c r="F35" i="13" s="1"/>
  <c r="E293" i="31" s="1"/>
  <c r="P24" i="13"/>
  <c r="E36" i="13"/>
  <c r="F36" i="13" s="1"/>
  <c r="P21" i="13"/>
  <c r="E33" i="13"/>
  <c r="F33" i="13" s="1"/>
  <c r="E234" i="31" s="1"/>
  <c r="P19" i="13"/>
  <c r="E31" i="13"/>
  <c r="F31" i="13" s="1"/>
  <c r="P18" i="13"/>
  <c r="E30" i="13"/>
  <c r="F30" i="13" s="1"/>
  <c r="P25" i="13"/>
  <c r="C27" i="28"/>
  <c r="C28" i="28"/>
  <c r="C29" i="28"/>
  <c r="D27" i="28"/>
  <c r="E27" i="28"/>
  <c r="Y18" i="3"/>
  <c r="Y17" i="3"/>
  <c r="F27" i="28"/>
  <c r="G27" i="28"/>
  <c r="G28" i="28"/>
  <c r="D28" i="28"/>
  <c r="H27" i="28"/>
  <c r="I27" i="28"/>
  <c r="B28" i="28"/>
  <c r="B27" i="28"/>
  <c r="G24" i="28"/>
  <c r="H23" i="28"/>
  <c r="E289" i="31" s="1"/>
  <c r="G21" i="28"/>
  <c r="E228" i="31" s="1"/>
  <c r="G18" i="28"/>
  <c r="E126" i="31" s="1"/>
  <c r="B14" i="28"/>
  <c r="D13" i="28"/>
  <c r="H18" i="28" s="1"/>
  <c r="E128" i="31" s="1"/>
  <c r="F19" i="28"/>
  <c r="H22" i="28"/>
  <c r="I22" i="28" s="1"/>
  <c r="H21" i="28"/>
  <c r="I21" i="28" s="1"/>
  <c r="G22" i="28"/>
  <c r="E259" i="31" s="1"/>
  <c r="H28" i="28"/>
  <c r="E26" i="31"/>
  <c r="I28" i="28"/>
  <c r="A32" i="28"/>
  <c r="I29" i="28"/>
  <c r="M27" i="3"/>
  <c r="L27" i="3"/>
  <c r="N24" i="3"/>
  <c r="J22" i="3"/>
  <c r="J18" i="3"/>
  <c r="J17" i="3"/>
  <c r="H27" i="3"/>
  <c r="G27" i="3"/>
  <c r="C52" i="6"/>
  <c r="C51" i="6"/>
  <c r="C27" i="6"/>
  <c r="C26" i="6"/>
  <c r="D26" i="6" s="1"/>
  <c r="P9" i="6"/>
  <c r="S27" i="3"/>
  <c r="Q27" i="3"/>
  <c r="P27" i="3"/>
  <c r="O24" i="3"/>
  <c r="C27" i="11"/>
  <c r="K11" i="6"/>
  <c r="K13" i="6"/>
  <c r="K15" i="6"/>
  <c r="K10" i="6"/>
  <c r="K12" i="6"/>
  <c r="K14" i="6"/>
  <c r="K16" i="6" s="1"/>
  <c r="F43" i="6"/>
  <c r="P12" i="6"/>
  <c r="X27" i="3"/>
  <c r="D40" i="6"/>
  <c r="R13" i="6" s="1"/>
  <c r="D27" i="6"/>
  <c r="P13" i="6" s="1"/>
  <c r="T27" i="3"/>
  <c r="W27" i="3"/>
  <c r="R27" i="3"/>
  <c r="D51" i="6"/>
  <c r="T12" i="6" s="1"/>
  <c r="C43" i="6"/>
  <c r="D52" i="6"/>
  <c r="T13" i="6" s="1"/>
  <c r="F55" i="6"/>
  <c r="D39" i="6"/>
  <c r="R12" i="6"/>
  <c r="K17" i="6" l="1"/>
  <c r="N24" i="11"/>
  <c r="L25" i="11"/>
  <c r="C24" i="11"/>
  <c r="C27" i="3"/>
  <c r="B34" i="3" s="1"/>
  <c r="D34" i="3" s="1"/>
  <c r="O18" i="3"/>
  <c r="I18" i="3"/>
  <c r="E27" i="11"/>
  <c r="J20" i="3"/>
  <c r="F24" i="11" s="1"/>
  <c r="C10" i="6"/>
  <c r="N19" i="3"/>
  <c r="C22" i="11"/>
  <c r="D25" i="11"/>
  <c r="C25" i="11"/>
  <c r="I21" i="3"/>
  <c r="D27" i="3"/>
  <c r="I20" i="3"/>
  <c r="C15" i="6"/>
  <c r="J23" i="3"/>
  <c r="C21" i="11"/>
  <c r="O22" i="3"/>
  <c r="C26" i="11"/>
  <c r="I22" i="3"/>
  <c r="C12" i="6"/>
  <c r="N20" i="3"/>
  <c r="E11" i="6"/>
  <c r="N17" i="3"/>
  <c r="I17" i="3"/>
  <c r="D23" i="11"/>
  <c r="J21" i="3"/>
  <c r="N25" i="11"/>
  <c r="J19" i="3"/>
  <c r="D24" i="11"/>
  <c r="D27" i="11"/>
  <c r="O17" i="3"/>
  <c r="K24" i="11"/>
  <c r="O24" i="11" s="1"/>
  <c r="E9" i="33"/>
  <c r="C12" i="33"/>
  <c r="B20" i="33"/>
  <c r="C16" i="33" s="1"/>
  <c r="B29" i="33"/>
  <c r="C26" i="33" s="1"/>
  <c r="D26" i="33" s="1"/>
  <c r="F26" i="33" s="1"/>
  <c r="D24" i="12" s="1"/>
  <c r="C25" i="33"/>
  <c r="D25" i="33" s="1"/>
  <c r="F25" i="33" s="1"/>
  <c r="D23" i="12" s="1"/>
  <c r="E40" i="33"/>
  <c r="N21" i="3"/>
  <c r="E27" i="3"/>
  <c r="L21" i="11"/>
  <c r="D23" i="6"/>
  <c r="C30" i="6"/>
  <c r="U15" i="6"/>
  <c r="U17" i="6" s="1"/>
  <c r="G55" i="6"/>
  <c r="E16" i="6"/>
  <c r="N23" i="3"/>
  <c r="G38" i="6"/>
  <c r="S15" i="6" s="1"/>
  <c r="G36" i="6"/>
  <c r="G41" i="6"/>
  <c r="S14" i="6" s="1"/>
  <c r="C19" i="33"/>
  <c r="G29" i="6"/>
  <c r="Q16" i="6" s="1"/>
  <c r="F30" i="6"/>
  <c r="K22" i="11"/>
  <c r="O22" i="11" s="1"/>
  <c r="C23" i="12" s="1"/>
  <c r="K23" i="11"/>
  <c r="O23" i="11" s="1"/>
  <c r="B40" i="33"/>
  <c r="D48" i="6"/>
  <c r="C55" i="6"/>
  <c r="R10" i="6"/>
  <c r="R17" i="6" s="1"/>
  <c r="D43" i="6"/>
  <c r="G25" i="6"/>
  <c r="G42" i="6"/>
  <c r="S16" i="6" s="1"/>
  <c r="G28" i="6"/>
  <c r="Q14" i="6" s="1"/>
  <c r="I19" i="3"/>
  <c r="C23" i="11"/>
  <c r="Q9" i="6"/>
  <c r="V9" i="6" s="1"/>
  <c r="N22" i="3"/>
  <c r="L26" i="11" s="1"/>
  <c r="N26" i="11" s="1"/>
  <c r="E15" i="6"/>
  <c r="F17" i="28"/>
  <c r="F22" i="28"/>
  <c r="H20" i="28"/>
  <c r="E193" i="31" s="1"/>
  <c r="I19" i="28"/>
  <c r="F21" i="28"/>
  <c r="F20" i="28"/>
  <c r="F23" i="28"/>
  <c r="E229" i="31"/>
  <c r="E260" i="31"/>
  <c r="G23" i="28"/>
  <c r="E288" i="31" s="1"/>
  <c r="I23" i="28"/>
  <c r="E159" i="31"/>
  <c r="G20" i="28"/>
  <c r="E192" i="31" s="1"/>
  <c r="F18" i="28"/>
  <c r="G17" i="28"/>
  <c r="E23" i="31" s="1"/>
  <c r="E158" i="31"/>
  <c r="A36" i="3" l="1"/>
  <c r="C17" i="6"/>
  <c r="D13" i="6" s="1"/>
  <c r="C30" i="11"/>
  <c r="H11" i="6"/>
  <c r="E25" i="11"/>
  <c r="H14" i="6"/>
  <c r="O27" i="3"/>
  <c r="H15" i="6"/>
  <c r="E22" i="11"/>
  <c r="F27" i="11"/>
  <c r="J27" i="3"/>
  <c r="F27" i="3"/>
  <c r="E26" i="11"/>
  <c r="F25" i="11"/>
  <c r="H13" i="6"/>
  <c r="E24" i="11"/>
  <c r="N27" i="3"/>
  <c r="H10" i="6"/>
  <c r="E21" i="11"/>
  <c r="D16" i="6"/>
  <c r="J16" i="6" s="1"/>
  <c r="D30" i="11"/>
  <c r="F23" i="11"/>
  <c r="N13" i="6"/>
  <c r="J13" i="6"/>
  <c r="M13" i="6"/>
  <c r="H12" i="6"/>
  <c r="E23" i="11"/>
  <c r="C36" i="33"/>
  <c r="D36" i="33" s="1"/>
  <c r="F36" i="33" s="1"/>
  <c r="E25" i="12" s="1"/>
  <c r="E26" i="12" s="1"/>
  <c r="C37" i="33"/>
  <c r="D37" i="33" s="1"/>
  <c r="F37" i="33" s="1"/>
  <c r="E27" i="12" s="1"/>
  <c r="E28" i="12" s="1"/>
  <c r="C35" i="33"/>
  <c r="D35" i="33" s="1"/>
  <c r="F35" i="33" s="1"/>
  <c r="E24" i="12" s="1"/>
  <c r="C38" i="33"/>
  <c r="D38" i="33" s="1"/>
  <c r="F38" i="33" s="1"/>
  <c r="E30" i="12" s="1"/>
  <c r="C33" i="33"/>
  <c r="K25" i="11"/>
  <c r="O25" i="11" s="1"/>
  <c r="C25" i="12"/>
  <c r="C26" i="12"/>
  <c r="C27" i="12"/>
  <c r="C28" i="12"/>
  <c r="I27" i="3"/>
  <c r="D10" i="6"/>
  <c r="D15" i="6"/>
  <c r="D14" i="6"/>
  <c r="D12" i="6"/>
  <c r="C17" i="33"/>
  <c r="C20" i="33" s="1"/>
  <c r="P10" i="6"/>
  <c r="P17" i="6" s="1"/>
  <c r="D30" i="6"/>
  <c r="E17" i="6"/>
  <c r="F16" i="6" s="1"/>
  <c r="T10" i="6"/>
  <c r="T17" i="6" s="1"/>
  <c r="D55" i="6"/>
  <c r="C18" i="33"/>
  <c r="N21" i="11"/>
  <c r="L30" i="11"/>
  <c r="Q15" i="6"/>
  <c r="K26" i="11" s="1"/>
  <c r="O26" i="11" s="1"/>
  <c r="C24" i="12" s="1"/>
  <c r="G30" i="6"/>
  <c r="C24" i="33"/>
  <c r="C28" i="33"/>
  <c r="D28" i="33" s="1"/>
  <c r="F28" i="33" s="1"/>
  <c r="D27" i="12" s="1"/>
  <c r="C27" i="33"/>
  <c r="D27" i="33" s="1"/>
  <c r="F27" i="33" s="1"/>
  <c r="D25" i="12" s="1"/>
  <c r="S10" i="6"/>
  <c r="G43" i="6"/>
  <c r="D11" i="6"/>
  <c r="C34" i="33"/>
  <c r="D34" i="33" s="1"/>
  <c r="F34" i="33" s="1"/>
  <c r="E23" i="12" s="1"/>
  <c r="F23" i="12" s="1"/>
  <c r="E130" i="31" s="1"/>
  <c r="K27" i="11"/>
  <c r="O27" i="11" s="1"/>
  <c r="C31" i="12" s="1"/>
  <c r="E12" i="33"/>
  <c r="G9" i="33"/>
  <c r="C39" i="33"/>
  <c r="D39" i="33" s="1"/>
  <c r="F39" i="33" s="1"/>
  <c r="E31" i="12" s="1"/>
  <c r="I20" i="28"/>
  <c r="E30" i="11" l="1"/>
  <c r="N30" i="11"/>
  <c r="N16" i="6"/>
  <c r="F30" i="11"/>
  <c r="M16" i="6"/>
  <c r="F12" i="6"/>
  <c r="F10" i="6"/>
  <c r="F11" i="6"/>
  <c r="F14" i="6"/>
  <c r="F13" i="6"/>
  <c r="N14" i="6"/>
  <c r="J14" i="6"/>
  <c r="M14" i="6"/>
  <c r="C40" i="33"/>
  <c r="D33" i="33"/>
  <c r="N15" i="6"/>
  <c r="J15" i="6"/>
  <c r="M15" i="6"/>
  <c r="Q17" i="6"/>
  <c r="C29" i="12"/>
  <c r="F29" i="12" s="1"/>
  <c r="E231" i="31" s="1"/>
  <c r="C30" i="12"/>
  <c r="N10" i="6"/>
  <c r="J10" i="6"/>
  <c r="M10" i="6"/>
  <c r="D17" i="6"/>
  <c r="G12" i="33"/>
  <c r="D17" i="33"/>
  <c r="F17" i="33" s="1"/>
  <c r="D28" i="12" s="1"/>
  <c r="F28" i="12" s="1"/>
  <c r="E197" i="31" s="1"/>
  <c r="D19" i="33"/>
  <c r="F19" i="33" s="1"/>
  <c r="D31" i="12" s="1"/>
  <c r="F31" i="12" s="1"/>
  <c r="E291" i="31" s="1"/>
  <c r="D16" i="33"/>
  <c r="D18" i="33"/>
  <c r="F18" i="33" s="1"/>
  <c r="D30" i="12" s="1"/>
  <c r="J11" i="6"/>
  <c r="M11" i="6"/>
  <c r="N11" i="6"/>
  <c r="F25" i="12"/>
  <c r="E162" i="31" s="1"/>
  <c r="F15" i="6"/>
  <c r="S17" i="6"/>
  <c r="K21" i="11"/>
  <c r="F24" i="12"/>
  <c r="E262" i="31" s="1"/>
  <c r="G24" i="11"/>
  <c r="H17" i="6"/>
  <c r="F27" i="12"/>
  <c r="E196" i="31" s="1"/>
  <c r="C29" i="33"/>
  <c r="D24" i="33"/>
  <c r="N12" i="6"/>
  <c r="J12" i="6"/>
  <c r="M12" i="6"/>
  <c r="F30" i="12" l="1"/>
  <c r="E232" i="31" s="1"/>
  <c r="G27" i="11"/>
  <c r="I24" i="11"/>
  <c r="C13" i="12" s="1"/>
  <c r="E194" i="31" s="1"/>
  <c r="F33" i="33"/>
  <c r="E22" i="12" s="1"/>
  <c r="D40" i="33"/>
  <c r="I13" i="6"/>
  <c r="I14" i="6"/>
  <c r="I10" i="6"/>
  <c r="I15" i="6"/>
  <c r="I16" i="6"/>
  <c r="I11" i="6"/>
  <c r="D20" i="33"/>
  <c r="F16" i="33"/>
  <c r="D26" i="12" s="1"/>
  <c r="F26" i="12" s="1"/>
  <c r="E163" i="31" s="1"/>
  <c r="G23" i="11"/>
  <c r="I12" i="6"/>
  <c r="M17" i="6"/>
  <c r="H18" i="6" s="1"/>
  <c r="D29" i="33"/>
  <c r="F24" i="33"/>
  <c r="D22" i="12" s="1"/>
  <c r="K30" i="11"/>
  <c r="O21" i="11"/>
  <c r="C22" i="12" s="1"/>
  <c r="G21" i="11"/>
  <c r="J17" i="6"/>
  <c r="E18" i="6" s="1"/>
  <c r="G26" i="11"/>
  <c r="G22" i="11"/>
  <c r="N17" i="6"/>
  <c r="I18" i="6" s="1"/>
  <c r="F17" i="6"/>
  <c r="G25" i="11"/>
  <c r="I27" i="11" l="1"/>
  <c r="C17" i="12" s="1"/>
  <c r="C14" i="12"/>
  <c r="I23" i="11"/>
  <c r="C11" i="12" s="1"/>
  <c r="E160" i="31" s="1"/>
  <c r="I25" i="11"/>
  <c r="C15" i="12" s="1"/>
  <c r="C16" i="12" s="1"/>
  <c r="I26" i="11"/>
  <c r="C10" i="12" s="1"/>
  <c r="I22" i="11"/>
  <c r="C9" i="12" s="1"/>
  <c r="L14" i="6"/>
  <c r="O14" i="6"/>
  <c r="L12" i="6"/>
  <c r="O12" i="6"/>
  <c r="L16" i="6"/>
  <c r="O16" i="6"/>
  <c r="O15" i="6"/>
  <c r="L15" i="6"/>
  <c r="O13" i="6"/>
  <c r="L13" i="6"/>
  <c r="I21" i="11"/>
  <c r="C8" i="12" s="1"/>
  <c r="G30" i="11"/>
  <c r="F22" i="12"/>
  <c r="E28" i="31" s="1"/>
  <c r="O10" i="6"/>
  <c r="I17" i="6"/>
  <c r="L10" i="6"/>
  <c r="L11" i="6"/>
  <c r="O11" i="6"/>
  <c r="C12" i="12" l="1"/>
  <c r="H23" i="11"/>
  <c r="V12" i="6"/>
  <c r="H24" i="11"/>
  <c r="V13" i="6"/>
  <c r="H25" i="11"/>
  <c r="V14" i="6"/>
  <c r="L17" i="6"/>
  <c r="G18" i="6" s="1"/>
  <c r="H21" i="11"/>
  <c r="V10" i="6"/>
  <c r="H22" i="11"/>
  <c r="V11" i="6"/>
  <c r="O17" i="6"/>
  <c r="H26" i="11"/>
  <c r="V15" i="6"/>
  <c r="H27" i="11"/>
  <c r="V16" i="6"/>
  <c r="J27" i="11" l="1"/>
  <c r="D17" i="12" s="1"/>
  <c r="E17" i="12" s="1"/>
  <c r="E290" i="31" s="1"/>
  <c r="J25" i="11"/>
  <c r="D15" i="12" s="1"/>
  <c r="D16" i="12" s="1"/>
  <c r="E16" i="12" s="1"/>
  <c r="J22" i="11"/>
  <c r="D9" i="12" s="1"/>
  <c r="E9" i="12" s="1"/>
  <c r="E129" i="31" s="1"/>
  <c r="J26" i="11"/>
  <c r="D10" i="12" s="1"/>
  <c r="E10" i="12" s="1"/>
  <c r="E261" i="31" s="1"/>
  <c r="V17" i="6"/>
  <c r="J24" i="11"/>
  <c r="D13" i="12" s="1"/>
  <c r="D14" i="12" s="1"/>
  <c r="E14" i="12" s="1"/>
  <c r="J23" i="11"/>
  <c r="D11" i="12" s="1"/>
  <c r="E11" i="12" s="1"/>
  <c r="J21" i="11"/>
  <c r="D8" i="12" s="1"/>
  <c r="E8" i="12" s="1"/>
  <c r="E27" i="31" s="1"/>
  <c r="H30" i="11"/>
  <c r="E15" i="12" l="1"/>
  <c r="E230" i="31" s="1"/>
  <c r="E13" i="12"/>
  <c r="E195" i="31"/>
  <c r="E161" i="31"/>
  <c r="D12" i="12"/>
  <c r="E12" i="12" s="1"/>
  <c r="E25" i="31" l="1"/>
  <c r="E235" i="31"/>
  <c r="E294" i="31"/>
  <c r="E166" i="31" l="1"/>
  <c r="E200" i="31"/>
  <c r="E132" i="31"/>
  <c r="E264" i="31" l="1"/>
</calcChain>
</file>

<file path=xl/comments1.xml><?xml version="1.0" encoding="utf-8"?>
<comments xmlns="http://schemas.openxmlformats.org/spreadsheetml/2006/main">
  <authors>
    <author>Belinda Dhaliwal</author>
  </authors>
  <commentList>
    <comment ref="O25" authorId="0">
      <text>
        <r>
          <rPr>
            <b/>
            <sz val="9"/>
            <color indexed="81"/>
            <rFont val="Tahoma"/>
            <family val="2"/>
          </rPr>
          <t>Belinda Dhaliwal:</t>
        </r>
        <r>
          <rPr>
            <sz val="9"/>
            <color indexed="81"/>
            <rFont val="Tahoma"/>
            <family val="2"/>
          </rPr>
          <t xml:space="preserve">
The GA variance created in 2010 was by all Large Users because they were all Class B at that time.  So the related credit should be given back to all Large Users, not just Square One.</t>
        </r>
      </text>
    </comment>
  </commentList>
</comments>
</file>

<file path=xl/comments2.xml><?xml version="1.0" encoding="utf-8"?>
<comments xmlns="http://schemas.openxmlformats.org/spreadsheetml/2006/main">
  <authors>
    <author>Belinda Dhaliwal</author>
  </authors>
  <commentList>
    <comment ref="E15" authorId="0">
      <text>
        <r>
          <rPr>
            <b/>
            <sz val="9"/>
            <color indexed="81"/>
            <rFont val="Tahoma"/>
            <family val="2"/>
          </rPr>
          <t>Belinda Dhaliwal:</t>
        </r>
        <r>
          <rPr>
            <sz val="9"/>
            <color indexed="81"/>
            <rFont val="Tahoma"/>
            <family val="2"/>
          </rPr>
          <t xml:space="preserve">
Per 2014 Annual RRR Filing</t>
        </r>
      </text>
    </comment>
    <comment ref="E18" authorId="0">
      <text>
        <r>
          <rPr>
            <b/>
            <sz val="9"/>
            <color indexed="81"/>
            <rFont val="Tahoma"/>
            <family val="2"/>
          </rPr>
          <t>Belinda Dhaliwal:</t>
        </r>
        <r>
          <rPr>
            <sz val="9"/>
            <color indexed="81"/>
            <rFont val="Tahoma"/>
            <family val="2"/>
          </rPr>
          <t xml:space="preserve">
Square One Only</t>
        </r>
      </text>
    </comment>
    <comment ref="E23" authorId="0">
      <text>
        <r>
          <rPr>
            <b/>
            <sz val="9"/>
            <color indexed="81"/>
            <rFont val="Tahoma"/>
            <family val="2"/>
          </rPr>
          <t>Belinda Dhaliwal:</t>
        </r>
        <r>
          <rPr>
            <sz val="9"/>
            <color indexed="81"/>
            <rFont val="Tahoma"/>
            <family val="2"/>
          </rPr>
          <t xml:space="preserve">
Per 2014 Annual RRR Filing</t>
        </r>
      </text>
    </comment>
    <comment ref="E38" authorId="0">
      <text>
        <r>
          <rPr>
            <b/>
            <sz val="9"/>
            <color indexed="81"/>
            <rFont val="Tahoma"/>
            <family val="2"/>
          </rPr>
          <t>Belinda Dhaliwal:</t>
        </r>
        <r>
          <rPr>
            <sz val="9"/>
            <color indexed="81"/>
            <rFont val="Tahoma"/>
            <family val="2"/>
          </rPr>
          <t xml:space="preserve">
Square One Only</t>
        </r>
      </text>
    </comment>
  </commentList>
</comments>
</file>

<file path=xl/sharedStrings.xml><?xml version="1.0" encoding="utf-8"?>
<sst xmlns="http://schemas.openxmlformats.org/spreadsheetml/2006/main" count="1309" uniqueCount="516">
  <si>
    <t>Rate Class</t>
  </si>
  <si>
    <t>Residential</t>
  </si>
  <si>
    <t>Interest</t>
  </si>
  <si>
    <t>Total</t>
  </si>
  <si>
    <r>
      <t xml:space="preserve">1595 Recovery Share Proportion (2008) </t>
    </r>
    <r>
      <rPr>
        <b/>
        <vertAlign val="superscript"/>
        <sz val="10"/>
        <rFont val="Arial"/>
        <family val="2"/>
      </rPr>
      <t>1</t>
    </r>
  </si>
  <si>
    <r>
      <t xml:space="preserve">1595 Recovery Share Proportion (2009) </t>
    </r>
    <r>
      <rPr>
        <b/>
        <vertAlign val="superscript"/>
        <sz val="10"/>
        <rFont val="Arial"/>
        <family val="2"/>
      </rPr>
      <t>1</t>
    </r>
  </si>
  <si>
    <r>
      <t xml:space="preserve">1595 Recovery Share Proportion (2010) </t>
    </r>
    <r>
      <rPr>
        <b/>
        <vertAlign val="superscript"/>
        <sz val="10"/>
        <rFont val="Arial"/>
        <family val="2"/>
      </rPr>
      <t>1</t>
    </r>
  </si>
  <si>
    <r>
      <t xml:space="preserve">1595 Recovery Share Proportion (2011) </t>
    </r>
    <r>
      <rPr>
        <b/>
        <vertAlign val="superscript"/>
        <sz val="10"/>
        <rFont val="Arial"/>
        <family val="2"/>
      </rPr>
      <t>1</t>
    </r>
  </si>
  <si>
    <r>
      <t xml:space="preserve">1595 Recovery Share Proportion (2012) </t>
    </r>
    <r>
      <rPr>
        <b/>
        <vertAlign val="superscript"/>
        <sz val="10"/>
        <rFont val="Arial"/>
        <family val="2"/>
      </rPr>
      <t>1</t>
    </r>
  </si>
  <si>
    <r>
      <t xml:space="preserve">1568 LRAM Variance Account Class Allocation                           </t>
    </r>
    <r>
      <rPr>
        <b/>
        <sz val="10"/>
        <color rgb="FFFF0000"/>
        <rFont val="Arial"/>
        <family val="2"/>
      </rPr>
      <t>($ amounts)</t>
    </r>
  </si>
  <si>
    <r>
      <t>Number of Customers for Residential and GS&lt;50 classes</t>
    </r>
    <r>
      <rPr>
        <b/>
        <vertAlign val="superscript"/>
        <sz val="10"/>
        <rFont val="Arial"/>
        <family val="2"/>
      </rPr>
      <t>3</t>
    </r>
  </si>
  <si>
    <t>Unit</t>
  </si>
  <si>
    <t>RESIDENTIAL</t>
  </si>
  <si>
    <t>$/kWh</t>
  </si>
  <si>
    <t>GENERAL SERVICE LESS THAN 50 KW</t>
  </si>
  <si>
    <t>UNMETERED SCATTERED LOAD</t>
  </si>
  <si>
    <t>GENERAL SERVICE 50 TO 499 KW</t>
  </si>
  <si>
    <t>$/kW</t>
  </si>
  <si>
    <t>GENERAL SERVICE 500 TO 4,999 KW</t>
  </si>
  <si>
    <t>LARGE USE &gt; 5000 KW</t>
  </si>
  <si>
    <t>STREET LIGHTING</t>
  </si>
  <si>
    <t>STANDBY DISTRIBUTION SERVICE</t>
  </si>
  <si>
    <t>microFIT</t>
  </si>
  <si>
    <t>Threshold Test</t>
  </si>
  <si>
    <t>Total Claim (including Account 1568)</t>
  </si>
  <si>
    <t>Total Claim for Threshold Test (All Group 1 Accounts)</t>
  </si>
  <si>
    <r>
      <t xml:space="preserve">Threshold Test (Total claim per kWh) </t>
    </r>
    <r>
      <rPr>
        <b/>
        <vertAlign val="superscript"/>
        <sz val="11"/>
        <color rgb="FFFF0000"/>
        <rFont val="Calibri"/>
        <family val="2"/>
        <scheme val="minor"/>
      </rPr>
      <t>2</t>
    </r>
  </si>
  <si>
    <t>YES</t>
  </si>
  <si>
    <t>Global Adjustment Rate Rider</t>
  </si>
  <si>
    <t>Enersource Hydro Mississauga Inc.</t>
  </si>
  <si>
    <t>Allocation of Deferral/Variance Accounts</t>
  </si>
  <si>
    <t>TABLE 1 - Allocation of Deferral/Variance Excluding GA</t>
  </si>
  <si>
    <t>1550</t>
  </si>
  <si>
    <t>1580</t>
  </si>
  <si>
    <t>1584</t>
  </si>
  <si>
    <t>1586</t>
  </si>
  <si>
    <t>1588</t>
  </si>
  <si>
    <t>LARGE USE</t>
  </si>
  <si>
    <t>1595 (Excl. GA) Recovery Share Proportion (2010)</t>
  </si>
  <si>
    <t>1595 (GA) Recovery Share Proportion (2010)</t>
  </si>
  <si>
    <t>1595 (GA) Recovery Share Proportion (2011)</t>
  </si>
  <si>
    <t>Incentive Regulation Model for 2016 Filers</t>
  </si>
  <si>
    <t>1595 (GA) Recovery Share Proportion (2012)</t>
  </si>
  <si>
    <t>1595 (Excl. GA) Recovery Share Proportion (2011)</t>
  </si>
  <si>
    <t>1595 (Excl. GA) Recovery Share Proportion (2012)</t>
  </si>
  <si>
    <t>TABLE 2 - Allocation of Account 1595 (2010)</t>
  </si>
  <si>
    <t>TABLE 2 - Allocation of Account 1595 (2011)</t>
  </si>
  <si>
    <t>TABLE 2 - Allocation of Account 1595 (2012)</t>
  </si>
  <si>
    <r>
      <rPr>
        <b/>
        <sz val="11"/>
        <color theme="1"/>
        <rFont val="Arial"/>
        <family val="2"/>
      </rPr>
      <t>Input required at cell C15 only.</t>
    </r>
    <r>
      <rPr>
        <sz val="11"/>
        <color theme="1"/>
        <rFont val="Arial"/>
        <family val="2"/>
      </rPr>
      <t xml:space="preserve">  This workshseet calculates rate riders related to the Deferral/Variance Account Disposition (if applicable), associated rate riders for the global adjustment account (1589) and Account 1568.  Rate Riders will not be generated for the microFIT class.</t>
    </r>
  </si>
  <si>
    <t>Deferral/Variance Account Rate Rider</t>
  </si>
  <si>
    <t>Billed kWh or Estimated kW for Non-RPP Customers</t>
  </si>
  <si>
    <t>Summary of Deferral/Variance Rate Riders</t>
  </si>
  <si>
    <t>TABLE 1 - Summary of Deferral/Variance Rate Riders Excluding GA (Applicable to All Customers)</t>
  </si>
  <si>
    <t>TABLE 2 - Summary of GA Deferral/Variance Rate Riders (Applicable to Non-RPP Customers)</t>
  </si>
  <si>
    <t>Global Adjustment
(Non-RPP only)</t>
  </si>
  <si>
    <t>GENERAL SERVICE 50 TO 499 KW (N0N-INTERVAL)</t>
  </si>
  <si>
    <t>GENERAL SERVICE 50 TO 499 KW (INTERVAL)</t>
  </si>
  <si>
    <t>GENERAL SERVICE 500 TO 4,999 KW (NON-INTERVAL)</t>
  </si>
  <si>
    <t>GENERAL SERVICE 500 TO 4,999 KW (INTERVAL)</t>
  </si>
  <si>
    <t>LARGE USE (CLASS B)</t>
  </si>
  <si>
    <t>EB-2015-0065</t>
  </si>
  <si>
    <t>Allocation of Balance in Account 1595 GA</t>
  </si>
  <si>
    <t>1595 GA Portion</t>
  </si>
  <si>
    <t>Re-based Billed kWh</t>
  </si>
  <si>
    <t>Re-based Billed Customers or Connections</t>
  </si>
  <si>
    <t>Re-based Billed kW</t>
  </si>
  <si>
    <t>Service Charge Revenue</t>
  </si>
  <si>
    <t>Distribution Volumetric Rate Revenue 
kWh</t>
  </si>
  <si>
    <t>Distribution Volumetric Rate Revenue 
kW</t>
  </si>
  <si>
    <t>Revenue Requirement from Rates</t>
  </si>
  <si>
    <t>Total % Revenue</t>
  </si>
  <si>
    <t>A</t>
  </si>
  <si>
    <t>B</t>
  </si>
  <si>
    <t>C</t>
  </si>
  <si>
    <t>D</t>
  </si>
  <si>
    <t>E</t>
  </si>
  <si>
    <t>F</t>
  </si>
  <si>
    <t>G = A * D *12</t>
  </si>
  <si>
    <t>H = B * E</t>
  </si>
  <si>
    <t>I = C * F</t>
  </si>
  <si>
    <t>J = G + H + I</t>
  </si>
  <si>
    <t>K = G / J</t>
  </si>
  <si>
    <t>L = H / J</t>
  </si>
  <si>
    <t>M = I / J</t>
  </si>
  <si>
    <t>N = J / R</t>
  </si>
  <si>
    <t>Allocation of Tax Savings by Rate Class</t>
  </si>
  <si>
    <t>Retail Transmission Rate - Network Service Rate</t>
  </si>
  <si>
    <t>Retail Transmission Rate - Line and Transformation Connection Service Rate</t>
  </si>
  <si>
    <t>kW</t>
  </si>
  <si>
    <t>$</t>
  </si>
  <si>
    <t>NO</t>
  </si>
  <si>
    <t>Price Escalator</t>
  </si>
  <si>
    <t>Choose Stretch Factor Group</t>
  </si>
  <si>
    <t>II</t>
  </si>
  <si>
    <t>Productivity Factor</t>
  </si>
  <si>
    <t>Associated Stretch Factor Value</t>
  </si>
  <si>
    <t>Price Cap Index</t>
  </si>
  <si>
    <t>Current MFC</t>
  </si>
  <si>
    <t>MFC Adjustment from R/C Model</t>
  </si>
  <si>
    <t>Current  Volumetric Charge</t>
  </si>
  <si>
    <t>DVR Adjustment from R/C Model</t>
  </si>
  <si>
    <t>Price Cap Index to be Applied to MFC and DVR</t>
  </si>
  <si>
    <t>Proposed MFC</t>
  </si>
  <si>
    <t>Proposed Volumetric Charge</t>
  </si>
  <si>
    <t>ALLOWANCES</t>
  </si>
  <si>
    <t>Transformer Allowance for Ownership - per kW of billing demand/month</t>
  </si>
  <si>
    <t>%</t>
  </si>
  <si>
    <t>SPECIFIC SERVICE CHARGES</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</si>
  <si>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</si>
  <si>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</si>
  <si>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</si>
  <si>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</si>
  <si>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Arrears certificate</t>
  </si>
  <si>
    <t>Request for other billing information</t>
  </si>
  <si>
    <t>Credit Reference/credit check (plus credit agency costs)</t>
  </si>
  <si>
    <t>Income Tax Letter</t>
  </si>
  <si>
    <t>Returned cheque (plus bank charges)</t>
  </si>
  <si>
    <t>Account set up charge/change of occupancy charge (plus credit agency costs if applicable)</t>
  </si>
  <si>
    <t>Meter dispute charge plus Measurement Canada fees (if meter found correct)</t>
  </si>
  <si>
    <t>Special meter reads</t>
  </si>
  <si>
    <t>Interval meter request change</t>
  </si>
  <si>
    <t>Non-Payment of Account</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</si>
  <si>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</si>
  <si>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</si>
  <si>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</si>
  <si>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</si>
  <si>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</si>
  <si>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</si>
  <si>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</si>
  <si>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</si>
  <si>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</si>
  <si>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</si>
  <si>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</si>
  <si>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</si>
  <si>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</si>
  <si>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</si>
  <si>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</si>
  <si>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</si>
  <si>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</si>
  <si>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</si>
  <si>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RESIDENTIAL SERVICE CLASSIFICATION</t>
  </si>
  <si>
    <t>GENERAL SERVICE LESS THAN 50 KW SERVICE CLASSIFICATION</t>
  </si>
  <si>
    <t>UNMETERED SCATTERED LOAD SERVICE CLASSIFICATION</t>
  </si>
  <si>
    <t>GENERAL SERVICE 50 TO 499 KW SERVICE CLASSIFICATION</t>
  </si>
  <si>
    <t>GENERAL SERVICE 500 TO 4,999 KW SERVICE CLASSIFICATION</t>
  </si>
  <si>
    <t>STREET LIGHTING SERVICE CLASSIFICATION</t>
  </si>
  <si>
    <t>microFIT SERVICE CLASSIFICATION</t>
  </si>
  <si>
    <t>Wholesale Market Service Rate</t>
  </si>
  <si>
    <t>Rural or Remote Electricity Rate Protection Charge (RRRP)</t>
  </si>
  <si>
    <t>Standard Supply Service - Administrative Charge (if applicable)</t>
  </si>
  <si>
    <t>TARIFF OF RATES AND CHARGES</t>
  </si>
  <si>
    <t>This schedule supersedes and replaces all previously</t>
  </si>
  <si>
    <t>approved schedules of Rates, Charges and Loss Factors</t>
  </si>
  <si>
    <t>This classification refers to all residential services including, without limitation, single family or single unit dwellings, multi-family dwellings, row-type dwellings and subdivision developments. Energy is supplied in single phase, 3-wire, or three phase, 4-wire, having a nominal voltage of 120/240 Volts. There shall be only one delivery point to a dwelling.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</si>
  <si>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</si>
  <si>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MONTHLY RATES AND CHARGES - Delivery Component</t>
  </si>
  <si>
    <t>Service Charge</t>
  </si>
  <si>
    <t>Rate Rider for Smart Metering Entity Charge - effective until October 31, 2018</t>
  </si>
  <si>
    <t>Distribution Volumetric Rate</t>
  </si>
  <si>
    <t>Low Voltage Service Rate</t>
  </si>
  <si>
    <t>MONTHLY RATES AND CHARGES - Regulatory Component</t>
  </si>
  <si>
    <t>This classification refers to a non-residential account whose monthly average peak demand is less than, or is forecast to be less than, 50 kW. Further servicing details are available in the distributor’s Conditions of Service.</t>
  </si>
  <si>
    <t>Service Charge (per connection)</t>
  </si>
  <si>
    <t>This classification refers to a non-residential account whose monthly average peak demand is equal to or greater than, or is forecast to be equal to or greater than, 50 kW but less than 500 kW. Further servicing details are available in the distributor’s Conditions of Service.</t>
  </si>
  <si>
    <t>This classification refers to a non-residential account whose monthly average peak demand is equal to or greater than, or is forecast to be equal to or greater than, 500 kW but less than 5,000 kW. Further servicing details are available in the distributor’s Conditions of Service.</t>
  </si>
  <si>
    <t>This classification refers to an account whose monthly average peak demand is equal to or greater than, or is forecast to be equal to or greater than, 5,000 kW. Further servicing details are available in the distributor’s Conditions of Service.</t>
  </si>
  <si>
    <t>This classification refers to an account for roadway lighting. Street Lighting is unmetered where energy consumption is estimated based on the connected wattage and calculated hours of use using methods established by the Ontario Energy Board. Further servicing details are available in the distributor’s Conditions of Service.</t>
  </si>
  <si>
    <t>Service Charge (per light)</t>
  </si>
  <si>
    <t>This classification refers to an account that requires Enersource Hydro Mississauga to provide distribution service on a standby basis as a back-up supply to an on-site generator. Further servicing details are available in the distributor’s Conditions of Service.</t>
  </si>
  <si>
    <t>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t>
  </si>
  <si>
    <t>MICROFIT SERVICE CLASSIFICATION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</si>
  <si>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</si>
  <si>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1589 GA (2013)</t>
  </si>
  <si>
    <t>1589 GA (2014)</t>
  </si>
  <si>
    <t>TOTAL GA</t>
  </si>
  <si>
    <r>
      <t xml:space="preserve">Billed </t>
    </r>
    <r>
      <rPr>
        <b/>
        <sz val="11"/>
        <color rgb="FFFF0000"/>
        <rFont val="Arial"/>
        <family val="2"/>
      </rPr>
      <t>kWh</t>
    </r>
    <r>
      <rPr>
        <b/>
        <sz val="10"/>
        <rFont val="Arial"/>
        <family val="2"/>
      </rPr>
      <t xml:space="preserve"> for Wholesale Market Participants (WMP)</t>
    </r>
  </si>
  <si>
    <r>
      <t xml:space="preserve">Billed </t>
    </r>
    <r>
      <rPr>
        <b/>
        <sz val="11"/>
        <color rgb="FFFF0000"/>
        <rFont val="Arial"/>
        <family val="2"/>
      </rPr>
      <t>kW</t>
    </r>
    <r>
      <rPr>
        <b/>
        <sz val="10"/>
        <rFont val="Arial"/>
        <family val="2"/>
      </rPr>
      <t xml:space="preserve"> for Wholesale Market Participants (WMP)</t>
    </r>
  </si>
  <si>
    <r>
      <t xml:space="preserve">Total Metered </t>
    </r>
    <r>
      <rPr>
        <b/>
        <sz val="10"/>
        <color rgb="FFFF0000"/>
        <rFont val="Arial"/>
        <family val="2"/>
      </rPr>
      <t xml:space="preserve">kWh </t>
    </r>
    <r>
      <rPr>
        <b/>
        <sz val="10"/>
        <rFont val="Arial"/>
        <family val="2"/>
      </rPr>
      <t xml:space="preserve">less WMP consumption
</t>
    </r>
    <r>
      <rPr>
        <b/>
        <i/>
        <sz val="10"/>
        <rFont val="Arial"/>
        <family val="2"/>
      </rPr>
      <t>(if applicable)</t>
    </r>
  </si>
  <si>
    <r>
      <t xml:space="preserve">Total Metered </t>
    </r>
    <r>
      <rPr>
        <b/>
        <sz val="10"/>
        <color rgb="FFFF0000"/>
        <rFont val="Arial"/>
        <family val="2"/>
      </rPr>
      <t xml:space="preserve">kW </t>
    </r>
    <r>
      <rPr>
        <b/>
        <sz val="10"/>
        <rFont val="Arial"/>
        <family val="2"/>
      </rPr>
      <t xml:space="preserve">less WMP consumption 
</t>
    </r>
    <r>
      <rPr>
        <b/>
        <i/>
        <sz val="10"/>
        <rFont val="Arial"/>
        <family val="2"/>
      </rPr>
      <t>(if applicable)</t>
    </r>
  </si>
  <si>
    <r>
      <t xml:space="preserve">1595 Recovery Share Proportion (2013) </t>
    </r>
    <r>
      <rPr>
        <b/>
        <vertAlign val="superscript"/>
        <sz val="10"/>
        <rFont val="Arial"/>
        <family val="2"/>
      </rPr>
      <t>1</t>
    </r>
  </si>
  <si>
    <r>
      <t xml:space="preserve">1595 Recovery Share Proportion (2014) </t>
    </r>
    <r>
      <rPr>
        <b/>
        <vertAlign val="superscript"/>
        <sz val="10"/>
        <rFont val="Arial"/>
        <family val="2"/>
      </rPr>
      <t>1</t>
    </r>
  </si>
  <si>
    <r>
      <t xml:space="preserve">Billed </t>
    </r>
    <r>
      <rPr>
        <b/>
        <sz val="10"/>
        <color rgb="FFFF0000"/>
        <rFont val="Arial"/>
        <family val="2"/>
      </rPr>
      <t>kWh</t>
    </r>
    <r>
      <rPr>
        <b/>
        <sz val="10"/>
        <rFont val="Arial"/>
        <family val="2"/>
      </rPr>
      <t xml:space="preserve"> for Class A, Non-WMP Customers 
(if applicable)</t>
    </r>
  </si>
  <si>
    <r>
      <t xml:space="preserve">Billed </t>
    </r>
    <r>
      <rPr>
        <b/>
        <sz val="10"/>
        <color rgb="FFFF0000"/>
        <rFont val="Arial"/>
        <family val="2"/>
      </rPr>
      <t>kW</t>
    </r>
    <r>
      <rPr>
        <b/>
        <sz val="10"/>
        <rFont val="Arial"/>
        <family val="2"/>
      </rPr>
      <t xml:space="preserve"> for 
Class A, Non-WMP Customers 
(if applicable)</t>
    </r>
  </si>
  <si>
    <r>
      <t xml:space="preserve">Billed </t>
    </r>
    <r>
      <rPr>
        <b/>
        <sz val="10"/>
        <color rgb="FFFF0000"/>
        <rFont val="Arial"/>
        <family val="2"/>
      </rPr>
      <t>kWh</t>
    </r>
    <r>
      <rPr>
        <b/>
        <sz val="10"/>
        <rFont val="Arial"/>
        <family val="2"/>
      </rPr>
      <t xml:space="preserve"> for Non-RPP Customers LESS Class A Consumption</t>
    </r>
  </si>
  <si>
    <r>
      <t xml:space="preserve">Billed </t>
    </r>
    <r>
      <rPr>
        <b/>
        <sz val="10"/>
        <color rgb="FFFF0000"/>
        <rFont val="Arial"/>
        <family val="2"/>
      </rPr>
      <t>kW</t>
    </r>
    <r>
      <rPr>
        <b/>
        <sz val="10"/>
        <rFont val="Arial"/>
        <family val="2"/>
      </rPr>
      <t xml:space="preserve"> for Non-RPP Customers LESS Class A Demand</t>
    </r>
  </si>
  <si>
    <t>Enersource Hydro Mississauga Inc</t>
  </si>
  <si>
    <t>EB - 2015-0065</t>
  </si>
  <si>
    <t>Appendix 1</t>
  </si>
  <si>
    <t>Global Adjustment  - Variance Account  1589</t>
  </si>
  <si>
    <t>Breakdown between Interval and Non-Interval Customers</t>
  </si>
  <si>
    <t>Table 1 - Variance Allocation Between Interval &amp; Non-Interval</t>
  </si>
  <si>
    <t>Meter Type</t>
  </si>
  <si>
    <t>Global Adjustment Billing Methodology</t>
  </si>
  <si>
    <t>Revenue</t>
  </si>
  <si>
    <t>Cost</t>
  </si>
  <si>
    <t>Subtotal</t>
  </si>
  <si>
    <t>Total Variance Claim</t>
  </si>
  <si>
    <t>Interval</t>
  </si>
  <si>
    <t>2013 - (2nd Estimate)</t>
  </si>
  <si>
    <t>Non-Interval</t>
  </si>
  <si>
    <t>2013 - (1st Estimate)</t>
  </si>
  <si>
    <t>Interval &amp; Non Interval</t>
  </si>
  <si>
    <t>2014 - (1st Estimate)</t>
  </si>
  <si>
    <t>Table 2 - Allocation of 2013 Variance to Interval Customers</t>
  </si>
  <si>
    <t>Allocation (%)</t>
  </si>
  <si>
    <t>$ Allocation</t>
  </si>
  <si>
    <t>Actual 2014 kW for Non-RPP Customers</t>
  </si>
  <si>
    <t>$/Unit</t>
  </si>
  <si>
    <t>General Service 50 to 499 KW</t>
  </si>
  <si>
    <t>General Service 500 to 4999 KW</t>
  </si>
  <si>
    <t>Large Use</t>
  </si>
  <si>
    <t>Streetlight</t>
  </si>
  <si>
    <t>Table 3 - Allocation of 2013 Variance to Non Interval Customers</t>
  </si>
  <si>
    <t>Actual 2014 Billed kWh or kW for Non-RPP Customers</t>
  </si>
  <si>
    <t>General Service Less Than 50 KW</t>
  </si>
  <si>
    <t>Unmetered Scattered Load</t>
  </si>
  <si>
    <t>Table 4 - Allocation of 2014 Variance to Interval &amp; Non Interval Customers</t>
  </si>
  <si>
    <t>2014 GA Billed kWh for Non-RPP Customers</t>
  </si>
  <si>
    <t>If applicable, please enter any adjustments related to the revenue to cost ratio model into columns C and E.  The Price Escalator and Stretch Factor have been set at the 2015 values and will be updated by Board staff at a later date.</t>
  </si>
  <si>
    <t xml:space="preserve"># of Residential Customers </t>
  </si>
  <si>
    <t xml:space="preserve">Billed kWh </t>
  </si>
  <si>
    <t>Rate Design Transition Years Left</t>
  </si>
  <si>
    <t>LARGE USE SERVICE CLASSIFICATION</t>
  </si>
  <si>
    <t>Rate Design Transition</t>
  </si>
  <si>
    <t>Revenue from Rates</t>
  </si>
  <si>
    <t>Current F/V Split</t>
  </si>
  <si>
    <t>Decoupling MFC Split</t>
  </si>
  <si>
    <t>Incremental Fixed Charge ($/month/year)</t>
  </si>
  <si>
    <t>New F/V Split</t>
  </si>
  <si>
    <r>
      <t>Adjusted Rates</t>
    </r>
    <r>
      <rPr>
        <b/>
        <vertAlign val="superscript"/>
        <sz val="10"/>
        <color theme="1"/>
        <rFont val="Arial"/>
        <family val="2"/>
      </rPr>
      <t>1</t>
    </r>
  </si>
  <si>
    <t xml:space="preserve">Revenue at New F/V Split </t>
  </si>
  <si>
    <t>Current Residential Fixed Rate (inclusive of R/C adj.)</t>
  </si>
  <si>
    <t>Current Residential Variable Rate (inclusive of R/C adj.)</t>
  </si>
  <si>
    <r>
      <t>1</t>
    </r>
    <r>
      <rPr>
        <sz val="11"/>
        <color theme="1"/>
        <rFont val="Calibri"/>
        <family val="2"/>
        <scheme val="minor"/>
      </rPr>
      <t xml:space="preserve"> These are the residential rates to which the Price Cap Index will be applied to.</t>
    </r>
  </si>
  <si>
    <t>STANDBY POWER SERVICE CLASSIFICATION</t>
  </si>
  <si>
    <t>X</t>
  </si>
  <si>
    <t>Enersource Hydro Mississauga Inc._Start</t>
  </si>
  <si>
    <t>EB-2014-0068</t>
  </si>
  <si>
    <t>1_RESIDENTIAL SERVICE CLASSIFICATION</t>
  </si>
  <si>
    <t>1_APPLICATION</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</si>
  <si>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
</t>
  </si>
  <si>
    <t>1_MRC_Del</t>
  </si>
  <si>
    <t>1_RESIDENTIAL SERVICE CLASSIFICATION_MSC</t>
  </si>
  <si>
    <t>1_RESIDENTIAL SERVICE CLASSIFICATION_SME</t>
  </si>
  <si>
    <t>1_RESIDENTIAL SERVICE CLASSIFICATION_DVC</t>
  </si>
  <si>
    <t>1_RESIDENTIAL SERVICE CLASSIFICATION_DEFVAR_ALL</t>
  </si>
  <si>
    <t>1_RESIDENTIAL SERVICE CLASSIFICATION_DVA_RR_2016</t>
  </si>
  <si>
    <t>1_RESIDENTIAL SERVICE CLASSIFICATION_LV</t>
  </si>
  <si>
    <t>1_RESIDENTIAL SERVICE CLASSIFICATION_LRAM</t>
  </si>
  <si>
    <t>1_RESIDENTIAL SERVICE CLASSIFICATION_DVA_RR_2016_1568</t>
  </si>
  <si>
    <t>1_RESIDENTIAL SERVICE CLASSIFICATION_Retail Transmission Rate - Network Service Rate</t>
  </si>
  <si>
    <t>RESIDENTIAL SERVICE CLASSIFICATION_Retail Transmission Rate - Network Service Rate</t>
  </si>
  <si>
    <t>1_RESIDENTIAL SERVICE CLASSIFICATION_Retail Transmission Rate - Line and Transformation Connection Service Rate</t>
  </si>
  <si>
    <t>RESIDENTIAL SERVICE CLASSIFICATION_Retail Transmission Rate - Line and Transformation Connection Service Rate</t>
  </si>
  <si>
    <t>1_MRC_Reg</t>
  </si>
  <si>
    <t>1_RESIDENTIAL SERVICE CLASSIFICATION_WMSR</t>
  </si>
  <si>
    <t>1_RESIDENTIAL SERVICE CLASSIFICATION_RRRP</t>
  </si>
  <si>
    <t>1_RESIDENTIAL SERVICE CLASSIFICATION_SSS</t>
  </si>
  <si>
    <t>2_GENERAL SERVICE LESS THAN 50 KW SERVICE CLASSIFICATION</t>
  </si>
  <si>
    <t>2_APPLICATION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</si>
  <si>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</si>
  <si>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2_MRC_Del</t>
  </si>
  <si>
    <t>2_GENERAL SERVICE LESS THAN 50 KW SERVICE CLASSIFICATION_MSC</t>
  </si>
  <si>
    <t>2_GENERAL SERVICE LESS THAN 50 KW SERVICE CLASSIFICATION_SME</t>
  </si>
  <si>
    <t>2_GENERAL SERVICE LESS THAN 50 KW SERVICE CLASSIFICATION_DVC</t>
  </si>
  <si>
    <t>2_GENERAL SERVICE LESS THAN 50 KW SERVICE CLASSIFICATION_DEFVAR_ALL</t>
  </si>
  <si>
    <t>2_GENERAL SERVICE LESS THAN 50 KW SERVICE CLASSIFICATION_DVA_RR_2016</t>
  </si>
  <si>
    <t>2_GENERAL SERVICE LESS THAN 50 KW SERVICE CLASSIFICATION_GA_kwh</t>
  </si>
  <si>
    <t>2_GENERAL SERVICE LESS THAN 50 KW SERVICE CLASSIFICATION_DVA_RR_2016_1589</t>
  </si>
  <si>
    <t>2_GENERAL SERVICE LESS THAN 50 KW SERVICE CLASSIFICATION_LV</t>
  </si>
  <si>
    <t>2_GENERAL SERVICE LESS THAN 50 KW SERVICE CLASSIFICATION_Retail Transmission Rate - Network Service Rate</t>
  </si>
  <si>
    <t>GENERAL SERVICE LESS THAN 50 KW SERVICE CLASSIFICATION_Retail Transmission Rate - Network Service Rate</t>
  </si>
  <si>
    <t>2_GENERAL SERVICE LESS THAN 50 KW SERVICE CLASSIFICATION_Retail Transmission Rate - Line and Transformation Connection Service Rate</t>
  </si>
  <si>
    <t>GENERAL SERVICE LESS THAN 50 KW SERVICE CLASSIFICATION_Retail Transmission Rate - Line and Transformation Connection Service Rate</t>
  </si>
  <si>
    <t>2_MRC_Reg</t>
  </si>
  <si>
    <t>2_GENERAL SERVICE LESS THAN 50 KW SERVICE CLASSIFICATION_WMSR</t>
  </si>
  <si>
    <t>2_GENERAL SERVICE LESS THAN 50 KW SERVICE CLASSIFICATION_RRRP</t>
  </si>
  <si>
    <t>2_GENERAL SERVICE LESS THAN 50 KW SERVICE CLASSIFICATION_SSS</t>
  </si>
  <si>
    <t>3_GENERAL SERVICE 50 TO 499 KW SERVICE CLASSIFICATION</t>
  </si>
  <si>
    <t>3_APPLICATION</t>
  </si>
  <si>
    <t>Billing demands are established at the greater of 100% of the kW, or 90% of the kVa amounts.</t>
  </si>
  <si>
    <t>3_MRC_Del</t>
  </si>
  <si>
    <t>3_GENERAL SERVICE 50 TO 499 KW SERVICE CLASSIFICATION_MSC</t>
  </si>
  <si>
    <t>3_GENERAL SERVICE 50 TO 499 KW SERVICE CLASSIFICATION_DVC</t>
  </si>
  <si>
    <t>3_GENERAL SERVICE 50 TO 499 KW SERVICE CLASSIFICATION_DEFVAR_ALL</t>
  </si>
  <si>
    <t>3_GENERAL SERVICE 50 TO 499 KW SERVICE CLASSIFICATION_DVA_RR_2016</t>
  </si>
  <si>
    <t>3_GENERAL SERVICE 50 TO 499 KW SERVICE CLASSIFICATION_GA_kw</t>
  </si>
  <si>
    <t>3_GENERAL SERVICE 50 TO 499 KW SERVICE CLASSIFICATION_DVA_RR_2016_1589</t>
  </si>
  <si>
    <t>3_GENERAL SERVICE 50 TO 499 KW SERVICE CLASSIFICATION_LV</t>
  </si>
  <si>
    <t>3_GENERAL SERVICE 50 TO 499 KW SERVICE CLASSIFICATION_Retail Transmission Rate - Network Service Rate</t>
  </si>
  <si>
    <t>GENERAL SERVICE 50 TO 499 KW SERVICE CLASSIFICATION_Retail Transmission Rate - Network Service Rate</t>
  </si>
  <si>
    <t>3_GENERAL SERVICE 50 TO 499 KW SERVICE CLASSIFICATION_Retail Transmission Rate - Line and Transformation Connection Service Rate</t>
  </si>
  <si>
    <t>GENERAL SERVICE 50 TO 499 KW SERVICE CLASSIFICATION_Retail Transmission Rate - Line and Transformation Connection Service Rate</t>
  </si>
  <si>
    <t>3_MRC_Reg</t>
  </si>
  <si>
    <t>3_GENERAL SERVICE 50 TO 499 KW SERVICE CLASSIFICATION_WMSR</t>
  </si>
  <si>
    <t>3_GENERAL SERVICE 50 TO 499 KW SERVICE CLASSIFICATION_RRRP</t>
  </si>
  <si>
    <t>3_GENERAL SERVICE 50 TO 499 KW SERVICE CLASSIFICATION_SSS</t>
  </si>
  <si>
    <t>4_GENERAL SERVICE 500 TO 4,999 KW SERVICE CLASSIFICATION</t>
  </si>
  <si>
    <t>4_APPLICATION</t>
  </si>
  <si>
    <t>4_MRC_Del</t>
  </si>
  <si>
    <t>4_GENERAL SERVICE 500 TO 4,999 KW SERVICE CLASSIFICATION_MSC</t>
  </si>
  <si>
    <t>4_GENERAL SERVICE 500 TO 4,999 KW SERVICE CLASSIFICATION_DVC</t>
  </si>
  <si>
    <t>4_GENERAL SERVICE 500 TO 4,999 KW SERVICE CLASSIFICATION_DEFVAR_ALL</t>
  </si>
  <si>
    <t>4_GENERAL SERVICE 500 TO 4,999 KW SERVICE CLASSIFICATION_DVA_RR_2016</t>
  </si>
  <si>
    <t>4_GENERAL SERVICE 500 TO 4,999 KW SERVICE CLASSIFICATION_GA_kw</t>
  </si>
  <si>
    <t>4_GENERAL SERVICE 500 TO 4,999 KW SERVICE CLASSIFICATION_DVA_RR_2016_1589</t>
  </si>
  <si>
    <t>4_GENERAL SERVICE 500 TO 4,999 KW SERVICE CLASSIFICATION_LV</t>
  </si>
  <si>
    <t>4_GENERAL SERVICE 500 TO 4,999 KW SERVICE CLASSIFICATION_Retail Transmission Rate - Network Service Rate - Interval Metered</t>
  </si>
  <si>
    <t>GENERAL SERVICE 500 TO 4,999 KW SERVICE CLASSIFICATION_Retail Transmission Rate - Network Service Rate - Interval Metered</t>
  </si>
  <si>
    <t>4_GENERAL SERVICE 500 TO 4,999 KW SERVICE CLASSIFICATION_Retail Transmission Rate - Line and Transformation Connection Service Rate - Interval Metered</t>
  </si>
  <si>
    <t>GENERAL SERVICE 500 TO 4,999 KW SERVICE CLASSIFICATION_Retail Transmission Rate - Line and Transformation Connection Service Rate - Interval Metered</t>
  </si>
  <si>
    <t>4_MRC_Reg</t>
  </si>
  <si>
    <t>4_GENERAL SERVICE 500 TO 4,999 KW SERVICE CLASSIFICATION_WMSR</t>
  </si>
  <si>
    <t>4_GENERAL SERVICE 500 TO 4,999 KW SERVICE CLASSIFICATION_RRRP</t>
  </si>
  <si>
    <t>4_GENERAL SERVICE 500 TO 4,999 KW SERVICE CLASSIFICATION_SSS</t>
  </si>
  <si>
    <t>5_LARGE USE SERVICE CLASSIFICATION</t>
  </si>
  <si>
    <t>5_APPLICATION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</si>
  <si>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</si>
  <si>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5_MRC_Del</t>
  </si>
  <si>
    <t>5_LARGE USE SERVICE CLASSIFICATION_MSC</t>
  </si>
  <si>
    <t>5_LARGE USE SERVICE CLASSIFICATION_DVC</t>
  </si>
  <si>
    <t>5_LARGE USE SERVICE CLASSIFICATION_DEFVAR_ALL</t>
  </si>
  <si>
    <t>5_LARGE USE SERVICE CLASSIFICATION_DVA_RR_2016</t>
  </si>
  <si>
    <t>5_LARGE USE SERVICE CLASSIFICATION_GA_kw</t>
  </si>
  <si>
    <t>5_LARGE USE SERVICE CLASSIFICATION_DVA_RR_2016_1589</t>
  </si>
  <si>
    <t>5_LARGE USE SERVICE CLASSIFICATION_LV</t>
  </si>
  <si>
    <t>5_LARGE USE SERVICE CLASSIFICATION_Retail Transmission Rate - Network Service Rate - Interval Metered</t>
  </si>
  <si>
    <t>LARGE USE SERVICE CLASSIFICATION_Retail Transmission Rate - Network Service Rate - Interval Metered</t>
  </si>
  <si>
    <t>5_LARGE USE SERVICE CLASSIFICATION_Retail Transmission Rate - Line and Transformation Connection Service Rate - Interval Metered</t>
  </si>
  <si>
    <t>LARGE USE SERVICE CLASSIFICATION_Retail Transmission Rate - Line and Transformation Connection Service Rate - Interval Metered</t>
  </si>
  <si>
    <t>5_MRC_Reg</t>
  </si>
  <si>
    <t>5_LARGE USE SERVICE CLASSIFICATION_WMSR</t>
  </si>
  <si>
    <t>5_LARGE USE SERVICE CLASSIFICATION_RRRP</t>
  </si>
  <si>
    <t>5_LARGE USE SERVICE CLASSIFICATION_SSS</t>
  </si>
  <si>
    <t>6_UNMETERED SCATTERED LOAD SERVICE CLASSIFICATION</t>
  </si>
  <si>
    <t>This classification applies to an account taking electricity at 750 volts or less whose average monthly maximum demand is less than, or is forecast to be less than, 50 kW and the consumption is unmetered. The amount of electricity consumed by unmetered connections will be based on detailed information/documentation provided by the device’s manufacturer and will be agreed to by Enersource Hydro Mississauga Inc. and the customer and may be subject to periodic monitoring of actual consumption. Eligible unmetered loads include cable TV power packs, bus shelters, telephone booths, traffic lights, railway crossings. Further servicing details are available in the distributor’s Conditions of Service.</t>
  </si>
  <si>
    <t>6_APPLICATION</t>
  </si>
  <si>
    <t>6_MRC_Del</t>
  </si>
  <si>
    <t>6_UNMETERED SCATTERED LOAD SERVICE CLASSIFICATION_MSC</t>
  </si>
  <si>
    <t>6_UNMETERED SCATTERED LOAD SERVICE CLASSIFICATION_DVC</t>
  </si>
  <si>
    <t>6_UNMETERED SCATTERED LOAD SERVICE CLASSIFICATION_DEFVAR_ALL</t>
  </si>
  <si>
    <t>6_UNMETERED SCATTERED LOAD SERVICE CLASSIFICATION_DVA_RR_2016</t>
  </si>
  <si>
    <t>6_UNMETERED SCATTERED LOAD SERVICE CLASSIFICATION_GA_kwh</t>
  </si>
  <si>
    <t>6_UNMETERED SCATTERED LOAD SERVICE CLASSIFICATION_DVA_RR_2016_1589</t>
  </si>
  <si>
    <t>6_UNMETERED SCATTERED LOAD SERVICE CLASSIFICATION_LV</t>
  </si>
  <si>
    <t>6_UNMETERED SCATTERED LOAD SERVICE CLASSIFICATION_Retail Transmission Rate - Network Service Rate</t>
  </si>
  <si>
    <t>UNMETERED SCATTERED LOAD SERVICE CLASSIFICATION_Retail Transmission Rate - Network Service Rate</t>
  </si>
  <si>
    <t>6_UNMETERED SCATTERED LOAD SERVICE CLASSIFICATION_Retail Transmission Rate - Line and Transformation Connection Service Rate</t>
  </si>
  <si>
    <t>UNMETERED SCATTERED LOAD SERVICE CLASSIFICATION_Retail Transmission Rate - Line and Transformation Connection Service Rate</t>
  </si>
  <si>
    <t>6_MRC_Reg</t>
  </si>
  <si>
    <t>6_UNMETERED SCATTERED LOAD SERVICE CLASSIFICATION_WMSR</t>
  </si>
  <si>
    <t>6_UNMETERED SCATTERED LOAD SERVICE CLASSIFICATION_RRRP</t>
  </si>
  <si>
    <t>6_UNMETERED SCATTERED LOAD SERVICE CLASSIFICATION_SSS</t>
  </si>
  <si>
    <t>7_STREET LIGHTING SERVICE CLASSIFICATION</t>
  </si>
  <si>
    <t>7_APPLICATION</t>
  </si>
  <si>
    <t>7_MRC_Del</t>
  </si>
  <si>
    <t>7_STREET LIGHTING SERVICE CLASSIFICATION_MSC</t>
  </si>
  <si>
    <t>7_STREET LIGHTING SERVICE CLASSIFICATION_DVC</t>
  </si>
  <si>
    <t>$/Total</t>
  </si>
  <si>
    <t>7_STREET LIGHTING SERVICE CLASSIFICATION_DEFVAR_ALL</t>
  </si>
  <si>
    <t>7_STREET LIGHTING SERVICE CLASSIFICATION_DVA_RR_2016</t>
  </si>
  <si>
    <t>7_STREET LIGHTING SERVICE CLASSIFICATION_DVA_RR_2016_1589</t>
  </si>
  <si>
    <t>7_STREET LIGHTING SERVICE CLASSIFICATION_LV</t>
  </si>
  <si>
    <t>7_STREET LIGHTING SERVICE CLASSIFICATION_Retail Transmission Rate - Network Service Rate</t>
  </si>
  <si>
    <t>STREET LIGHTING SERVICE CLASSIFICATION_Retail Transmission Rate - Network Service Rate</t>
  </si>
  <si>
    <t>7_STREET LIGHTING SERVICE CLASSIFICATION_Retail Transmission Rate - Line and Transformation Connection Service Rate</t>
  </si>
  <si>
    <t>STREET LIGHTING SERVICE CLASSIFICATION_Retail Transmission Rate - Line and Transformation Connection Service Rate</t>
  </si>
  <si>
    <t>7_MRC_Reg</t>
  </si>
  <si>
    <t>7_STREET LIGHTING SERVICE CLASSIFICATION_WMSR</t>
  </si>
  <si>
    <t>7_STREET LIGHTING SERVICE CLASSIFICATION_RRRP</t>
  </si>
  <si>
    <t>7_STREET LIGHTING SERVICE CLASSIFICATION_SSS</t>
  </si>
  <si>
    <t>8_STANDBY POWER SERVICE CLASSIFICATION</t>
  </si>
  <si>
    <t>8_APPLICATION</t>
  </si>
  <si>
    <t>8_MRC_Del</t>
  </si>
  <si>
    <t>9_microFIT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</si>
  <si>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</si>
  <si>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9_APPLICATION</t>
  </si>
  <si>
    <t>9_MRC_Del</t>
  </si>
  <si>
    <t>9_microFIT SERVICE CLASSIFICATION_MSC</t>
  </si>
  <si>
    <t>Enersource Hydro Mississauga Inc._ALLOWANCES</t>
  </si>
  <si>
    <t>Primary Metering Allowance for transformer losses - applied to measured demand and energy</t>
  </si>
  <si>
    <t>Enersource Hydro Mississauga Inc._SSC</t>
  </si>
  <si>
    <t>Enersource Hydro Mississauga Inc._CA</t>
  </si>
  <si>
    <t>Credit reference/credit check (plus credit agency costs - General Service)</t>
  </si>
  <si>
    <t>Account set up charge/change of occupancy charge (plus credit agency costs if applicable - Residential)</t>
  </si>
  <si>
    <t>Enersource Hydro Mississauga Inc._NPoA</t>
  </si>
  <si>
    <t>Late Payment - per month</t>
  </si>
  <si>
    <t>Late Payment - per annum</t>
  </si>
  <si>
    <t>Collection of account charge - no disconnection</t>
  </si>
  <si>
    <t>Disconnect/Reconnect at meter - during regular hours</t>
  </si>
  <si>
    <t>Disconnect/Reconnect at pole - during regular hours</t>
  </si>
  <si>
    <t>Disconnect/Reconnect at pole - after regular hours</t>
  </si>
  <si>
    <t>Other</t>
  </si>
  <si>
    <t xml:space="preserve">       Temporary service install &amp; remove - overhead - no transformer</t>
  </si>
  <si>
    <t xml:space="preserve">       Specific Charge for Access to the Power Poles - $/pole/year</t>
  </si>
  <si>
    <t>Enersource Hydro Mississauga Inc._RSC</t>
  </si>
  <si>
    <t>Service Transaction Requests (STR)</t>
  </si>
  <si>
    <t>Electronic Business Transaction (EBT) system, applied to the requesting party</t>
  </si>
  <si>
    <t>Enersource Hydro Mississauga Inc._LFs</t>
  </si>
  <si>
    <t>Total Loss Factor - Secondary Metered Customer &lt; 5,000 kW</t>
  </si>
  <si>
    <t>Total Loss Factor - Secondary Metered Customer &gt; 5,000 kW</t>
  </si>
  <si>
    <t>Total Loss Factor - Primary Metered Customer &lt; 5,000 kW</t>
  </si>
  <si>
    <t>Total Loss Factor - Primary Metered Customer &gt; 5,000 kW</t>
  </si>
  <si>
    <t>Enersource Hydro Mississauga Inc._End</t>
  </si>
  <si>
    <t>Calculation of Rebased Revenue Requirement and Allocation of Tax Sharing Amount.  Enter data from the last Board-Approved Cost of Service application in columns C through H.</t>
  </si>
  <si>
    <r>
      <t>As per the Chapter 3 Filing Guidelines, shared tax rate riders are based on a</t>
    </r>
    <r>
      <rPr>
        <b/>
        <sz val="12"/>
        <color rgb="FFFF0000"/>
        <rFont val="Arial"/>
        <family val="2"/>
      </rPr>
      <t xml:space="preserve"> </t>
    </r>
    <r>
      <rPr>
        <b/>
        <u/>
        <sz val="12"/>
        <color rgb="FFFF0000"/>
        <rFont val="Arial"/>
        <family val="2"/>
      </rPr>
      <t>1 year</t>
    </r>
    <r>
      <rPr>
        <b/>
        <sz val="12"/>
        <color rgb="FFFF0000"/>
        <rFont val="Arial"/>
        <family val="2"/>
      </rPr>
      <t xml:space="preserve"> </t>
    </r>
    <r>
      <rPr>
        <b/>
        <sz val="12"/>
        <rFont val="Arial"/>
        <family val="2"/>
      </rPr>
      <t>disposition.</t>
    </r>
  </si>
  <si>
    <t>Re-baed Service Charge</t>
  </si>
  <si>
    <t>Re-based Distribution Volumetric Rate kWh</t>
  </si>
  <si>
    <t>Re-based Distribution Volumetric Rate kW</t>
  </si>
  <si>
    <t>Service Charge 
% Revenue</t>
  </si>
  <si>
    <t>Distribution Volumetric Rate 
% Revenue 
kWh</t>
  </si>
  <si>
    <t>Distribution Volumetric Rate 
% Revenue 
kW</t>
  </si>
  <si>
    <t>kWh</t>
  </si>
  <si>
    <t>Total kWh
(most recent RRR filing)</t>
  </si>
  <si>
    <t>Total kW
(most recent RRR filing)</t>
  </si>
  <si>
    <t>Distribution Rate Rider</t>
  </si>
  <si>
    <t>$/customer</t>
  </si>
  <si>
    <r>
      <t xml:space="preserve">Total Metered </t>
    </r>
    <r>
      <rPr>
        <b/>
        <sz val="10"/>
        <color rgb="FFFF0000"/>
        <rFont val="Arial"/>
        <family val="2"/>
      </rPr>
      <t xml:space="preserve">kWh </t>
    </r>
    <r>
      <rPr>
        <b/>
        <sz val="10"/>
        <rFont val="Arial"/>
        <family val="2"/>
      </rPr>
      <t xml:space="preserve">less WMP consumption </t>
    </r>
  </si>
  <si>
    <r>
      <t xml:space="preserve">Total Metered </t>
    </r>
    <r>
      <rPr>
        <b/>
        <sz val="10"/>
        <color rgb="FFFF0000"/>
        <rFont val="Arial"/>
        <family val="2"/>
      </rPr>
      <t xml:space="preserve">kW </t>
    </r>
    <r>
      <rPr>
        <b/>
        <sz val="10"/>
        <rFont val="Arial"/>
        <family val="2"/>
      </rPr>
      <t xml:space="preserve">less WMP consumption </t>
    </r>
  </si>
  <si>
    <t>Allocation of Group 1 Account Balances to All Classes</t>
  </si>
  <si>
    <t>Total Metered kWh</t>
  </si>
  <si>
    <t>Metered kW 
or kVA</t>
  </si>
  <si>
    <t>Allocation of Group 1 Account Balances to Non-WMP Classes Only (If Applicable)</t>
  </si>
  <si>
    <t>Deferral/Variance Account Rate Rider for Non-WMP 
(if applicable)</t>
  </si>
  <si>
    <t>Deferral/Variance Account Disposition (2016) Rate Rider for Non-WMP</t>
  </si>
  <si>
    <t>Deferral/Variance Account Disposition (2016) Rate Rider for all Classes</t>
  </si>
  <si>
    <t>1595 Global Adjustment Rate Rider</t>
  </si>
  <si>
    <t>Total Deferral/Variance Account Disposition (2016) Rate Rider for Non -WMP</t>
  </si>
  <si>
    <r>
      <t xml:space="preserve">Total Metered </t>
    </r>
    <r>
      <rPr>
        <b/>
        <sz val="10"/>
        <color rgb="FFFF0000"/>
        <rFont val="Arial"/>
        <family val="2"/>
      </rPr>
      <t>kWh</t>
    </r>
  </si>
  <si>
    <r>
      <t xml:space="preserve">Total Metered </t>
    </r>
    <r>
      <rPr>
        <b/>
        <sz val="10"/>
        <color rgb="FFFF0000"/>
        <rFont val="Arial"/>
        <family val="2"/>
      </rPr>
      <t>kW</t>
    </r>
  </si>
  <si>
    <r>
      <t xml:space="preserve">Billed </t>
    </r>
    <r>
      <rPr>
        <b/>
        <sz val="10"/>
        <color rgb="FFFF0000"/>
        <rFont val="Arial"/>
        <family val="2"/>
      </rPr>
      <t>kWh</t>
    </r>
    <r>
      <rPr>
        <b/>
        <sz val="10"/>
        <rFont val="Arial"/>
        <family val="2"/>
      </rPr>
      <t xml:space="preserve"> for Non-RPP Customers</t>
    </r>
  </si>
  <si>
    <r>
      <t xml:space="preserve">Estimated </t>
    </r>
    <r>
      <rPr>
        <b/>
        <sz val="10"/>
        <color rgb="FFFF0000"/>
        <rFont val="Arial"/>
        <family val="2"/>
      </rPr>
      <t>kW</t>
    </r>
    <r>
      <rPr>
        <b/>
        <sz val="10"/>
        <rFont val="Arial"/>
        <family val="2"/>
      </rPr>
      <t xml:space="preserve"> for Non-RPP Customers</t>
    </r>
  </si>
  <si>
    <r>
      <t>GA Allocator for Class A, Non-WMP Customers 
(if applicable)</t>
    </r>
    <r>
      <rPr>
        <b/>
        <vertAlign val="superscript"/>
        <sz val="10"/>
        <rFont val="Arial"/>
        <family val="2"/>
      </rPr>
      <t>4</t>
    </r>
  </si>
  <si>
    <r>
      <t xml:space="preserve">% of  Total </t>
    </r>
    <r>
      <rPr>
        <b/>
        <sz val="10"/>
        <color theme="3"/>
        <rFont val="Arial"/>
        <family val="2"/>
      </rPr>
      <t xml:space="preserve">kWh </t>
    </r>
    <r>
      <rPr>
        <b/>
        <sz val="10"/>
        <rFont val="Arial"/>
        <family val="2"/>
      </rPr>
      <t>adjusted for WMP</t>
    </r>
  </si>
  <si>
    <r>
      <t xml:space="preserve">Total Metered </t>
    </r>
    <r>
      <rPr>
        <b/>
        <sz val="10"/>
        <color rgb="FFFF0000"/>
        <rFont val="Arial"/>
        <family val="2"/>
      </rPr>
      <t xml:space="preserve">kWh </t>
    </r>
    <r>
      <rPr>
        <b/>
        <sz val="10"/>
        <rFont val="Arial"/>
        <family val="2"/>
      </rPr>
      <t xml:space="preserve">less WMP consumption
</t>
    </r>
  </si>
  <si>
    <r>
      <t xml:space="preserve">% of  Total </t>
    </r>
    <r>
      <rPr>
        <b/>
        <sz val="10"/>
        <color theme="3"/>
        <rFont val="Arial"/>
        <family val="2"/>
      </rPr>
      <t>kWh</t>
    </r>
  </si>
  <si>
    <t>% of Customer Numbers **</t>
  </si>
  <si>
    <t>1595 (2010) Excluding GA</t>
  </si>
  <si>
    <t>1595 (2010)
GA</t>
  </si>
  <si>
    <t>1595 (2011) Excluding GA</t>
  </si>
  <si>
    <t>1595 (2011)
GA</t>
  </si>
  <si>
    <t>1595 (2012) Excluding GA</t>
  </si>
  <si>
    <t>1595 (2012)
GA</t>
  </si>
  <si>
    <t>Total Metered kWh or kW Less Class A and WMP</t>
  </si>
  <si>
    <r>
      <t xml:space="preserve">Metered </t>
    </r>
    <r>
      <rPr>
        <b/>
        <sz val="10"/>
        <color rgb="FFFF0000"/>
        <rFont val="Arial"/>
        <family val="2"/>
      </rPr>
      <t>kWh</t>
    </r>
    <r>
      <rPr>
        <b/>
        <sz val="10"/>
        <rFont val="Arial"/>
        <family val="2"/>
      </rPr>
      <t xml:space="preserve"> or </t>
    </r>
    <r>
      <rPr>
        <b/>
        <sz val="10"/>
        <color rgb="FFFF0000"/>
        <rFont val="Arial"/>
        <family val="2"/>
      </rPr>
      <t>kW</t>
    </r>
    <r>
      <rPr>
        <b/>
        <sz val="10"/>
        <rFont val="Arial"/>
        <family val="2"/>
      </rPr>
      <t xml:space="preserve"> for Class A Customers and WMP</t>
    </r>
  </si>
  <si>
    <t>Default Rate Rider Recovery Period (in months)</t>
  </si>
  <si>
    <t>Proposed Rate Rider Recovery Period (in months)</t>
  </si>
  <si>
    <r>
      <t xml:space="preserve">% of  Total </t>
    </r>
    <r>
      <rPr>
        <b/>
        <sz val="10"/>
        <color theme="3"/>
        <rFont val="Arial"/>
        <family val="2"/>
      </rPr>
      <t>non-RPP kWh</t>
    </r>
  </si>
  <si>
    <t>LARGE USE (CLASS A)</t>
  </si>
  <si>
    <t>Rate Rider for Disposition of Deferral/Variance Accounts (2016) - effective until Dec 31, 2016</t>
  </si>
  <si>
    <t>Rate Rider for Disposition of Deferral/Variance Accounts (2016) - effective until Dec 31, 2016
     Applicable only for Non-Wholesale Market Participants</t>
  </si>
  <si>
    <t>Rate Rider for Disposition of Global Adjustment Account (2016) - effective until Dec 31, 2016
      Applicable only for Non-RPP Customers</t>
  </si>
  <si>
    <t>Rate Rider for Disposition of Global Adjustment Account (2016) - effective until Dec 31, 2016
      Applicable only for Non-RPP Customers - Non Interval Metered</t>
  </si>
  <si>
    <t>Rate Rider for Disposition of Global Adjustment Account (2016) - effective until Dec 31, 2016
      Applicable only for Non-RPP Customers - Interval Metered</t>
  </si>
  <si>
    <t>Rate Rider for Disposition of Global Adjustment Account (2016) - effective until Dec 31, 2016
      Applicable only for Non-RPP Customers - Class A Customers</t>
  </si>
  <si>
    <t>Rate Rider for Disposition of Global Adjustment Account (2016) - effective until Dec 31, 2016
      Applicable only for Non-RPP Customers - Class B Customers</t>
  </si>
  <si>
    <t>Rate Rider for Application of Tax Change (2016) – effective until Dec 31, 2016</t>
  </si>
  <si>
    <t>Rate Rider for Application of Tax Change (2015) – effective until Dec 31, 2016</t>
  </si>
  <si>
    <t xml:space="preserve">Retail Transmission Rate - Network Service Rate </t>
  </si>
  <si>
    <t xml:space="preserve">Retail Transmission Rate - Line and Transformation Connection Service Rate </t>
  </si>
  <si>
    <r>
      <t xml:space="preserve">Rate Rider for Disposition of Global Adjustment Account (2016) - effective until Dec 31, 2016
      Applicable only for Non-RPP Customers - Interval Metered </t>
    </r>
    <r>
      <rPr>
        <vertAlign val="superscript"/>
        <sz val="8"/>
        <color theme="1"/>
        <rFont val="Arial"/>
        <family val="2"/>
      </rPr>
      <t>1</t>
    </r>
  </si>
  <si>
    <t>1. Participants of the Industrial Conservation Initiative (ICI), who opted in on or after July 1, 2015 will be charged the Rate Rider for Disposition of Global Adjustment Account (2016) - effective until December 31, 2016, Applicable only for Non-RPP, Interval Metered customers, as this rate was derived from the disposition of balances as at December 31, 2014.</t>
  </si>
  <si>
    <t>Rate Rider for Recovery of Foregone Revenue - effective until December 31, 2016</t>
  </si>
  <si>
    <t>Ontario Electricity Support Program Charge (OESP)</t>
  </si>
  <si>
    <t>ONTARIO ELECTRICITY SUPPORT PROGRAM RECIPIENTS</t>
  </si>
  <si>
    <t>In addition to the charges specified on page 1 of this tariff of rates and charges, the following credits are to be applied to eligible residential customers.</t>
  </si>
  <si>
    <t>The application of the credits is in accordance with the Distribution System Code (Section 9) and section 79.2 of the Ontario Energy Board Act, 1998.
The application of these credits shall be in accordance with the Licence of the Distributor and any Code or Order of the Board, and amendments thereto as approved by the Board, which may be applicable to the administration of this schedule.
Definitions:
“Aboriginal person” includes a person who is a First Nations person, a Métis person or an Inuit person;
“account-holder” means a consumer who has an account with a distributor that falls within a residential-rate classification as specified in a rate order made by the Board under section 78 of the Act, and who lives at the service address to which the account relates for at least six months in a year;
“electricity-intensive medical device” means an oxygen concentrator, a mechanical ventilator, or such other device as may be specified by the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t>
  </si>
  <si>
    <t>MONTHLY RATES AND CHARGES</t>
  </si>
  <si>
    <t>Class A - OESP Credit</t>
  </si>
  <si>
    <t>(a) account-holders with a household income of $28,000 or less living in a household of one or two persons;</t>
  </si>
  <si>
    <t>(b) account-holders with a household income of between $28,001 and $39,000 living in a household of three persons;</t>
  </si>
  <si>
    <t>(c) account-holders with a household income of between $39,001 and $48,000 living in a household of five persons;</t>
  </si>
  <si>
    <t>Class B - OESP Credit</t>
  </si>
  <si>
    <t>(a) account-holders with a household income of $28,000 or less living in a household of three persons;</t>
  </si>
  <si>
    <t>(b) account-holders with a household income of between $28,001 and $39,000 living in a household of four persons;</t>
  </si>
  <si>
    <t>(c) account-holders with a household income of between $39,001 and $48,000 living in a household of six persons;
but does not include account-holders in Class F.</t>
  </si>
  <si>
    <t>(d) account-holders with a household income of between $48,001 and $52,000 living in a household of seven or more persons; but does not include account-holders in Class E.</t>
  </si>
  <si>
    <t>Class C - OESP Credit</t>
  </si>
  <si>
    <t>(a) account-holders with a household income of $28,000 or less living in a household of four persons;</t>
  </si>
  <si>
    <t>(b) account-holders with a household income of between $28,001 and $39,000 living in a household of five persons;</t>
  </si>
  <si>
    <t>(c) account-holders with a household income of between $39,001 and $48,000 living in a household of seven or more persons; but does not include account-holders in Class G.</t>
  </si>
  <si>
    <t>Class D - OESP Credit</t>
  </si>
  <si>
    <t>(a) account-holders with a household income of $28,000 or less living in a household of five persons; and</t>
  </si>
  <si>
    <t>(b) account-holders with a household income of between $28,001 and $39,000 living in a household of six persons;
but does not include account-holders in Class H.</t>
  </si>
  <si>
    <t>Class E - OESP Credit</t>
  </si>
  <si>
    <t>Class E comprises account-holders with a household income and household size described under Class A who also meet any of the following conditions:</t>
  </si>
  <si>
    <t>(a) the dwelling to which the account relates is heated primarily by electricity;</t>
  </si>
  <si>
    <t>(b) the account-holder or any member of the account-holder’s household is an Aboriginal person; or</t>
  </si>
  <si>
    <t>(c) the account-holder or any member of the account-holder’s household regularly uses, for medical purposes, an electricity-intensive medical device at the dwelling to which the account relates.</t>
  </si>
  <si>
    <t>Class F - OESP Credit</t>
  </si>
  <si>
    <t>(a) account-holders with a household income of $28,000 or less living in a household of six or more persons;</t>
  </si>
  <si>
    <t>(b) account-holders with a household income of between $28,001 and $39,000 living in a household of seven or more persons; or</t>
  </si>
  <si>
    <t>(c) account-holders with a household income and household size described under Class B who also meet any of the following conditions:</t>
  </si>
  <si>
    <t>i. the dwelling to which the account relates is heated primarily by electricity;</t>
  </si>
  <si>
    <t>ii. the account-holder or any member of the account-holder’s household is an Aboriginal person; or</t>
  </si>
  <si>
    <t>iii. the account-holder or any member of the account-holder’s household regularly uses, for medical purposes, an electricity-intensive medical device at the dwelling to which the account relates.</t>
  </si>
  <si>
    <t>Class G - OESP Credit</t>
  </si>
  <si>
    <t>Class G comprises account-holders with a household income and household size described under Class C who also meet any of the following conditions:</t>
  </si>
  <si>
    <t>Class H - OESP Credit</t>
  </si>
  <si>
    <t>Class H comprises account-holders with a household income and household size described under Class D who also meet any of the following conditions:</t>
  </si>
  <si>
    <t>(b) the account-holder or any member of the account-holder’s household is an Aboriginal person ; or</t>
  </si>
  <si>
    <t>Class I - OESP Credit</t>
  </si>
  <si>
    <t>Class I comprises account-holders with a household income and household size described under paragraphs (a) or (b) of Class F who also meet any of the following conditions:</t>
  </si>
  <si>
    <t>Rate Recovery Period</t>
  </si>
  <si>
    <t>Default Rate Recover Period</t>
  </si>
  <si>
    <t xml:space="preserve">
This classification refers to all residential services including, without limitation, single family or single unit dwellings, multi-family dwellings, row-type dwellings and subdivision developments. Energy is supplied in single phase, 3-wire, or three phase, 4-wire, having a nominal voltage of 120/240 Volts. There shall be only one delivery point to a dwelling. Further servicing details are available in the distributor’s Conditions of Service.</t>
  </si>
  <si>
    <t>It should be noted that this schedule does not list any charges, assessments, or credits that are required by law to be invoiced by a distributor and that are not subject to Board approval, such as the Debt Retirement Charge, the Global Adjustment, and the HST.</t>
  </si>
  <si>
    <t>It should be noted that this schedule does not list any charges, assessments, or credits that are required by law to be invoiced by a distributor and that are not subject to Board approval, such as the Debt Retirement Charge, the Global Adjustment,  and the HST.</t>
  </si>
  <si>
    <t xml:space="preserve">
This classification refers to a non-residential account whose monthly average peak demand is equal to or greater than, or is forecast to be equal to or greater than, 50 kW but less than 500 kW. Further servicing details are available in the distributor’s Conditions of Service.</t>
  </si>
  <si>
    <t xml:space="preserve">
This classification refers to an account whose monthly average peak demand is equal to or greater than, or is forecast to be equal to or greater than, 5,000 kW. Further servicing details are available in the distributor’s Conditions of Service.</t>
  </si>
  <si>
    <t xml:space="preserve">
This classification applies to an account taking electricity at 750 volts or less whose average monthly maximum demand is less than, or is forecast to be less than, 50 kW and the consumption is unmetered. The amount of electricity consumed by unmetered connections will be based on detailed information/documentation provided by the device’s manufacturer and will be agreed to by Enersource Hydro Mississauga Inc. and the customer and may be subject to periodic monitoring of actual consumption. Eligible unmetered loads include cable TV power packs, bus shelters, telephone booths, traffic lights, railway crossings. Further servicing details are available in the distributor’s Conditions of Service.</t>
  </si>
  <si>
    <t xml:space="preserve">
This classification refers to an account for roadway lighting. Street Lighting is unmetered where energy consumption is estimated based on the connected wattage and calculated hours of use using methods established by the Ontario Energy Board. Further servicing details are available in the distributor’s Conditions of Service.</t>
  </si>
  <si>
    <t xml:space="preserve">
This classification refers to an account that requires Enersource Hydro Mississauga to provide distribution service on a standby basis as a back-up supply to an on-site generator. Further servicing details are available in the distributor’s Conditions of Service.</t>
  </si>
  <si>
    <t xml:space="preserve">
This classification applies to an electricity generation facility contracted under the Ontario Power Authority’s microFIT program and connected to the distributor’s distribution system. Further servicing details are available in the distributor’s Conditions of Service.</t>
  </si>
  <si>
    <t>Effective Date January 1, 2016</t>
  </si>
  <si>
    <t>Implementation Date April 1,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</si>
</sst>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6" formatCode="&quot;$&quot;#,##0;[Red]\-&quot;$&quot;#,##0"/>
    <numFmt numFmtId="44" formatCode="_-&quot;$&quot;* #,##0.00_-;\-&quot;$&quot;* #,##0.00_-;_-&quot;$&quot;* &quot;-&quot;??_-;_-@_-"/>
    <numFmt numFmtId="43" formatCode="_-* #,##0.00_-;\-* #,##0.00_-;_-* &quot;-&quot;??_-;_-@_-"/>
    <numFmt numFmtId="164" formatCode="_(* #,##0.00_);_(* \(#,##0.00\);_(* &quot;-&quot;??_);_(@_)"/>
    <numFmt numFmtId="165" formatCode="_(* #,##0_);_(* \(#,##0\);_(* &quot;-&quot;??_);_(@_)"/>
    <numFmt numFmtId="166" formatCode="_-* #,##0_-;\-* #,##0_-;_-* &quot;-&quot;??_-;_-@_-"/>
    <numFmt numFmtId="167" formatCode="#,##0;[Red]\(#,##0\)"/>
    <numFmt numFmtId="168" formatCode="#,##0;\-&quot;$&quot;#,##0"/>
    <numFmt numFmtId="169" formatCode="#,000"/>
    <numFmt numFmtId="170" formatCode="&quot;$&quot;#,##0;[Red]\(&quot;$&quot;#,##0\)"/>
    <numFmt numFmtId="171" formatCode="#,##0.000000;[Red]\(#,##0.000000\)"/>
    <numFmt numFmtId="172" formatCode="0.0%"/>
    <numFmt numFmtId="173" formatCode="#,##0;\(&quot;$&quot;#,##0\)"/>
    <numFmt numFmtId="174" formatCode="&quot;$&quot;#,##0.00;[Red]&quot;$&quot;#,##0.00"/>
    <numFmt numFmtId="175" formatCode="_(&quot;$&quot;* #,##0_);_(&quot;$&quot;* \(#,##0\);_(&quot;$&quot;* &quot;-&quot;??_);_(@_)"/>
    <numFmt numFmtId="176" formatCode="_(&quot;$&quot;* #,##0.00_);_(&quot;$&quot;* \(#,##0.00\);_(&quot;$&quot;* &quot;-&quot;??_);_(@_)"/>
    <numFmt numFmtId="177" formatCode="#,##0.0000;[Red]\(#,##0.0000\)"/>
    <numFmt numFmtId="178" formatCode="#,###"/>
    <numFmt numFmtId="179" formatCode="0.0000"/>
    <numFmt numFmtId="180" formatCode="0.0000;[Red]\-0.0000"/>
    <numFmt numFmtId="181" formatCode="_-* #,##0.0000_-;\-* #,##0.0000_-;_-* &quot;-&quot;??_-;_-@_-"/>
    <numFmt numFmtId="182" formatCode="0.00;\(0.00\)"/>
    <numFmt numFmtId="183" formatCode="#,##0.00;[Red]\(#,##0.00\)"/>
    <numFmt numFmtId="184" formatCode="0.00;\ \(0.00\)"/>
    <numFmt numFmtId="185" formatCode="_(* #,##0.0000_);_(* \(#,##0.0000\);_(* &quot;-&quot;??_);_(@_)"/>
    <numFmt numFmtId="186" formatCode="#,##0.0000"/>
    <numFmt numFmtId="187" formatCode="_-* #,##0.000_-;\-* #,##0.000_-;_-* &quot;-&quot;??_-;_-@_-"/>
    <numFmt numFmtId="188" formatCode="0.00;[Red]\-0.00"/>
    <numFmt numFmtId="189" formatCode="0.00000"/>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sz val="10"/>
      <name val="Arial"/>
      <family val="2"/>
    </font>
    <font>
      <b/>
      <sz val="10"/>
      <name val="Arial"/>
      <family val="2"/>
    </font>
    <font>
      <b/>
      <vertAlign val="superscript"/>
      <sz val="10"/>
      <name val="Arial"/>
      <family val="2"/>
    </font>
    <font>
      <b/>
      <sz val="12"/>
      <name val="Arial"/>
      <family val="2"/>
    </font>
    <font>
      <sz val="10"/>
      <color theme="1"/>
      <name val="Calibri"/>
      <family val="2"/>
      <scheme val="minor"/>
    </font>
    <font>
      <sz val="10"/>
      <color theme="1"/>
      <name val="Arial"/>
      <family val="2"/>
    </font>
    <font>
      <b/>
      <sz val="10"/>
      <color rgb="FFFF0000"/>
      <name val="Arial"/>
      <family val="2"/>
    </font>
    <font>
      <b/>
      <sz val="11"/>
      <color rgb="FFFF0000"/>
      <name val="Calibri"/>
      <family val="2"/>
      <scheme val="minor"/>
    </font>
    <font>
      <sz val="8"/>
      <color theme="1"/>
      <name val="Calibri"/>
      <family val="2"/>
      <scheme val="minor"/>
    </font>
    <font>
      <u/>
      <sz val="16"/>
      <color theme="1"/>
      <name val="Calibri"/>
      <family val="2"/>
      <scheme val="minor"/>
    </font>
    <font>
      <b/>
      <vertAlign val="superscript"/>
      <sz val="11"/>
      <color rgb="FFFF0000"/>
      <name val="Calibri"/>
      <family val="2"/>
      <scheme val="minor"/>
    </font>
    <font>
      <b/>
      <sz val="11"/>
      <color theme="1"/>
      <name val="Arial"/>
      <family val="2"/>
    </font>
    <font>
      <sz val="11"/>
      <color theme="1"/>
      <name val="Arial"/>
      <family val="2"/>
    </font>
    <font>
      <b/>
      <sz val="16"/>
      <color theme="1"/>
      <name val="Arial"/>
      <family val="2"/>
    </font>
    <font>
      <b/>
      <sz val="14"/>
      <color theme="1"/>
      <name val="Calibri"/>
      <family val="2"/>
      <scheme val="minor"/>
    </font>
    <font>
      <b/>
      <sz val="14"/>
      <color theme="1"/>
      <name val="Arial"/>
      <family val="2"/>
    </font>
    <font>
      <b/>
      <u val="singleAccounting"/>
      <sz val="11"/>
      <color theme="1"/>
      <name val="Calibri"/>
      <family val="2"/>
      <scheme val="minor"/>
    </font>
    <font>
      <b/>
      <sz val="11"/>
      <name val="Calibri"/>
      <family val="2"/>
      <scheme val="minor"/>
    </font>
    <font>
      <sz val="10"/>
      <name val="Arial"/>
      <family val="2"/>
    </font>
    <font>
      <b/>
      <sz val="12"/>
      <color theme="1"/>
      <name val="Arial"/>
      <family val="2"/>
    </font>
    <font>
      <b/>
      <sz val="12"/>
      <name val="Calibri"/>
      <family val="2"/>
      <scheme val="minor"/>
    </font>
    <font>
      <b/>
      <sz val="10"/>
      <name val="Calibri"/>
      <family val="2"/>
      <scheme val="minor"/>
    </font>
    <font>
      <b/>
      <sz val="8"/>
      <color theme="1"/>
      <name val="Arial"/>
      <family val="2"/>
    </font>
    <font>
      <b/>
      <sz val="11"/>
      <color theme="0"/>
      <name val="Calibri"/>
      <family val="2"/>
      <scheme val="minor"/>
    </font>
    <font>
      <sz val="11"/>
      <name val="Calibri"/>
      <family val="2"/>
      <scheme val="minor"/>
    </font>
    <font>
      <sz val="9"/>
      <color theme="1"/>
      <name val="Arial"/>
      <family val="2"/>
    </font>
    <font>
      <sz val="8"/>
      <color theme="1"/>
      <name val="Arial"/>
      <family val="2"/>
    </font>
    <font>
      <b/>
      <sz val="10"/>
      <color theme="1"/>
      <name val="Arial"/>
      <family val="2"/>
    </font>
    <font>
      <sz val="11"/>
      <color rgb="FF000000"/>
      <name val="Calibri"/>
      <family val="2"/>
    </font>
    <font>
      <b/>
      <sz val="18"/>
      <color theme="1"/>
      <name val="Arial"/>
      <family val="2"/>
    </font>
    <font>
      <b/>
      <sz val="12"/>
      <color rgb="FFFF0000"/>
      <name val="Arial"/>
      <family val="2"/>
    </font>
    <font>
      <b/>
      <i/>
      <sz val="10"/>
      <name val="Arial"/>
      <family val="2"/>
    </font>
    <font>
      <b/>
      <sz val="11"/>
      <color rgb="FFFF0000"/>
      <name val="Arial"/>
      <family val="2"/>
    </font>
    <font>
      <b/>
      <u/>
      <sz val="12"/>
      <color theme="1"/>
      <name val="Arial"/>
      <family val="2"/>
    </font>
    <font>
      <b/>
      <vertAlign val="superscript"/>
      <sz val="10"/>
      <color theme="1"/>
      <name val="Arial"/>
      <family val="2"/>
    </font>
    <font>
      <vertAlign val="superscript"/>
      <sz val="11"/>
      <color theme="1"/>
      <name val="Calibri"/>
      <family val="2"/>
      <scheme val="minor"/>
    </font>
    <font>
      <sz val="14"/>
      <color theme="1"/>
      <name val="Arial"/>
      <family val="2"/>
    </font>
    <font>
      <b/>
      <u/>
      <sz val="12"/>
      <color rgb="FFFF0000"/>
      <name val="Arial"/>
      <family val="2"/>
    </font>
    <font>
      <b/>
      <sz val="10"/>
      <color theme="3"/>
      <name val="Arial"/>
      <family val="2"/>
    </font>
    <font>
      <vertAlign val="superscript"/>
      <sz val="8"/>
      <color theme="1"/>
      <name val="Arial"/>
      <family val="2"/>
    </font>
  </fonts>
  <fills count="1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indexed="9"/>
        <bgColor indexed="64"/>
      </patternFill>
    </fill>
    <fill>
      <patternFill patternType="solid">
        <fgColor rgb="FF8DB5EF"/>
        <bgColor indexed="64"/>
      </patternFill>
    </fill>
    <fill>
      <patternFill patternType="solid">
        <fgColor theme="9" tint="0.79995117038483843"/>
        <bgColor indexed="64"/>
      </patternFill>
    </fill>
    <fill>
      <patternFill patternType="solid">
        <fgColor theme="2"/>
        <bgColor indexed="64"/>
      </patternFill>
    </fill>
    <fill>
      <patternFill patternType="solid">
        <fgColor theme="3" tint="0.59999389629810485"/>
        <bgColor indexed="64"/>
      </patternFill>
    </fill>
  </fills>
  <borders count="50">
    <border>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theme="0"/>
      </right>
      <top/>
      <bottom style="thin">
        <color indexed="64"/>
      </bottom>
      <diagonal/>
    </border>
    <border>
      <left style="medium">
        <color theme="0"/>
      </left>
      <right style="medium">
        <color theme="0"/>
      </right>
      <top style="medium">
        <color theme="0"/>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theme="0"/>
      </top>
      <bottom/>
      <diagonal/>
    </border>
    <border>
      <left/>
      <right/>
      <top style="thin">
        <color theme="0"/>
      </top>
      <bottom style="thin">
        <color theme="0"/>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theme="0" tint="-4.9989318521683403E-2"/>
      </right>
      <top/>
      <bottom style="medium">
        <color theme="0" tint="-4.9989318521683403E-2"/>
      </bottom>
      <diagonal/>
    </border>
    <border>
      <left style="medium">
        <color theme="0" tint="-4.9989318521683403E-2"/>
      </left>
      <right style="medium">
        <color theme="0" tint="-4.9989318521683403E-2"/>
      </right>
      <top/>
      <bottom style="medium">
        <color theme="0" tint="-4.9989318521683403E-2"/>
      </bottom>
      <diagonal/>
    </border>
    <border>
      <left style="medium">
        <color theme="0" tint="-4.9989318521683403E-2"/>
      </left>
      <right/>
      <top/>
      <bottom style="medium">
        <color theme="0" tint="-4.9989318521683403E-2"/>
      </bottom>
      <diagonal/>
    </border>
    <border>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style="medium">
        <color theme="0" tint="-4.9989318521683403E-2"/>
      </left>
      <right/>
      <top style="medium">
        <color theme="0" tint="-4.9989318521683403E-2"/>
      </top>
      <bottom style="medium">
        <color theme="0" tint="-4.9989318521683403E-2"/>
      </bottom>
      <diagonal/>
    </border>
    <border>
      <left/>
      <right style="medium">
        <color theme="0" tint="-4.9989318521683403E-2"/>
      </right>
      <top style="medium">
        <color theme="0" tint="-4.9989318521683403E-2"/>
      </top>
      <bottom style="medium">
        <color indexed="64"/>
      </bottom>
      <diagonal/>
    </border>
    <border>
      <left style="medium">
        <color theme="0" tint="-4.9989318521683403E-2"/>
      </left>
      <right style="medium">
        <color theme="0" tint="-4.9989318521683403E-2"/>
      </right>
      <top style="medium">
        <color theme="0" tint="-4.9989318521683403E-2"/>
      </top>
      <bottom style="medium">
        <color indexed="64"/>
      </bottom>
      <diagonal/>
    </border>
    <border>
      <left style="medium">
        <color theme="0" tint="-4.9989318521683403E-2"/>
      </left>
      <right/>
      <top style="medium">
        <color theme="0" tint="-4.9989318521683403E-2"/>
      </top>
      <bottom style="medium">
        <color indexed="64"/>
      </bottom>
      <diagonal/>
    </border>
  </borders>
  <cellStyleXfs count="22">
    <xf numFmtId="0" fontId="0" fillId="0" borderId="0"/>
    <xf numFmtId="43" fontId="1" fillId="0" borderId="0" applyFont="0" applyFill="0" applyBorder="0" applyAlignment="0" applyProtection="0"/>
    <xf numFmtId="0" fontId="5" fillId="0" borderId="0"/>
    <xf numFmtId="0" fontId="5" fillId="0" borderId="0"/>
    <xf numFmtId="0" fontId="5" fillId="0" borderId="0"/>
    <xf numFmtId="44" fontId="1" fillId="0" borderId="0" applyFont="0" applyFill="0" applyBorder="0" applyAlignment="0" applyProtection="0"/>
    <xf numFmtId="9" fontId="1" fillId="0" borderId="0" applyFont="0" applyFill="0" applyBorder="0" applyAlignment="0" applyProtection="0"/>
    <xf numFmtId="0" fontId="23" fillId="0" borderId="0"/>
    <xf numFmtId="43" fontId="5" fillId="0" borderId="0" applyFont="0" applyFill="0" applyBorder="0" applyAlignment="0" applyProtection="0"/>
    <xf numFmtId="164" fontId="23" fillId="0" borderId="0" applyFont="0" applyFill="0" applyBorder="0" applyAlignment="0" applyProtection="0"/>
    <xf numFmtId="176" fontId="23" fillId="0" borderId="0" applyFont="0" applyFill="0" applyBorder="0" applyAlignment="0" applyProtection="0"/>
    <xf numFmtId="176"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76"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cellStyleXfs>
  <cellXfs count="364">
    <xf numFmtId="0" fontId="0" fillId="0" borderId="0" xfId="0"/>
    <xf numFmtId="0" fontId="2" fillId="0" borderId="0" xfId="0" applyFont="1"/>
    <xf numFmtId="0" fontId="0" fillId="0" borderId="0" xfId="0" applyProtection="1"/>
    <xf numFmtId="0" fontId="0" fillId="0" borderId="0" xfId="0" applyAlignment="1" applyProtection="1">
      <alignment vertical="top" wrapText="1"/>
    </xf>
    <xf numFmtId="0" fontId="0" fillId="3" borderId="0" xfId="0" applyFill="1" applyProtection="1"/>
    <xf numFmtId="0" fontId="0" fillId="3" borderId="0" xfId="0" applyFill="1" applyAlignment="1" applyProtection="1">
      <alignment vertical="top" wrapText="1"/>
    </xf>
    <xf numFmtId="0" fontId="10" fillId="0" borderId="0" xfId="0" applyFont="1" applyProtection="1"/>
    <xf numFmtId="0" fontId="10" fillId="0" borderId="0" xfId="0" applyFont="1" applyFill="1" applyAlignment="1" applyProtection="1">
      <alignment vertical="top" wrapText="1"/>
    </xf>
    <xf numFmtId="0" fontId="6" fillId="0" borderId="0" xfId="3" applyFont="1" applyAlignment="1" applyProtection="1">
      <alignment horizontal="left" vertical="center"/>
    </xf>
    <xf numFmtId="0" fontId="6" fillId="3" borderId="15" xfId="3" applyFont="1" applyFill="1" applyBorder="1" applyAlignment="1" applyProtection="1">
      <alignment horizontal="center" vertical="center"/>
    </xf>
    <xf numFmtId="0" fontId="0" fillId="3" borderId="0" xfId="0" applyFill="1" applyAlignment="1" applyProtection="1">
      <alignment horizontal="center" vertical="center" wrapText="1"/>
    </xf>
    <xf numFmtId="0" fontId="0" fillId="3" borderId="0" xfId="0" applyFill="1" applyAlignment="1" applyProtection="1">
      <alignment horizontal="center" vertical="center"/>
    </xf>
    <xf numFmtId="0" fontId="0" fillId="5" borderId="18" xfId="0" applyFill="1" applyBorder="1" applyAlignment="1" applyProtection="1">
      <alignment horizontal="center" vertical="center"/>
      <protection locked="0"/>
    </xf>
    <xf numFmtId="167" fontId="0" fillId="4" borderId="13" xfId="0" applyNumberFormat="1" applyFill="1" applyBorder="1" applyAlignment="1" applyProtection="1">
      <alignment horizontal="center" vertical="center"/>
      <protection locked="0"/>
    </xf>
    <xf numFmtId="169" fontId="0" fillId="4" borderId="0" xfId="0" applyNumberFormat="1" applyFill="1" applyBorder="1" applyAlignment="1" applyProtection="1">
      <alignment horizontal="center" vertical="center"/>
      <protection locked="0"/>
    </xf>
    <xf numFmtId="0" fontId="0" fillId="5" borderId="19" xfId="0" applyFill="1" applyBorder="1" applyAlignment="1" applyProtection="1">
      <alignment horizontal="center" vertical="center"/>
      <protection locked="0"/>
    </xf>
    <xf numFmtId="167" fontId="0" fillId="4" borderId="20" xfId="0" applyNumberFormat="1" applyFill="1" applyBorder="1" applyAlignment="1" applyProtection="1">
      <alignment horizontal="center" vertical="center"/>
      <protection locked="0"/>
    </xf>
    <xf numFmtId="10" fontId="0" fillId="4" borderId="20" xfId="0" applyNumberFormat="1" applyFill="1" applyBorder="1" applyAlignment="1" applyProtection="1">
      <alignment horizontal="center" vertical="center"/>
      <protection locked="0"/>
    </xf>
    <xf numFmtId="168" fontId="0" fillId="4" borderId="21" xfId="0" applyNumberFormat="1" applyFill="1" applyBorder="1" applyAlignment="1" applyProtection="1">
      <alignment horizontal="center" vertical="center"/>
      <protection locked="0"/>
    </xf>
    <xf numFmtId="0" fontId="0" fillId="5" borderId="22" xfId="0" applyFill="1" applyBorder="1" applyAlignment="1" applyProtection="1">
      <alignment horizontal="center" vertical="center"/>
      <protection locked="0"/>
    </xf>
    <xf numFmtId="167" fontId="0" fillId="4" borderId="16" xfId="0" applyNumberFormat="1" applyFill="1" applyBorder="1" applyAlignment="1" applyProtection="1">
      <alignment horizontal="center" vertical="center"/>
      <protection locked="0"/>
    </xf>
    <xf numFmtId="10" fontId="0" fillId="4" borderId="16" xfId="0" applyNumberFormat="1" applyFill="1" applyBorder="1" applyAlignment="1" applyProtection="1">
      <alignment horizontal="center" vertical="center"/>
      <protection locked="0"/>
    </xf>
    <xf numFmtId="0" fontId="0" fillId="6" borderId="0" xfId="0" applyFill="1" applyBorder="1" applyAlignment="1" applyProtection="1">
      <alignment horizontal="center" vertical="center"/>
    </xf>
    <xf numFmtId="167" fontId="0" fillId="6" borderId="0" xfId="0" applyNumberFormat="1" applyFill="1" applyBorder="1" applyAlignment="1" applyProtection="1">
      <alignment horizontal="center" vertical="center"/>
    </xf>
    <xf numFmtId="10" fontId="0" fillId="6" borderId="0" xfId="0" applyNumberFormat="1" applyFill="1" applyBorder="1" applyAlignment="1" applyProtection="1">
      <alignment horizontal="center" vertical="center"/>
    </xf>
    <xf numFmtId="168" fontId="0" fillId="6" borderId="22" xfId="0" applyNumberFormat="1" applyFill="1" applyBorder="1" applyAlignment="1" applyProtection="1">
      <alignment horizontal="center" vertical="center"/>
    </xf>
    <xf numFmtId="0" fontId="0" fillId="6" borderId="0" xfId="0" applyFill="1" applyProtection="1"/>
    <xf numFmtId="0" fontId="12" fillId="0" borderId="0" xfId="0" applyFont="1" applyAlignment="1" applyProtection="1">
      <alignment horizontal="center" vertical="center"/>
    </xf>
    <xf numFmtId="168" fontId="2" fillId="0" borderId="23" xfId="0" applyNumberFormat="1" applyFont="1" applyBorder="1" applyAlignment="1" applyProtection="1">
      <alignment horizontal="center" vertical="center"/>
    </xf>
    <xf numFmtId="10" fontId="2" fillId="0" borderId="23" xfId="0" applyNumberFormat="1" applyFont="1" applyBorder="1" applyAlignment="1" applyProtection="1">
      <alignment horizontal="center" vertical="center"/>
    </xf>
    <xf numFmtId="0" fontId="13" fillId="0" borderId="0" xfId="0" applyFont="1" applyAlignment="1" applyProtection="1">
      <alignment horizontal="center"/>
    </xf>
    <xf numFmtId="167" fontId="13" fillId="0" borderId="0" xfId="0" applyNumberFormat="1" applyFont="1" applyAlignment="1" applyProtection="1">
      <alignment horizontal="center"/>
    </xf>
    <xf numFmtId="0" fontId="14" fillId="0" borderId="0" xfId="0" applyFont="1" applyAlignment="1" applyProtection="1">
      <alignment horizontal="left" vertical="top"/>
    </xf>
    <xf numFmtId="0" fontId="12" fillId="0" borderId="0" xfId="0" applyFont="1" applyAlignment="1" applyProtection="1">
      <alignment horizontal="left" vertical="top" wrapText="1"/>
    </xf>
    <xf numFmtId="0" fontId="12" fillId="0" borderId="0" xfId="0" applyFont="1" applyAlignment="1" applyProtection="1">
      <alignment vertical="center" wrapText="1"/>
    </xf>
    <xf numFmtId="0" fontId="16" fillId="3" borderId="11" xfId="0" applyFont="1" applyFill="1" applyBorder="1" applyAlignment="1" applyProtection="1">
      <alignment horizontal="left" vertical="top" wrapText="1"/>
    </xf>
    <xf numFmtId="0" fontId="16" fillId="3" borderId="11" xfId="0" applyFont="1" applyFill="1" applyBorder="1" applyAlignment="1" applyProtection="1">
      <alignment horizontal="center" vertical="center"/>
      <protection locked="0"/>
    </xf>
    <xf numFmtId="173" fontId="0" fillId="4" borderId="21" xfId="0" applyNumberFormat="1" applyFill="1" applyBorder="1" applyAlignment="1" applyProtection="1">
      <alignment horizontal="center" vertical="center"/>
      <protection locked="0"/>
    </xf>
    <xf numFmtId="174" fontId="0" fillId="0" borderId="0" xfId="0" applyNumberFormat="1" applyProtection="1"/>
    <xf numFmtId="0" fontId="18" fillId="0" borderId="0" xfId="0" applyFont="1" applyFill="1" applyBorder="1" applyAlignment="1" applyProtection="1">
      <alignment vertical="center"/>
      <protection locked="0"/>
    </xf>
    <xf numFmtId="0" fontId="19" fillId="0" borderId="0" xfId="0" applyFont="1" applyProtection="1"/>
    <xf numFmtId="165" fontId="1" fillId="0" borderId="0" xfId="1" applyNumberFormat="1" applyFont="1"/>
    <xf numFmtId="0" fontId="20" fillId="0" borderId="0" xfId="0" applyFont="1" applyFill="1" applyBorder="1" applyAlignment="1" applyProtection="1">
      <alignment vertical="center"/>
      <protection locked="0"/>
    </xf>
    <xf numFmtId="0" fontId="18" fillId="0" borderId="0" xfId="0" applyFont="1" applyProtection="1"/>
    <xf numFmtId="165" fontId="1" fillId="0" borderId="0" xfId="1" applyNumberFormat="1" applyFont="1" applyFill="1"/>
    <xf numFmtId="0" fontId="19" fillId="0" borderId="0" xfId="0" applyFont="1" applyFill="1" applyProtection="1"/>
    <xf numFmtId="165" fontId="21" fillId="0" borderId="0" xfId="1" quotePrefix="1" applyNumberFormat="1" applyFont="1" applyBorder="1" applyAlignment="1">
      <alignment horizontal="center"/>
    </xf>
    <xf numFmtId="165" fontId="1" fillId="0" borderId="24" xfId="1" applyNumberFormat="1" applyFont="1" applyBorder="1"/>
    <xf numFmtId="0" fontId="6" fillId="0" borderId="27" xfId="3" applyFont="1" applyFill="1" applyBorder="1" applyAlignment="1" applyProtection="1">
      <alignment horizontal="center" vertical="center"/>
    </xf>
    <xf numFmtId="175" fontId="2" fillId="0" borderId="24" xfId="1" applyNumberFormat="1" applyFont="1" applyBorder="1"/>
    <xf numFmtId="172" fontId="0" fillId="4" borderId="13" xfId="6" applyNumberFormat="1" applyFont="1" applyFill="1" applyBorder="1" applyAlignment="1" applyProtection="1">
      <alignment vertical="center"/>
      <protection locked="0"/>
    </xf>
    <xf numFmtId="167" fontId="0" fillId="4" borderId="13" xfId="0" applyNumberFormat="1" applyFill="1" applyBorder="1" applyAlignment="1" applyProtection="1">
      <alignment horizontal="right" vertical="center"/>
      <protection locked="0"/>
    </xf>
    <xf numFmtId="167" fontId="0" fillId="4" borderId="28" xfId="0" applyNumberFormat="1" applyFill="1" applyBorder="1" applyAlignment="1" applyProtection="1">
      <alignment horizontal="right" vertical="center"/>
      <protection locked="0"/>
    </xf>
    <xf numFmtId="172" fontId="1" fillId="0" borderId="29" xfId="6" applyNumberFormat="1" applyFont="1" applyBorder="1" applyAlignment="1"/>
    <xf numFmtId="175" fontId="1" fillId="0" borderId="29" xfId="1" applyNumberFormat="1" applyFont="1" applyBorder="1" applyAlignment="1">
      <alignment horizontal="right"/>
    </xf>
    <xf numFmtId="165" fontId="1" fillId="0" borderId="1" xfId="1" applyNumberFormat="1" applyFont="1" applyBorder="1"/>
    <xf numFmtId="175" fontId="2" fillId="0" borderId="24" xfId="5" applyNumberFormat="1" applyFont="1" applyBorder="1"/>
    <xf numFmtId="175" fontId="2" fillId="0" borderId="0" xfId="5" applyNumberFormat="1" applyFont="1" applyFill="1" applyBorder="1"/>
    <xf numFmtId="172" fontId="0" fillId="4" borderId="13" xfId="6" applyNumberFormat="1" applyFont="1" applyFill="1" applyBorder="1" applyAlignment="1" applyProtection="1">
      <alignment horizontal="right" vertical="center"/>
      <protection locked="0"/>
    </xf>
    <xf numFmtId="167" fontId="0" fillId="4" borderId="14" xfId="0" applyNumberFormat="1" applyFill="1" applyBorder="1" applyAlignment="1" applyProtection="1">
      <alignment horizontal="right" vertical="center"/>
      <protection locked="0"/>
    </xf>
    <xf numFmtId="167" fontId="0" fillId="0" borderId="0" xfId="0" applyNumberFormat="1" applyFill="1" applyBorder="1" applyAlignment="1" applyProtection="1">
      <alignment horizontal="right" vertical="center"/>
      <protection locked="0"/>
    </xf>
    <xf numFmtId="10" fontId="1" fillId="0" borderId="23" xfId="6" applyNumberFormat="1" applyFont="1" applyBorder="1"/>
    <xf numFmtId="175" fontId="1" fillId="0" borderId="23" xfId="6" applyNumberFormat="1" applyFont="1" applyBorder="1" applyAlignment="1">
      <alignment wrapText="1"/>
    </xf>
    <xf numFmtId="175" fontId="1" fillId="0" borderId="0" xfId="6" applyNumberFormat="1" applyFont="1" applyFill="1" applyBorder="1" applyAlignment="1">
      <alignment wrapText="1"/>
    </xf>
    <xf numFmtId="165" fontId="1" fillId="0" borderId="0" xfId="1" applyNumberFormat="1" applyFont="1" applyBorder="1"/>
    <xf numFmtId="175" fontId="0" fillId="0" borderId="0" xfId="0" applyNumberFormat="1"/>
    <xf numFmtId="0" fontId="0" fillId="0" borderId="0" xfId="0" applyFill="1"/>
    <xf numFmtId="175" fontId="2" fillId="0" borderId="0" xfId="0" applyNumberFormat="1" applyFont="1"/>
    <xf numFmtId="0" fontId="2" fillId="0" borderId="0" xfId="0" applyFont="1" applyAlignment="1">
      <alignment horizontal="center" vertical="center"/>
    </xf>
    <xf numFmtId="0" fontId="0" fillId="0" borderId="0" xfId="0" applyAlignment="1" applyProtection="1">
      <alignment vertical="top"/>
    </xf>
    <xf numFmtId="0" fontId="6" fillId="0" borderId="0" xfId="16" applyFont="1" applyAlignment="1" applyProtection="1">
      <alignment vertical="top" wrapText="1"/>
    </xf>
    <xf numFmtId="0" fontId="0" fillId="0" borderId="0" xfId="0" applyAlignment="1" applyProtection="1"/>
    <xf numFmtId="0" fontId="9" fillId="0" borderId="0" xfId="0" applyFont="1" applyAlignment="1" applyProtection="1"/>
    <xf numFmtId="0" fontId="6" fillId="0" borderId="0" xfId="16" applyFont="1" applyAlignment="1" applyProtection="1"/>
    <xf numFmtId="0" fontId="6" fillId="0" borderId="0" xfId="16" applyFont="1" applyFill="1" applyAlignment="1" applyProtection="1">
      <alignment horizontal="right"/>
    </xf>
    <xf numFmtId="167" fontId="0" fillId="0" borderId="0" xfId="0" applyNumberFormat="1" applyAlignment="1" applyProtection="1">
      <alignment horizontal="right" vertical="center"/>
    </xf>
    <xf numFmtId="0" fontId="0" fillId="10" borderId="0" xfId="0" applyFill="1" applyProtection="1"/>
    <xf numFmtId="0" fontId="0" fillId="0" borderId="0" xfId="0" applyBorder="1" applyProtection="1"/>
    <xf numFmtId="167" fontId="0" fillId="0" borderId="0" xfId="0" applyNumberFormat="1" applyBorder="1" applyAlignment="1" applyProtection="1">
      <alignment horizontal="right" vertical="center"/>
    </xf>
    <xf numFmtId="167" fontId="0" fillId="0" borderId="0" xfId="0" applyNumberFormat="1" applyBorder="1" applyAlignment="1" applyProtection="1">
      <alignment horizontal="center" vertical="center"/>
    </xf>
    <xf numFmtId="177" fontId="0" fillId="10" borderId="0" xfId="0" applyNumberFormat="1" applyFill="1" applyBorder="1" applyAlignment="1" applyProtection="1">
      <alignment horizontal="center" vertical="center"/>
    </xf>
    <xf numFmtId="0" fontId="0" fillId="0" borderId="26" xfId="0" applyBorder="1" applyProtection="1"/>
    <xf numFmtId="167" fontId="0" fillId="0" borderId="26" xfId="0" applyNumberFormat="1" applyBorder="1" applyAlignment="1" applyProtection="1">
      <alignment horizontal="right" vertical="center"/>
    </xf>
    <xf numFmtId="167" fontId="0" fillId="0" borderId="26" xfId="0" applyNumberFormat="1" applyBorder="1" applyAlignment="1" applyProtection="1">
      <alignment horizontal="center" vertical="center"/>
    </xf>
    <xf numFmtId="177" fontId="0" fillId="10" borderId="26" xfId="0" applyNumberFormat="1" applyFill="1" applyBorder="1" applyAlignment="1" applyProtection="1">
      <alignment horizontal="center" vertical="center"/>
    </xf>
    <xf numFmtId="0" fontId="0" fillId="10" borderId="26" xfId="0" applyFill="1" applyBorder="1" applyProtection="1"/>
    <xf numFmtId="0" fontId="0" fillId="0" borderId="1" xfId="0" applyBorder="1" applyProtection="1"/>
    <xf numFmtId="167" fontId="0" fillId="0" borderId="1" xfId="0" applyNumberFormat="1" applyBorder="1" applyAlignment="1" applyProtection="1">
      <alignment horizontal="right" vertical="center"/>
    </xf>
    <xf numFmtId="167" fontId="0" fillId="0" borderId="1" xfId="0" applyNumberFormat="1" applyBorder="1" applyAlignment="1" applyProtection="1">
      <alignment horizontal="center" vertical="center"/>
    </xf>
    <xf numFmtId="0" fontId="0" fillId="10" borderId="1" xfId="0" applyFill="1" applyBorder="1" applyProtection="1"/>
    <xf numFmtId="0" fontId="2" fillId="0" borderId="0" xfId="0" applyFont="1" applyProtection="1"/>
    <xf numFmtId="167" fontId="2" fillId="0" borderId="0" xfId="0" applyNumberFormat="1" applyFont="1" applyAlignment="1" applyProtection="1">
      <alignment horizontal="center"/>
    </xf>
    <xf numFmtId="0" fontId="0" fillId="0" borderId="0" xfId="0" applyAlignment="1" applyProtection="1">
      <alignment horizontal="center"/>
    </xf>
    <xf numFmtId="167" fontId="0" fillId="0" borderId="24" xfId="0" applyNumberFormat="1" applyBorder="1" applyAlignment="1" applyProtection="1">
      <alignment horizontal="center" vertical="center"/>
    </xf>
    <xf numFmtId="0" fontId="22" fillId="0" borderId="32" xfId="16" applyFont="1" applyFill="1" applyBorder="1" applyAlignment="1" applyProtection="1">
      <alignment horizontal="center"/>
    </xf>
    <xf numFmtId="0" fontId="2" fillId="0" borderId="33" xfId="0" applyFont="1" applyBorder="1" applyAlignment="1">
      <alignment horizontal="center" wrapText="1"/>
    </xf>
    <xf numFmtId="0" fontId="0" fillId="0" borderId="5" xfId="0" applyFont="1" applyBorder="1" applyProtection="1"/>
    <xf numFmtId="167" fontId="0" fillId="0" borderId="10" xfId="0" applyNumberFormat="1" applyFont="1" applyBorder="1" applyAlignment="1" applyProtection="1">
      <alignment horizontal="center" vertical="center"/>
    </xf>
    <xf numFmtId="177" fontId="0" fillId="0" borderId="6" xfId="0" applyNumberFormat="1" applyFont="1" applyBorder="1" applyAlignment="1" applyProtection="1">
      <alignment horizontal="center" vertical="center"/>
    </xf>
    <xf numFmtId="0" fontId="0" fillId="0" borderId="10" xfId="0" applyBorder="1" applyAlignment="1">
      <alignment horizontal="center"/>
    </xf>
    <xf numFmtId="0" fontId="0" fillId="0" borderId="7" xfId="0" applyFont="1" applyBorder="1" applyProtection="1"/>
    <xf numFmtId="0" fontId="2" fillId="0" borderId="2" xfId="0" applyFont="1" applyFill="1" applyBorder="1"/>
    <xf numFmtId="0" fontId="2" fillId="0" borderId="11" xfId="0" applyFont="1" applyFill="1" applyBorder="1"/>
    <xf numFmtId="0" fontId="2" fillId="0" borderId="2" xfId="0" applyFont="1" applyFill="1" applyBorder="1" applyAlignment="1">
      <alignment horizontal="center"/>
    </xf>
    <xf numFmtId="0" fontId="2" fillId="0" borderId="11" xfId="0" applyFont="1" applyFill="1" applyBorder="1" applyAlignment="1">
      <alignment horizontal="center"/>
    </xf>
    <xf numFmtId="0" fontId="2" fillId="0" borderId="32" xfId="0" applyFont="1" applyBorder="1" applyAlignment="1">
      <alignment horizontal="center" wrapText="1"/>
    </xf>
    <xf numFmtId="177" fontId="0" fillId="0" borderId="10" xfId="0" applyNumberFormat="1" applyFont="1" applyBorder="1" applyAlignment="1" applyProtection="1">
      <alignment horizontal="center" vertical="center"/>
    </xf>
    <xf numFmtId="177" fontId="0" fillId="0" borderId="0" xfId="0" applyNumberFormat="1" applyFont="1" applyAlignment="1" applyProtection="1">
      <alignment horizontal="center" vertical="center"/>
    </xf>
    <xf numFmtId="167" fontId="0" fillId="0" borderId="12" xfId="0" applyNumberFormat="1" applyFont="1" applyBorder="1" applyAlignment="1" applyProtection="1">
      <alignment horizontal="center" vertical="center"/>
    </xf>
    <xf numFmtId="177" fontId="0" fillId="0" borderId="12" xfId="0" applyNumberFormat="1" applyFont="1" applyBorder="1" applyAlignment="1" applyProtection="1">
      <alignment horizontal="center" vertical="center"/>
    </xf>
    <xf numFmtId="177" fontId="0" fillId="0" borderId="9" xfId="0" applyNumberFormat="1" applyFont="1" applyBorder="1" applyAlignment="1" applyProtection="1">
      <alignment horizontal="center" vertical="center"/>
    </xf>
    <xf numFmtId="0" fontId="22" fillId="0" borderId="11" xfId="16" applyFont="1" applyBorder="1" applyAlignment="1" applyProtection="1"/>
    <xf numFmtId="0" fontId="24" fillId="0" borderId="0" xfId="0" applyFont="1" applyProtection="1"/>
    <xf numFmtId="0" fontId="25" fillId="0" borderId="0" xfId="0" applyFont="1" applyAlignment="1" applyProtection="1">
      <alignment horizontal="center" wrapText="1"/>
    </xf>
    <xf numFmtId="0" fontId="26" fillId="11" borderId="0" xfId="17" applyFont="1" applyFill="1" applyAlignment="1" applyProtection="1">
      <alignment horizontal="center"/>
    </xf>
    <xf numFmtId="0" fontId="0" fillId="0" borderId="0" xfId="0" applyFont="1" applyProtection="1"/>
    <xf numFmtId="172" fontId="0" fillId="4" borderId="28" xfId="6" applyNumberFormat="1" applyFont="1" applyFill="1" applyBorder="1" applyAlignment="1" applyProtection="1">
      <alignment vertical="center"/>
      <protection locked="0"/>
    </xf>
    <xf numFmtId="0" fontId="22" fillId="0" borderId="0" xfId="16" applyFont="1" applyFill="1" applyBorder="1" applyAlignment="1" applyProtection="1">
      <alignment horizontal="center"/>
    </xf>
    <xf numFmtId="0" fontId="22" fillId="0" borderId="0" xfId="16" applyFont="1" applyAlignment="1" applyProtection="1"/>
    <xf numFmtId="0" fontId="32" fillId="0" borderId="0" xfId="0" applyFont="1" applyProtection="1"/>
    <xf numFmtId="177" fontId="31" fillId="0" borderId="0" xfId="0" applyNumberFormat="1" applyFont="1" applyAlignment="1">
      <alignment horizontal="right"/>
    </xf>
    <xf numFmtId="0" fontId="20" fillId="0" borderId="0" xfId="0" applyFont="1" applyFill="1" applyProtection="1"/>
    <xf numFmtId="0" fontId="0" fillId="0" borderId="0" xfId="0" applyAlignment="1" applyProtection="1">
      <alignment horizontal="left" vertical="top" wrapText="1"/>
    </xf>
    <xf numFmtId="0" fontId="12" fillId="0" borderId="0" xfId="0" applyFont="1" applyAlignment="1" applyProtection="1">
      <alignment horizontal="left" vertical="top" wrapText="1"/>
    </xf>
    <xf numFmtId="0" fontId="30" fillId="0" borderId="0" xfId="0" applyFont="1" applyAlignment="1">
      <alignment horizontal="left" vertical="top" wrapText="1"/>
    </xf>
    <xf numFmtId="0" fontId="30" fillId="0" borderId="0" xfId="0" applyFont="1" applyFill="1" applyAlignment="1">
      <alignment horizontal="left" vertical="top" wrapText="1"/>
    </xf>
    <xf numFmtId="0" fontId="31" fillId="0" borderId="0" xfId="0" applyFont="1" applyAlignment="1">
      <alignment horizontal="left" vertical="top" wrapText="1"/>
    </xf>
    <xf numFmtId="167" fontId="0" fillId="4" borderId="20" xfId="0" applyNumberFormat="1" applyFill="1" applyBorder="1" applyProtection="1">
      <protection locked="0"/>
    </xf>
    <xf numFmtId="10" fontId="0" fillId="4" borderId="21" xfId="0" applyNumberFormat="1" applyFill="1" applyBorder="1" applyAlignment="1" applyProtection="1">
      <alignment horizontal="center" vertical="center"/>
      <protection locked="0"/>
    </xf>
    <xf numFmtId="165" fontId="0" fillId="0" borderId="0" xfId="0" applyNumberFormat="1"/>
    <xf numFmtId="43" fontId="0" fillId="0" borderId="0" xfId="1" applyFont="1"/>
    <xf numFmtId="0" fontId="2" fillId="0" borderId="25" xfId="0" applyFont="1" applyBorder="1" applyAlignment="1">
      <alignment horizontal="center" wrapText="1"/>
    </xf>
    <xf numFmtId="0" fontId="2" fillId="0" borderId="1" xfId="0" applyFont="1" applyBorder="1" applyAlignment="1">
      <alignment horizontal="center" wrapText="1"/>
    </xf>
    <xf numFmtId="0" fontId="0" fillId="0" borderId="37" xfId="0" applyBorder="1"/>
    <xf numFmtId="165" fontId="0" fillId="0" borderId="37" xfId="1" applyNumberFormat="1" applyFont="1" applyBorder="1"/>
    <xf numFmtId="0" fontId="0" fillId="0" borderId="38" xfId="0" applyBorder="1"/>
    <xf numFmtId="165" fontId="0" fillId="0" borderId="0" xfId="1" applyNumberFormat="1" applyFont="1"/>
    <xf numFmtId="165" fontId="2" fillId="0" borderId="39" xfId="0" applyNumberFormat="1" applyFont="1" applyBorder="1"/>
    <xf numFmtId="165" fontId="2" fillId="0" borderId="39" xfId="1" applyNumberFormat="1" applyFont="1" applyBorder="1"/>
    <xf numFmtId="165" fontId="2" fillId="0" borderId="40" xfId="1" applyNumberFormat="1" applyFont="1" applyBorder="1"/>
    <xf numFmtId="0" fontId="2" fillId="0" borderId="30" xfId="0" quotePrefix="1" applyFont="1" applyBorder="1" applyAlignment="1">
      <alignment horizontal="center" wrapText="1"/>
    </xf>
    <xf numFmtId="0" fontId="2" fillId="0" borderId="25" xfId="0" applyFont="1" applyBorder="1" applyAlignment="1">
      <alignment horizontal="center"/>
    </xf>
    <xf numFmtId="0" fontId="2" fillId="0" borderId="30" xfId="0" applyFont="1" applyBorder="1" applyAlignment="1">
      <alignment horizontal="center" wrapText="1"/>
    </xf>
    <xf numFmtId="165" fontId="0" fillId="0" borderId="37" xfId="1" applyNumberFormat="1" applyFont="1" applyFill="1" applyBorder="1"/>
    <xf numFmtId="172" fontId="0" fillId="0" borderId="37" xfId="6" applyNumberFormat="1" applyFont="1" applyBorder="1"/>
    <xf numFmtId="165" fontId="0" fillId="0" borderId="0" xfId="1" applyNumberFormat="1" applyFont="1" applyBorder="1"/>
    <xf numFmtId="165" fontId="29" fillId="0" borderId="37" xfId="1" applyNumberFormat="1" applyFont="1" applyFill="1" applyBorder="1"/>
    <xf numFmtId="185" fontId="0" fillId="0" borderId="36" xfId="0" applyNumberFormat="1" applyBorder="1"/>
    <xf numFmtId="185" fontId="0" fillId="0" borderId="36" xfId="0" applyNumberFormat="1" applyBorder="1" applyAlignment="1">
      <alignment horizontal="center"/>
    </xf>
    <xf numFmtId="172" fontId="0" fillId="0" borderId="38" xfId="6" applyNumberFormat="1" applyFont="1" applyBorder="1"/>
    <xf numFmtId="165" fontId="0" fillId="0" borderId="24" xfId="1" applyNumberFormat="1" applyFont="1" applyBorder="1"/>
    <xf numFmtId="172" fontId="2" fillId="0" borderId="39" xfId="0" applyNumberFormat="1" applyFont="1" applyBorder="1"/>
    <xf numFmtId="165" fontId="2" fillId="0" borderId="40" xfId="0" applyNumberFormat="1" applyFont="1" applyBorder="1"/>
    <xf numFmtId="165" fontId="0" fillId="0" borderId="0" xfId="0" applyNumberFormat="1" applyBorder="1"/>
    <xf numFmtId="0" fontId="0" fillId="0" borderId="0" xfId="0" applyBorder="1"/>
    <xf numFmtId="165" fontId="0" fillId="0" borderId="37" xfId="0" applyNumberFormat="1" applyFill="1" applyBorder="1"/>
    <xf numFmtId="165" fontId="0" fillId="0" borderId="37" xfId="0" applyNumberFormat="1" applyFill="1" applyBorder="1" applyAlignment="1">
      <alignment horizontal="center"/>
    </xf>
    <xf numFmtId="165" fontId="0" fillId="0" borderId="38" xfId="1" applyNumberFormat="1" applyFont="1" applyBorder="1"/>
    <xf numFmtId="172" fontId="2" fillId="0" borderId="23" xfId="0" applyNumberFormat="1" applyFont="1" applyBorder="1"/>
    <xf numFmtId="0" fontId="0" fillId="0" borderId="37" xfId="0" applyFont="1" applyBorder="1"/>
    <xf numFmtId="0" fontId="0" fillId="0" borderId="37" xfId="0" applyBorder="1" applyAlignment="1">
      <alignment horizontal="center"/>
    </xf>
    <xf numFmtId="0" fontId="2" fillId="12" borderId="25" xfId="0" applyFont="1" applyFill="1" applyBorder="1" applyAlignment="1"/>
    <xf numFmtId="0" fontId="28" fillId="3" borderId="0" xfId="20" applyFont="1" applyFill="1" applyAlignment="1" applyProtection="1">
      <alignment horizontal="center" vertical="center"/>
    </xf>
    <xf numFmtId="0" fontId="22" fillId="0" borderId="0" xfId="20" applyFont="1" applyBorder="1" applyAlignment="1" applyProtection="1">
      <alignment horizontal="right" vertical="center" wrapText="1"/>
    </xf>
    <xf numFmtId="10" fontId="22" fillId="0" borderId="0" xfId="6" applyNumberFormat="1" applyFont="1" applyBorder="1" applyAlignment="1" applyProtection="1">
      <alignment horizontal="center" vertical="center"/>
    </xf>
    <xf numFmtId="0" fontId="22" fillId="0" borderId="0" xfId="20" applyFont="1" applyBorder="1" applyAlignment="1" applyProtection="1">
      <alignment horizontal="center" vertical="center" wrapText="1"/>
    </xf>
    <xf numFmtId="10" fontId="22" fillId="0" borderId="0" xfId="20" applyNumberFormat="1" applyFont="1" applyFill="1" applyBorder="1" applyAlignment="1" applyProtection="1">
      <alignment horizontal="center" vertical="center" wrapText="1"/>
    </xf>
    <xf numFmtId="0" fontId="2" fillId="0" borderId="0" xfId="0" applyFont="1" applyAlignment="1" applyProtection="1">
      <alignment horizontal="right" vertical="center" wrapText="1"/>
    </xf>
    <xf numFmtId="166" fontId="0" fillId="4" borderId="18" xfId="1" applyNumberFormat="1" applyFont="1" applyFill="1" applyBorder="1" applyAlignment="1" applyProtection="1">
      <alignment vertical="center"/>
      <protection locked="0"/>
    </xf>
    <xf numFmtId="0" fontId="12" fillId="0" borderId="0" xfId="20" applyFont="1" applyBorder="1" applyAlignment="1" applyProtection="1">
      <alignment horizontal="right" vertical="center" wrapText="1"/>
    </xf>
    <xf numFmtId="0" fontId="29" fillId="9" borderId="0" xfId="20" applyFont="1" applyFill="1" applyBorder="1" applyAlignment="1" applyProtection="1">
      <alignment horizontal="center" vertical="center"/>
      <protection locked="0"/>
    </xf>
    <xf numFmtId="10" fontId="22" fillId="8" borderId="0" xfId="20" applyNumberFormat="1" applyFont="1" applyFill="1" applyBorder="1" applyAlignment="1" applyProtection="1">
      <alignment horizontal="center" vertical="center"/>
    </xf>
    <xf numFmtId="10" fontId="22" fillId="0" borderId="0" xfId="6" applyNumberFormat="1" applyFont="1" applyFill="1" applyBorder="1" applyAlignment="1" applyProtection="1">
      <alignment horizontal="center" vertical="center"/>
    </xf>
    <xf numFmtId="0" fontId="0" fillId="0" borderId="0" xfId="0" applyFont="1" applyBorder="1" applyProtection="1"/>
    <xf numFmtId="0" fontId="22" fillId="0" borderId="0" xfId="16" applyFont="1" applyFill="1" applyBorder="1" applyAlignment="1" applyProtection="1">
      <alignment horizontal="right" wrapText="1"/>
    </xf>
    <xf numFmtId="166" fontId="0" fillId="4" borderId="0" xfId="1" applyNumberFormat="1" applyFont="1" applyFill="1" applyBorder="1" applyAlignment="1" applyProtection="1">
      <alignment vertical="center"/>
      <protection locked="0"/>
    </xf>
    <xf numFmtId="0" fontId="6" fillId="0" borderId="0" xfId="20" applyFont="1" applyAlignment="1" applyProtection="1">
      <alignment horizontal="center" wrapText="1"/>
    </xf>
    <xf numFmtId="0" fontId="0" fillId="0" borderId="0" xfId="0" applyFill="1" applyAlignment="1" applyProtection="1">
      <alignment horizontal="center"/>
    </xf>
    <xf numFmtId="0" fontId="6" fillId="0" borderId="0" xfId="16" applyFont="1" applyFill="1" applyAlignment="1" applyProtection="1">
      <alignment horizontal="center" vertical="top"/>
    </xf>
    <xf numFmtId="0" fontId="5" fillId="0" borderId="0" xfId="16" applyFont="1" applyFill="1" applyAlignment="1" applyProtection="1">
      <alignment horizontal="center"/>
    </xf>
    <xf numFmtId="4" fontId="0" fillId="0" borderId="0" xfId="0" applyNumberFormat="1" applyAlignment="1" applyProtection="1">
      <alignment horizontal="center"/>
    </xf>
    <xf numFmtId="186" fontId="0" fillId="4" borderId="0" xfId="0" applyNumberFormat="1" applyFill="1" applyBorder="1" applyAlignment="1" applyProtection="1">
      <alignment horizontal="center"/>
      <protection locked="0"/>
    </xf>
    <xf numFmtId="186" fontId="0" fillId="0" borderId="0" xfId="0" applyNumberFormat="1" applyAlignment="1" applyProtection="1">
      <alignment horizontal="center"/>
    </xf>
    <xf numFmtId="10" fontId="0" fillId="0" borderId="0" xfId="0" applyNumberFormat="1" applyAlignment="1" applyProtection="1">
      <alignment horizontal="center"/>
    </xf>
    <xf numFmtId="4" fontId="0" fillId="13" borderId="0" xfId="0" applyNumberFormat="1" applyFill="1" applyAlignment="1" applyProtection="1">
      <alignment horizontal="center"/>
    </xf>
    <xf numFmtId="186" fontId="0" fillId="13" borderId="0" xfId="0" applyNumberFormat="1" applyFill="1" applyAlignment="1" applyProtection="1">
      <alignment horizontal="center"/>
    </xf>
    <xf numFmtId="186" fontId="0" fillId="4" borderId="34" xfId="0" applyNumberFormat="1" applyFill="1" applyBorder="1" applyAlignment="1" applyProtection="1">
      <alignment horizontal="center"/>
      <protection locked="0"/>
    </xf>
    <xf numFmtId="186" fontId="0" fillId="4" borderId="35" xfId="0" applyNumberFormat="1" applyFill="1" applyBorder="1" applyAlignment="1" applyProtection="1">
      <alignment horizontal="center"/>
      <protection locked="0"/>
    </xf>
    <xf numFmtId="0" fontId="0" fillId="0" borderId="0" xfId="0" applyAlignment="1" applyProtection="1">
      <alignment horizontal="center"/>
      <protection locked="0"/>
    </xf>
    <xf numFmtId="0" fontId="38" fillId="0" borderId="0" xfId="0" applyFont="1" applyProtection="1"/>
    <xf numFmtId="0" fontId="32" fillId="0" borderId="0" xfId="0" applyFont="1" applyAlignment="1" applyProtection="1">
      <alignment horizontal="center" vertical="center" wrapText="1"/>
    </xf>
    <xf numFmtId="3" fontId="0" fillId="0" borderId="0" xfId="0" applyNumberFormat="1" applyAlignment="1" applyProtection="1">
      <alignment horizontal="center"/>
    </xf>
    <xf numFmtId="172" fontId="0" fillId="0" borderId="0" xfId="0" applyNumberFormat="1" applyAlignment="1" applyProtection="1">
      <alignment horizontal="center"/>
    </xf>
    <xf numFmtId="2" fontId="0" fillId="0" borderId="0" xfId="0" applyNumberFormat="1" applyAlignment="1" applyProtection="1">
      <alignment horizontal="center"/>
    </xf>
    <xf numFmtId="2" fontId="0" fillId="13" borderId="0" xfId="0" applyNumberFormat="1" applyFill="1" applyAlignment="1" applyProtection="1">
      <alignment horizontal="center"/>
    </xf>
    <xf numFmtId="3" fontId="0" fillId="0" borderId="8" xfId="0" applyNumberFormat="1" applyBorder="1" applyAlignment="1" applyProtection="1">
      <alignment horizontal="center"/>
    </xf>
    <xf numFmtId="179" fontId="0" fillId="13" borderId="0" xfId="0" applyNumberFormat="1" applyFill="1" applyAlignment="1" applyProtection="1">
      <alignment horizontal="center"/>
    </xf>
    <xf numFmtId="0" fontId="37" fillId="0" borderId="0" xfId="0" applyFont="1" applyProtection="1"/>
    <xf numFmtId="0" fontId="40" fillId="0" borderId="0" xfId="0" applyFont="1" applyProtection="1"/>
    <xf numFmtId="0" fontId="0" fillId="0" borderId="0" xfId="0" applyFill="1" applyAlignment="1">
      <alignment horizontal="center" vertical="center"/>
    </xf>
    <xf numFmtId="0" fontId="0" fillId="0" borderId="0" xfId="0" applyFill="1" applyAlignment="1"/>
    <xf numFmtId="0" fontId="0" fillId="0" borderId="0" xfId="0" applyFill="1" applyBorder="1" applyAlignment="1">
      <alignment horizontal="left"/>
    </xf>
    <xf numFmtId="15" fontId="0" fillId="0" borderId="0" xfId="0" applyNumberFormat="1" applyFill="1"/>
    <xf numFmtId="0" fontId="41" fillId="0" borderId="0" xfId="0" applyFont="1" applyAlignment="1">
      <alignment horizontal="left" vertical="top" wrapText="1"/>
    </xf>
    <xf numFmtId="0" fontId="30" fillId="0" borderId="0" xfId="0" applyFont="1" applyAlignment="1">
      <alignment horizontal="left" vertical="top"/>
    </xf>
    <xf numFmtId="0" fontId="10" fillId="0" borderId="0" xfId="0" applyFont="1" applyAlignment="1">
      <alignment horizontal="left" vertical="top" wrapText="1"/>
    </xf>
    <xf numFmtId="0" fontId="10" fillId="0" borderId="0" xfId="0" applyFont="1" applyFill="1" applyAlignment="1">
      <alignment horizontal="left" vertical="top" wrapText="1"/>
    </xf>
    <xf numFmtId="0" fontId="10" fillId="0" borderId="0" xfId="0" applyFont="1" applyFill="1" applyAlignment="1">
      <alignment horizontal="left" wrapText="1"/>
    </xf>
    <xf numFmtId="0" fontId="30" fillId="0" borderId="0" xfId="0" applyFont="1" applyAlignment="1">
      <alignment horizontal="left" wrapText="1"/>
    </xf>
    <xf numFmtId="0" fontId="31" fillId="0" borderId="0" xfId="0" applyFont="1" applyFill="1" applyAlignment="1">
      <alignment horizontal="left"/>
    </xf>
    <xf numFmtId="4" fontId="31" fillId="0" borderId="0" xfId="0" applyNumberFormat="1" applyFont="1" applyAlignment="1">
      <alignment horizontal="right"/>
    </xf>
    <xf numFmtId="183" fontId="31" fillId="0" borderId="0" xfId="0" applyNumberFormat="1" applyFont="1" applyFill="1" applyAlignment="1">
      <alignment horizontal="right"/>
    </xf>
    <xf numFmtId="186" fontId="31" fillId="0" borderId="0" xfId="0" applyNumberFormat="1" applyFont="1" applyAlignment="1">
      <alignment horizontal="right"/>
    </xf>
    <xf numFmtId="177" fontId="31" fillId="0" borderId="0" xfId="0" applyNumberFormat="1" applyFont="1" applyFill="1" applyAlignment="1">
      <alignment horizontal="right"/>
    </xf>
    <xf numFmtId="0" fontId="31" fillId="0" borderId="0" xfId="0" applyFont="1" applyFill="1" applyAlignment="1">
      <alignment horizontal="left" wrapText="1"/>
    </xf>
    <xf numFmtId="0" fontId="31" fillId="0" borderId="0" xfId="0" applyFont="1" applyAlignment="1">
      <alignment horizontal="left" wrapText="1"/>
    </xf>
    <xf numFmtId="0" fontId="31" fillId="0" borderId="0" xfId="0" applyFont="1" applyFill="1" applyAlignment="1">
      <alignment horizontal="right"/>
    </xf>
    <xf numFmtId="0" fontId="20" fillId="0" borderId="0" xfId="0" applyFont="1" applyFill="1" applyAlignment="1">
      <alignment horizontal="left" wrapText="1"/>
    </xf>
    <xf numFmtId="0" fontId="9" fillId="0" borderId="0" xfId="0" applyFont="1" applyFill="1" applyAlignment="1">
      <alignment horizontal="left" vertical="top"/>
    </xf>
    <xf numFmtId="0" fontId="9" fillId="0" borderId="0" xfId="0" applyFont="1" applyFill="1" applyAlignment="1">
      <alignment horizontal="right" vertical="top"/>
    </xf>
    <xf numFmtId="182" fontId="31" fillId="0" borderId="0" xfId="0" applyNumberFormat="1" applyFont="1" applyFill="1" applyAlignment="1">
      <alignment horizontal="right"/>
    </xf>
    <xf numFmtId="0" fontId="41" fillId="0" borderId="0" xfId="0" applyFont="1" applyFill="1" applyAlignment="1">
      <alignment horizontal="left" wrapText="1"/>
    </xf>
    <xf numFmtId="0" fontId="10" fillId="0" borderId="0" xfId="0" applyFont="1" applyFill="1" applyAlignment="1">
      <alignment vertical="top" wrapText="1"/>
    </xf>
    <xf numFmtId="0" fontId="9" fillId="0" borderId="0" xfId="0" applyFont="1" applyFill="1" applyAlignment="1">
      <alignment vertical="top"/>
    </xf>
    <xf numFmtId="0" fontId="31" fillId="0" borderId="0" xfId="0" applyFont="1" applyFill="1" applyAlignment="1">
      <alignment horizontal="left" wrapText="1" indent="2"/>
    </xf>
    <xf numFmtId="0" fontId="31" fillId="0" borderId="0" xfId="0" applyFont="1" applyAlignment="1">
      <alignment horizontal="left" wrapText="1" indent="2"/>
    </xf>
    <xf numFmtId="0" fontId="10" fillId="0" borderId="0" xfId="0" applyFont="1" applyFill="1" applyAlignment="1">
      <alignment horizontal="left" vertical="top"/>
    </xf>
    <xf numFmtId="183" fontId="10" fillId="0" borderId="0" xfId="0" applyNumberFormat="1" applyFont="1" applyFill="1" applyAlignment="1">
      <alignment horizontal="right" vertical="top"/>
    </xf>
    <xf numFmtId="184" fontId="10" fillId="0" borderId="0" xfId="0" applyNumberFormat="1" applyFont="1" applyFill="1" applyAlignment="1">
      <alignment horizontal="right" vertical="top"/>
    </xf>
    <xf numFmtId="0" fontId="31" fillId="0" borderId="0" xfId="0" applyFont="1" applyFill="1" applyAlignment="1">
      <alignment horizontal="left" wrapText="1" indent="6"/>
    </xf>
    <xf numFmtId="0" fontId="31" fillId="0" borderId="0" xfId="0" applyFont="1" applyAlignment="1">
      <alignment horizontal="left" wrapText="1" indent="6"/>
    </xf>
    <xf numFmtId="0" fontId="0" fillId="3" borderId="0" xfId="0" applyFill="1"/>
    <xf numFmtId="9" fontId="0" fillId="0" borderId="0" xfId="6" applyFont="1" applyProtection="1"/>
    <xf numFmtId="177" fontId="0" fillId="0" borderId="10"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0" xfId="0" applyNumberFormat="1" applyFont="1" applyFill="1" applyAlignment="1" applyProtection="1">
      <alignment horizontal="center" vertical="center"/>
    </xf>
    <xf numFmtId="0" fontId="30" fillId="0" borderId="0" xfId="0" applyFont="1" applyFill="1" applyAlignment="1">
      <alignment horizontal="left" wrapText="1"/>
    </xf>
    <xf numFmtId="4" fontId="31" fillId="0" borderId="0" xfId="0" applyNumberFormat="1" applyFont="1" applyFill="1" applyAlignment="1">
      <alignment horizontal="right"/>
    </xf>
    <xf numFmtId="186" fontId="31" fillId="0" borderId="0" xfId="0" applyNumberFormat="1" applyFont="1" applyFill="1" applyAlignment="1">
      <alignment horizontal="right"/>
    </xf>
    <xf numFmtId="187" fontId="0" fillId="0" borderId="0" xfId="1" applyNumberFormat="1" applyFont="1" applyBorder="1"/>
    <xf numFmtId="0" fontId="8" fillId="0" borderId="0" xfId="0" applyFont="1" applyProtection="1"/>
    <xf numFmtId="0" fontId="6" fillId="11" borderId="0" xfId="0" applyFont="1" applyFill="1" applyAlignment="1" applyProtection="1">
      <alignment horizontal="left" wrapText="1"/>
    </xf>
    <xf numFmtId="0" fontId="6" fillId="0" borderId="0" xfId="0" applyFont="1" applyAlignment="1" applyProtection="1">
      <alignment horizontal="center" wrapText="1"/>
    </xf>
    <xf numFmtId="0" fontId="10" fillId="0" borderId="0" xfId="0" applyFont="1" applyAlignment="1" applyProtection="1">
      <alignment horizontal="center"/>
    </xf>
    <xf numFmtId="0" fontId="0" fillId="0" borderId="0" xfId="0" applyFont="1" applyAlignment="1" applyProtection="1">
      <alignment horizontal="center"/>
    </xf>
    <xf numFmtId="0" fontId="0" fillId="0" borderId="0" xfId="0" applyAlignment="1" applyProtection="1">
      <alignment wrapText="1"/>
    </xf>
    <xf numFmtId="3" fontId="0" fillId="4" borderId="41" xfId="0" applyNumberFormat="1" applyFill="1" applyBorder="1" applyProtection="1">
      <protection locked="0"/>
    </xf>
    <xf numFmtId="3" fontId="0" fillId="4" borderId="42" xfId="0" applyNumberFormat="1" applyFill="1" applyBorder="1" applyProtection="1">
      <protection locked="0"/>
    </xf>
    <xf numFmtId="2" fontId="0" fillId="4" borderId="42" xfId="0" applyNumberFormat="1" applyFill="1" applyBorder="1" applyProtection="1">
      <protection locked="0"/>
    </xf>
    <xf numFmtId="179" fontId="0" fillId="4" borderId="42" xfId="0" applyNumberFormat="1" applyFill="1" applyBorder="1" applyProtection="1">
      <protection locked="0"/>
    </xf>
    <xf numFmtId="179" fontId="0" fillId="4" borderId="43" xfId="0" applyNumberFormat="1" applyFill="1" applyBorder="1" applyProtection="1">
      <protection locked="0"/>
    </xf>
    <xf numFmtId="172" fontId="0" fillId="0" borderId="0" xfId="6" applyNumberFormat="1" applyFont="1" applyAlignment="1" applyProtection="1">
      <alignment horizontal="center"/>
    </xf>
    <xf numFmtId="3" fontId="0" fillId="4" borderId="44" xfId="0" applyNumberFormat="1" applyFill="1" applyBorder="1" applyProtection="1">
      <protection locked="0"/>
    </xf>
    <xf numFmtId="3" fontId="0" fillId="4" borderId="45" xfId="0" applyNumberFormat="1" applyFill="1" applyBorder="1" applyProtection="1">
      <protection locked="0"/>
    </xf>
    <xf numFmtId="2" fontId="0" fillId="4" borderId="45" xfId="0" applyNumberFormat="1" applyFill="1" applyBorder="1" applyProtection="1">
      <protection locked="0"/>
    </xf>
    <xf numFmtId="179" fontId="0" fillId="4" borderId="45" xfId="0" applyNumberFormat="1" applyFill="1" applyBorder="1" applyProtection="1">
      <protection locked="0"/>
    </xf>
    <xf numFmtId="179" fontId="0" fillId="4" borderId="46" xfId="0" applyNumberFormat="1" applyFill="1" applyBorder="1" applyProtection="1">
      <protection locked="0"/>
    </xf>
    <xf numFmtId="0" fontId="0" fillId="0" borderId="8" xfId="0" applyBorder="1" applyAlignment="1" applyProtection="1">
      <alignment wrapText="1"/>
    </xf>
    <xf numFmtId="0" fontId="0" fillId="0" borderId="8" xfId="0" applyBorder="1" applyProtection="1"/>
    <xf numFmtId="3" fontId="0" fillId="4" borderId="47" xfId="0" applyNumberFormat="1" applyFill="1" applyBorder="1" applyProtection="1">
      <protection locked="0"/>
    </xf>
    <xf numFmtId="3" fontId="0" fillId="4" borderId="48" xfId="0" applyNumberFormat="1" applyFill="1" applyBorder="1" applyProtection="1">
      <protection locked="0"/>
    </xf>
    <xf numFmtId="2" fontId="0" fillId="4" borderId="48" xfId="0" applyNumberFormat="1" applyFill="1" applyBorder="1" applyProtection="1">
      <protection locked="0"/>
    </xf>
    <xf numFmtId="179" fontId="0" fillId="4" borderId="48" xfId="0" applyNumberFormat="1" applyFill="1" applyBorder="1" applyProtection="1">
      <protection locked="0"/>
    </xf>
    <xf numFmtId="179" fontId="0" fillId="4" borderId="49" xfId="0" applyNumberFormat="1" applyFill="1" applyBorder="1" applyProtection="1">
      <protection locked="0"/>
    </xf>
    <xf numFmtId="172" fontId="0" fillId="0" borderId="8" xfId="6" applyNumberFormat="1" applyFont="1" applyBorder="1" applyAlignment="1" applyProtection="1">
      <alignment horizontal="center"/>
    </xf>
    <xf numFmtId="3" fontId="0" fillId="0" borderId="0" xfId="0" applyNumberFormat="1" applyAlignment="1" applyProtection="1">
      <alignment horizontal="right"/>
    </xf>
    <xf numFmtId="0" fontId="32" fillId="0" borderId="0" xfId="0" applyFont="1" applyAlignment="1" applyProtection="1">
      <alignment horizontal="left" vertical="center" wrapText="1"/>
    </xf>
    <xf numFmtId="178" fontId="0" fillId="0" borderId="0" xfId="0" applyNumberFormat="1" applyAlignment="1" applyProtection="1">
      <alignment horizontal="center"/>
    </xf>
    <xf numFmtId="188" fontId="0" fillId="0" borderId="0" xfId="0" applyNumberFormat="1" applyAlignment="1" applyProtection="1">
      <alignment horizontal="center"/>
    </xf>
    <xf numFmtId="180" fontId="0" fillId="0" borderId="0" xfId="0" applyNumberFormat="1" applyAlignment="1" applyProtection="1">
      <alignment horizontal="center"/>
    </xf>
    <xf numFmtId="178" fontId="0" fillId="0" borderId="8" xfId="0" applyNumberFormat="1" applyBorder="1" applyAlignment="1" applyProtection="1">
      <alignment horizontal="center"/>
    </xf>
    <xf numFmtId="180" fontId="0" fillId="0" borderId="8" xfId="0" applyNumberFormat="1" applyBorder="1" applyAlignment="1" applyProtection="1">
      <alignment horizontal="center"/>
    </xf>
    <xf numFmtId="6" fontId="0" fillId="0" borderId="0" xfId="0" applyNumberFormat="1" applyAlignment="1" applyProtection="1">
      <alignment horizontal="center"/>
    </xf>
    <xf numFmtId="0" fontId="17" fillId="0" borderId="0" xfId="0" applyFont="1" applyAlignment="1" applyProtection="1">
      <alignment horizontal="left" vertical="top" wrapText="1"/>
    </xf>
    <xf numFmtId="0" fontId="6" fillId="14" borderId="0" xfId="16" applyFont="1" applyFill="1" applyAlignment="1" applyProtection="1">
      <alignment horizontal="center" wrapText="1"/>
    </xf>
    <xf numFmtId="187" fontId="0" fillId="0" borderId="0" xfId="0" applyNumberFormat="1"/>
    <xf numFmtId="179" fontId="0" fillId="0" borderId="0" xfId="0" applyNumberFormat="1"/>
    <xf numFmtId="10" fontId="0" fillId="0" borderId="0" xfId="6" applyNumberFormat="1" applyFont="1" applyProtection="1"/>
    <xf numFmtId="3" fontId="0" fillId="0" borderId="0" xfId="0" applyNumberFormat="1" applyProtection="1"/>
    <xf numFmtId="0" fontId="0" fillId="0" borderId="0" xfId="0" applyAlignment="1" applyProtection="1">
      <alignment horizontal="left" vertical="top" wrapText="1"/>
    </xf>
    <xf numFmtId="0" fontId="12" fillId="0" borderId="0" xfId="0" applyFont="1" applyAlignment="1" applyProtection="1">
      <alignment horizontal="left" vertical="top" wrapText="1"/>
    </xf>
    <xf numFmtId="166" fontId="1" fillId="0" borderId="29" xfId="1" applyNumberFormat="1" applyFont="1" applyBorder="1" applyAlignment="1">
      <alignment horizontal="center"/>
    </xf>
    <xf numFmtId="167" fontId="0" fillId="4" borderId="28" xfId="0" applyNumberFormat="1" applyFill="1" applyBorder="1" applyAlignment="1" applyProtection="1">
      <alignment horizontal="center" vertical="center"/>
      <protection locked="0"/>
    </xf>
    <xf numFmtId="165" fontId="21" fillId="15" borderId="0" xfId="1" quotePrefix="1" applyNumberFormat="1" applyFont="1" applyFill="1" applyBorder="1" applyAlignment="1">
      <alignment horizontal="center" wrapText="1"/>
    </xf>
    <xf numFmtId="0" fontId="6" fillId="3" borderId="25" xfId="16" applyFont="1" applyFill="1" applyBorder="1" applyAlignment="1" applyProtection="1">
      <alignment horizontal="center"/>
    </xf>
    <xf numFmtId="0" fontId="6" fillId="2" borderId="25" xfId="16" applyFont="1" applyFill="1" applyBorder="1" applyAlignment="1" applyProtection="1">
      <alignment horizontal="center"/>
      <protection locked="0"/>
    </xf>
    <xf numFmtId="189" fontId="0" fillId="0" borderId="0" xfId="0" applyNumberFormat="1"/>
    <xf numFmtId="0" fontId="2" fillId="0" borderId="0" xfId="0" applyFont="1" applyFill="1" applyAlignment="1">
      <alignment horizontal="center"/>
    </xf>
    <xf numFmtId="175" fontId="2" fillId="0" borderId="0" xfId="0" applyNumberFormat="1" applyFont="1" applyFill="1"/>
    <xf numFmtId="43" fontId="0" fillId="0" borderId="0" xfId="1" applyFont="1" applyFill="1"/>
    <xf numFmtId="0" fontId="31" fillId="0" borderId="0" xfId="0" applyFont="1" applyFill="1" applyAlignment="1">
      <alignment horizontal="left" wrapText="1"/>
    </xf>
    <xf numFmtId="0" fontId="31" fillId="0" borderId="0" xfId="0" applyFont="1" applyAlignment="1">
      <alignment horizontal="left" wrapText="1"/>
    </xf>
    <xf numFmtId="43" fontId="0" fillId="0" borderId="0" xfId="1" applyFont="1" applyProtection="1"/>
    <xf numFmtId="181" fontId="0" fillId="0" borderId="0" xfId="1" applyNumberFormat="1" applyFont="1" applyProtection="1"/>
    <xf numFmtId="43" fontId="0" fillId="0" borderId="0" xfId="0" applyNumberFormat="1" applyProtection="1"/>
    <xf numFmtId="0" fontId="27" fillId="0" borderId="0" xfId="0" applyFont="1" applyFill="1" applyAlignment="1">
      <alignment horizontal="left"/>
    </xf>
    <xf numFmtId="183" fontId="27" fillId="0" borderId="0" xfId="0" applyNumberFormat="1" applyFont="1" applyFill="1" applyAlignment="1">
      <alignment horizontal="right"/>
    </xf>
    <xf numFmtId="0" fontId="31" fillId="0" borderId="0" xfId="0" applyFont="1" applyFill="1" applyAlignment="1">
      <alignment horizontal="left" wrapText="1"/>
    </xf>
    <xf numFmtId="0" fontId="31" fillId="0" borderId="0" xfId="0" applyFont="1" applyAlignment="1">
      <alignment horizontal="left" wrapText="1"/>
    </xf>
    <xf numFmtId="0" fontId="0" fillId="0" borderId="0" xfId="0" applyAlignment="1" applyProtection="1">
      <alignment horizontal="left" vertical="top" wrapText="1"/>
    </xf>
    <xf numFmtId="167" fontId="6" fillId="3" borderId="13" xfId="3" applyNumberFormat="1" applyFont="1" applyFill="1" applyBorder="1" applyAlignment="1" applyProtection="1">
      <alignment horizontal="center" vertical="center" wrapText="1"/>
    </xf>
    <xf numFmtId="167" fontId="6" fillId="3" borderId="16" xfId="3" applyNumberFormat="1" applyFont="1" applyFill="1" applyBorder="1" applyAlignment="1" applyProtection="1">
      <alignment horizontal="center" vertical="center" wrapText="1"/>
    </xf>
    <xf numFmtId="10" fontId="6" fillId="3" borderId="13" xfId="3" applyNumberFormat="1" applyFont="1" applyFill="1" applyBorder="1" applyAlignment="1" applyProtection="1">
      <alignment horizontal="center" vertical="center" wrapText="1"/>
    </xf>
    <xf numFmtId="10" fontId="6" fillId="3" borderId="16" xfId="3" applyNumberFormat="1" applyFont="1" applyFill="1" applyBorder="1" applyAlignment="1" applyProtection="1">
      <alignment horizontal="center" vertical="center" wrapText="1"/>
    </xf>
    <xf numFmtId="0" fontId="6" fillId="3" borderId="14" xfId="3" applyNumberFormat="1" applyFont="1" applyFill="1" applyBorder="1" applyAlignment="1" applyProtection="1">
      <alignment horizontal="center" vertical="center" wrapText="1"/>
    </xf>
    <xf numFmtId="0" fontId="6" fillId="3" borderId="17" xfId="3" applyNumberFormat="1" applyFont="1" applyFill="1" applyBorder="1" applyAlignment="1" applyProtection="1">
      <alignment horizontal="center" vertical="center" wrapText="1"/>
    </xf>
    <xf numFmtId="0" fontId="6" fillId="3" borderId="13" xfId="3" applyNumberFormat="1" applyFont="1" applyFill="1" applyBorder="1" applyAlignment="1" applyProtection="1">
      <alignment horizontal="center" vertical="center" wrapText="1"/>
    </xf>
    <xf numFmtId="0" fontId="6" fillId="3" borderId="28" xfId="3" applyNumberFormat="1" applyFont="1" applyFill="1" applyBorder="1" applyAlignment="1" applyProtection="1">
      <alignment horizontal="center" vertical="center" wrapText="1"/>
    </xf>
    <xf numFmtId="170" fontId="0" fillId="7" borderId="0" xfId="0" applyNumberFormat="1" applyFill="1" applyAlignment="1" applyProtection="1"/>
    <xf numFmtId="170" fontId="0" fillId="7" borderId="19" xfId="0" applyNumberFormat="1" applyFill="1" applyBorder="1" applyAlignment="1" applyProtection="1"/>
    <xf numFmtId="171" fontId="0" fillId="7" borderId="22" xfId="0" applyNumberFormat="1" applyFill="1" applyBorder="1" applyAlignment="1" applyProtection="1"/>
    <xf numFmtId="0" fontId="12" fillId="0" borderId="0" xfId="0" applyFont="1" applyAlignment="1" applyProtection="1">
      <alignment horizontal="left" vertical="top" wrapText="1"/>
    </xf>
    <xf numFmtId="10" fontId="22" fillId="0" borderId="30" xfId="3" applyNumberFormat="1" applyFont="1" applyFill="1" applyBorder="1" applyAlignment="1" applyProtection="1">
      <alignment horizontal="center" vertical="center" wrapText="1"/>
    </xf>
    <xf numFmtId="10" fontId="22" fillId="0" borderId="31" xfId="3" applyNumberFormat="1" applyFont="1" applyFill="1" applyBorder="1" applyAlignment="1" applyProtection="1">
      <alignment horizontal="center" vertical="center" wrapText="1"/>
    </xf>
    <xf numFmtId="0" fontId="6" fillId="0" borderId="0" xfId="4" applyFont="1" applyBorder="1" applyAlignment="1" applyProtection="1">
      <alignment horizontal="right" vertical="center" wrapText="1"/>
    </xf>
    <xf numFmtId="0" fontId="6" fillId="0" borderId="24" xfId="4" applyFont="1" applyBorder="1" applyAlignment="1" applyProtection="1">
      <alignment horizontal="right" vertical="center" wrapText="1"/>
    </xf>
    <xf numFmtId="0" fontId="6" fillId="0" borderId="0" xfId="4" applyFont="1" applyBorder="1" applyAlignment="1" applyProtection="1">
      <alignment horizontal="center" vertical="center" wrapText="1"/>
    </xf>
    <xf numFmtId="0" fontId="6" fillId="0" borderId="24" xfId="4" applyFont="1" applyBorder="1" applyAlignment="1" applyProtection="1">
      <alignment horizontal="center" vertical="center" wrapText="1"/>
    </xf>
    <xf numFmtId="0" fontId="6" fillId="0" borderId="15" xfId="16" applyFont="1" applyFill="1" applyBorder="1" applyAlignment="1" applyProtection="1">
      <alignment horizontal="center" vertical="center" wrapText="1"/>
    </xf>
    <xf numFmtId="0" fontId="6" fillId="14" borderId="0" xfId="16" applyFont="1" applyFill="1" applyAlignment="1" applyProtection="1">
      <alignment horizontal="center" wrapText="1"/>
    </xf>
    <xf numFmtId="0" fontId="17" fillId="0" borderId="0" xfId="0" applyFont="1" applyAlignment="1" applyProtection="1">
      <alignment horizontal="left" vertical="top" wrapText="1"/>
    </xf>
    <xf numFmtId="0" fontId="6" fillId="0" borderId="0" xfId="16" applyFont="1" applyFill="1" applyAlignment="1" applyProtection="1">
      <alignment horizontal="center" wrapText="1"/>
    </xf>
    <xf numFmtId="0" fontId="6" fillId="0" borderId="15" xfId="16" applyFont="1" applyFill="1" applyBorder="1" applyAlignment="1" applyProtection="1">
      <alignment horizontal="right" wrapText="1"/>
    </xf>
    <xf numFmtId="0" fontId="6" fillId="0" borderId="0" xfId="16" applyFont="1" applyFill="1" applyAlignment="1" applyProtection="1">
      <alignment horizontal="right" wrapText="1"/>
    </xf>
    <xf numFmtId="0" fontId="6" fillId="0" borderId="0" xfId="16" applyFont="1" applyBorder="1" applyAlignment="1" applyProtection="1">
      <alignment horizontal="right" vertical="top" indent="2"/>
    </xf>
    <xf numFmtId="0" fontId="2" fillId="12" borderId="30" xfId="0" applyFont="1" applyFill="1" applyBorder="1" applyAlignment="1">
      <alignment horizontal="center"/>
    </xf>
    <xf numFmtId="0" fontId="2" fillId="12" borderId="1" xfId="0" applyFont="1" applyFill="1" applyBorder="1" applyAlignment="1">
      <alignment horizontal="center"/>
    </xf>
    <xf numFmtId="0" fontId="2" fillId="12" borderId="31" xfId="0" applyFont="1" applyFill="1" applyBorder="1" applyAlignment="1">
      <alignment horizontal="center"/>
    </xf>
    <xf numFmtId="0" fontId="2" fillId="12" borderId="2" xfId="0" applyFont="1" applyFill="1" applyBorder="1" applyAlignment="1">
      <alignment horizontal="center"/>
    </xf>
    <xf numFmtId="0" fontId="2" fillId="12" borderId="3" xfId="0" applyFont="1" applyFill="1" applyBorder="1" applyAlignment="1">
      <alignment horizontal="center"/>
    </xf>
    <xf numFmtId="0" fontId="2" fillId="12" borderId="4" xfId="0" applyFont="1" applyFill="1" applyBorder="1" applyAlignment="1">
      <alignment horizontal="center"/>
    </xf>
    <xf numFmtId="0" fontId="24" fillId="0" borderId="0" xfId="0" applyFont="1" applyAlignment="1" applyProtection="1">
      <alignment horizontal="left" vertical="top" wrapText="1"/>
    </xf>
    <xf numFmtId="0" fontId="31" fillId="0" borderId="0" xfId="0" applyFont="1" applyFill="1" applyAlignment="1">
      <alignment horizontal="left" wrapText="1"/>
    </xf>
    <xf numFmtId="0" fontId="0" fillId="0" borderId="0" xfId="0" applyAlignment="1">
      <alignment horizontal="left" wrapText="1"/>
    </xf>
    <xf numFmtId="0" fontId="41" fillId="0" borderId="0" xfId="0" applyFont="1" applyFill="1" applyAlignment="1">
      <alignment horizontal="left" vertical="top" wrapText="1"/>
    </xf>
    <xf numFmtId="0" fontId="30" fillId="0" borderId="0" xfId="0" applyFont="1" applyAlignment="1">
      <alignment horizontal="left" vertical="top"/>
    </xf>
    <xf numFmtId="0" fontId="30" fillId="0" borderId="0" xfId="0" applyFont="1" applyFill="1" applyAlignment="1">
      <alignment horizontal="left" vertical="top" wrapText="1"/>
    </xf>
    <xf numFmtId="0" fontId="31" fillId="0" borderId="0" xfId="0" applyFont="1" applyAlignment="1">
      <alignment horizontal="left" wrapText="1"/>
    </xf>
    <xf numFmtId="0" fontId="10" fillId="0" borderId="0" xfId="0" applyFont="1" applyFill="1" applyAlignment="1">
      <alignment horizontal="left" vertical="top" wrapText="1"/>
    </xf>
    <xf numFmtId="0" fontId="10" fillId="0" borderId="0" xfId="0" applyFont="1" applyFill="1" applyAlignment="1">
      <alignment horizontal="left" wrapText="1"/>
    </xf>
    <xf numFmtId="0" fontId="30" fillId="0" borderId="0" xfId="0" applyFont="1" applyAlignment="1">
      <alignment horizontal="left" wrapText="1"/>
    </xf>
    <xf numFmtId="0" fontId="31" fillId="0" borderId="0" xfId="0" applyFont="1" applyFill="1" applyAlignment="1">
      <alignment horizontal="left" wrapText="1" indent="2"/>
    </xf>
    <xf numFmtId="0" fontId="31" fillId="0" borderId="0" xfId="0" applyFont="1" applyAlignment="1">
      <alignment horizontal="left" wrapText="1" indent="2"/>
    </xf>
    <xf numFmtId="0" fontId="30" fillId="0" borderId="0" xfId="0" applyFont="1" applyAlignment="1">
      <alignment horizontal="left" vertical="top" wrapText="1"/>
    </xf>
    <xf numFmtId="0" fontId="0" fillId="0" borderId="0" xfId="0" applyFill="1" applyAlignment="1">
      <alignment horizontal="left" wrapText="1"/>
    </xf>
    <xf numFmtId="0" fontId="30" fillId="0" borderId="0" xfId="0" applyFont="1" applyFill="1" applyAlignment="1">
      <alignment horizontal="left" wrapText="1"/>
    </xf>
    <xf numFmtId="0" fontId="31" fillId="0" borderId="0" xfId="0" applyFont="1" applyFill="1" applyAlignment="1">
      <alignment horizontal="left" wrapText="1" indent="6"/>
    </xf>
    <xf numFmtId="0" fontId="31" fillId="0" borderId="0" xfId="0" applyFont="1" applyAlignment="1">
      <alignment horizontal="left" wrapText="1" indent="6"/>
    </xf>
    <xf numFmtId="0" fontId="31" fillId="0" borderId="0" xfId="0" applyFont="1" applyFill="1" applyAlignment="1">
      <alignment horizontal="left" vertical="top" wrapText="1"/>
    </xf>
    <xf numFmtId="0" fontId="31" fillId="0" borderId="0" xfId="0" applyFont="1" applyAlignment="1">
      <alignment horizontal="left" vertical="top"/>
    </xf>
    <xf numFmtId="0" fontId="30" fillId="0" borderId="0" xfId="0" applyFont="1" applyFill="1" applyAlignment="1">
      <alignment horizontal="left" vertical="top"/>
    </xf>
    <xf numFmtId="0" fontId="34" fillId="0" borderId="0" xfId="0" applyFont="1" applyFill="1" applyAlignment="1">
      <alignment horizontal="center" vertical="top" wrapText="1"/>
    </xf>
    <xf numFmtId="0" fontId="34" fillId="0" borderId="0" xfId="0" applyFont="1" applyAlignment="1">
      <alignment horizontal="center" vertical="top"/>
    </xf>
    <xf numFmtId="0" fontId="20" fillId="0" borderId="0" xfId="0" applyFont="1" applyFill="1" applyAlignment="1">
      <alignment horizontal="center" vertical="top" wrapText="1"/>
    </xf>
    <xf numFmtId="0" fontId="20" fillId="0" borderId="0" xfId="0" applyFont="1" applyAlignment="1">
      <alignment horizontal="center" vertical="top"/>
    </xf>
    <xf numFmtId="0" fontId="24" fillId="0" borderId="0" xfId="0" applyFont="1" applyFill="1" applyAlignment="1">
      <alignment horizontal="center" vertical="top" wrapText="1"/>
    </xf>
    <xf numFmtId="0" fontId="24" fillId="0" borderId="0" xfId="0" applyFont="1" applyAlignment="1">
      <alignment horizontal="center" vertical="top"/>
    </xf>
    <xf numFmtId="0" fontId="32" fillId="0" borderId="0" xfId="0" applyFont="1" applyFill="1" applyAlignment="1">
      <alignment horizontal="center" vertical="top" wrapText="1"/>
    </xf>
    <xf numFmtId="0" fontId="32" fillId="0" borderId="0" xfId="0" applyFont="1" applyAlignment="1">
      <alignment horizontal="center" vertical="top"/>
    </xf>
    <xf numFmtId="0" fontId="27" fillId="0" borderId="0" xfId="0" applyFont="1" applyFill="1" applyAlignment="1">
      <alignment horizontal="right" vertical="top" wrapText="1"/>
    </xf>
    <xf numFmtId="0" fontId="27" fillId="0" borderId="0" xfId="0" applyFont="1" applyAlignment="1">
      <alignment horizontal="right" vertical="top"/>
    </xf>
    <xf numFmtId="0" fontId="27" fillId="0" borderId="0" xfId="0" applyFont="1" applyFill="1" applyAlignment="1">
      <alignment horizontal="left" wrapText="1"/>
    </xf>
    <xf numFmtId="0" fontId="27" fillId="0" borderId="0" xfId="0" applyFont="1" applyAlignment="1">
      <alignment horizontal="left" wrapText="1"/>
    </xf>
    <xf numFmtId="0" fontId="31" fillId="0" borderId="0" xfId="0" applyFont="1" applyFill="1" applyAlignment="1">
      <alignment horizontal="left" wrapText="1" indent="5"/>
    </xf>
  </cellXfs>
  <cellStyles count="22">
    <cellStyle name="Comma" xfId="1" builtinId="3"/>
    <cellStyle name="Comma 10 2" xfId="13"/>
    <cellStyle name="Comma 2 2" xfId="8"/>
    <cellStyle name="Comma 28" xfId="9"/>
    <cellStyle name="Comma 4" xfId="19"/>
    <cellStyle name="Currency" xfId="5" builtinId="4"/>
    <cellStyle name="Currency 10 4" xfId="11"/>
    <cellStyle name="Currency 15" xfId="10"/>
    <cellStyle name="Currency 2" xfId="18"/>
    <cellStyle name="Currency 3 3" xfId="15"/>
    <cellStyle name="Normal" xfId="0" builtinId="0"/>
    <cellStyle name="Normal 17" xfId="12"/>
    <cellStyle name="Normal 19" xfId="14"/>
    <cellStyle name="Normal 2" xfId="2"/>
    <cellStyle name="Normal 20" xfId="7"/>
    <cellStyle name="Normal_6. Cost Allocation for Def-Var" xfId="3"/>
    <cellStyle name="Normal_9. Rev2Cost_GDPIPI" xfId="20"/>
    <cellStyle name="Normal_Core Model Version 0.1" xfId="17"/>
    <cellStyle name="Normal_Sheet6" xfId="4"/>
    <cellStyle name="Normal_Sheet7" xfId="16"/>
    <cellStyle name="Percent" xfId="6" builtinId="5"/>
    <cellStyle name="Percent 2" xfId="21"/>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1276349</xdr:colOff>
      <xdr:row>10</xdr:row>
      <xdr:rowOff>114300</xdr:rowOff>
    </xdr:to>
    <xdr:grpSp>
      <xdr:nvGrpSpPr>
        <xdr:cNvPr id="2" name="Group 1"/>
        <xdr:cNvGrpSpPr/>
      </xdr:nvGrpSpPr>
      <xdr:grpSpPr>
        <a:xfrm>
          <a:off x="0" y="0"/>
          <a:ext cx="8867774" cy="2019300"/>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3]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605595</xdr:colOff>
      <xdr:row>10</xdr:row>
      <xdr:rowOff>10766</xdr:rowOff>
    </xdr:to>
    <xdr:grpSp>
      <xdr:nvGrpSpPr>
        <xdr:cNvPr id="2" name="Group 1"/>
        <xdr:cNvGrpSpPr/>
      </xdr:nvGrpSpPr>
      <xdr:grpSpPr>
        <a:xfrm>
          <a:off x="0" y="0"/>
          <a:ext cx="10873545"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6</xdr:col>
      <xdr:colOff>529395</xdr:colOff>
      <xdr:row>10</xdr:row>
      <xdr:rowOff>39341</xdr:rowOff>
    </xdr:to>
    <xdr:grpSp>
      <xdr:nvGrpSpPr>
        <xdr:cNvPr id="2" name="Group 1"/>
        <xdr:cNvGrpSpPr/>
      </xdr:nvGrpSpPr>
      <xdr:grpSpPr>
        <a:xfrm>
          <a:off x="0" y="19050"/>
          <a:ext cx="9701970" cy="1925291"/>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0</xdr:colOff>
      <xdr:row>0</xdr:row>
      <xdr:rowOff>19050</xdr:rowOff>
    </xdr:from>
    <xdr:to>
      <xdr:col>6</xdr:col>
      <xdr:colOff>529395</xdr:colOff>
      <xdr:row>10</xdr:row>
      <xdr:rowOff>39341</xdr:rowOff>
    </xdr:to>
    <xdr:grpSp>
      <xdr:nvGrpSpPr>
        <xdr:cNvPr id="8" name="Group 7"/>
        <xdr:cNvGrpSpPr/>
      </xdr:nvGrpSpPr>
      <xdr:grpSpPr>
        <a:xfrm>
          <a:off x="0" y="19050"/>
          <a:ext cx="9701970" cy="1925291"/>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2]1. Information Sheet'!AA1" fLocksText="0">
        <xdr:nvSpPr>
          <xdr:cNvPr id="10" name="TextBox 9"/>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485776</xdr:colOff>
      <xdr:row>10</xdr:row>
      <xdr:rowOff>409575</xdr:rowOff>
    </xdr:from>
    <xdr:to>
      <xdr:col>6</xdr:col>
      <xdr:colOff>723901</xdr:colOff>
      <xdr:row>13</xdr:row>
      <xdr:rowOff>0</xdr:rowOff>
    </xdr:to>
    <xdr:sp macro="" textlink="">
      <xdr:nvSpPr>
        <xdr:cNvPr id="14" name="Right Brace 13"/>
        <xdr:cNvSpPr/>
      </xdr:nvSpPr>
      <xdr:spPr>
        <a:xfrm>
          <a:off x="8543926" y="2314575"/>
          <a:ext cx="1352550" cy="1000125"/>
        </a:xfrm>
        <a:prstGeom prst="rightBrace">
          <a:avLst>
            <a:gd name="adj1" fmla="val 1723"/>
            <a:gd name="adj2" fmla="val 43333"/>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CA" sz="1100"/>
        </a:p>
      </xdr:txBody>
    </xdr:sp>
    <xdr:clientData/>
  </xdr:twoCellAnchor>
  <xdr:twoCellAnchor>
    <xdr:from>
      <xdr:col>5</xdr:col>
      <xdr:colOff>485776</xdr:colOff>
      <xdr:row>10</xdr:row>
      <xdr:rowOff>409575</xdr:rowOff>
    </xdr:from>
    <xdr:to>
      <xdr:col>6</xdr:col>
      <xdr:colOff>723901</xdr:colOff>
      <xdr:row>13</xdr:row>
      <xdr:rowOff>0</xdr:rowOff>
    </xdr:to>
    <xdr:sp macro="" textlink="">
      <xdr:nvSpPr>
        <xdr:cNvPr id="15" name="Right Brace 14"/>
        <xdr:cNvSpPr/>
      </xdr:nvSpPr>
      <xdr:spPr>
        <a:xfrm>
          <a:off x="8543926" y="2314575"/>
          <a:ext cx="1352550" cy="1000125"/>
        </a:xfrm>
        <a:prstGeom prst="rightBrace">
          <a:avLst>
            <a:gd name="adj1" fmla="val 1723"/>
            <a:gd name="adj2" fmla="val 43333"/>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CA"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0</xdr:row>
          <xdr:rowOff>106680</xdr:rowOff>
        </xdr:from>
        <xdr:to>
          <xdr:col>5</xdr:col>
          <xdr:colOff>0</xdr:colOff>
          <xdr:row>2</xdr:row>
          <xdr:rowOff>7620</xdr:rowOff>
        </xdr:to>
        <xdr:sp macro="" textlink="">
          <xdr:nvSpPr>
            <xdr:cNvPr id="32769" name="Button 1" hidden="1">
              <a:extLst>
                <a:ext uri="{63B3BB69-23CF-44E3-9099-C40C66FF867C}">
                  <a14:compatExt spid="_x0000_s32769"/>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en-CA" sz="1100" b="0" i="0" u="none" strike="noStrike" baseline="0">
                  <a:solidFill>
                    <a:srgbClr val="000000"/>
                  </a:solidFill>
                  <a:latin typeface="Calibri"/>
                </a:rPr>
                <a:t>Create Tariff in Separate File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Old\2016_IRM_Rate_Generator_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2016_IRM_RateGen_Model.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Enersource_2015%20IRM%20RatGen_Decision_updated%20for%20201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Support\1595%20Allocation\1595%20Recovery%20Share%20Proportion%20(2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Support\1595%20Allocation\1595%20Recovery%20Share%20Proportion%20(20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Support\1595%20Allocation\1595%20Recovery%20Share%20Proportion%20(20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3.%20Global%20Adjustment%20Rate%20Rider%20Calc.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Rate%20Implementation\2016%20Foregone%20Revenue%20Calculation_based%20on%202014%20B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wasney\AppData\Local\Microsoft\Windows\Temporary%20Internet%20Files\Content.Outlook\PB93Z003\1.%202016_IRM_RateGen_Model_Update%20RTS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2016_IRM_Rate_Generator_Draft"/>
    </sheetNames>
    <definedNames>
      <definedName name="copysheettonew"/>
    </definedNames>
    <sheetDataSet>
      <sheetData sheetId="0">
        <row r="32">
          <cell r="F32">
            <v>2013</v>
          </cell>
        </row>
      </sheetData>
      <sheetData sheetId="1"/>
      <sheetData sheetId="2">
        <row r="19">
          <cell r="B19" t="str">
            <v>RESIDENTIAL</v>
          </cell>
        </row>
        <row r="20">
          <cell r="B20" t="str">
            <v>GENERAL SERVICE LESS THAN 50 KW</v>
          </cell>
        </row>
        <row r="21">
          <cell r="B21" t="str">
            <v>UNMETERED SCATTERED LOAD</v>
          </cell>
        </row>
        <row r="22">
          <cell r="B22" t="str">
            <v>GENERAL SERVICE 50 TO 499 KW</v>
          </cell>
        </row>
        <row r="23">
          <cell r="B23" t="str">
            <v>GENERAL SERVICE 500 TO 4,999 KW</v>
          </cell>
        </row>
        <row r="24">
          <cell r="B24" t="str">
            <v>LARGE USE &gt; 5000 KW</v>
          </cell>
        </row>
        <row r="25">
          <cell r="B25" t="str">
            <v>STREET LIGHTING</v>
          </cell>
        </row>
        <row r="26">
          <cell r="B26" t="str">
            <v>STANDBY DISTRIBUTION SERVICE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0">
          <cell r="G50">
            <v>0</v>
          </cell>
        </row>
      </sheetData>
      <sheetData sheetId="19">
        <row r="53">
          <cell r="B53" t="str">
            <v>Add Extra Host Here (I)</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Z1" t="str">
            <v>Account History</v>
          </cell>
          <cell r="AA1" t="str">
            <v>Account set up charge/change of occupancy charge (plus credit agency costs if applicable)</v>
          </cell>
        </row>
        <row r="2">
          <cell r="L2" t="str">
            <v>Total Loss Factor – Primary Metered Customer</v>
          </cell>
          <cell r="N2" t="str">
            <v>$</v>
          </cell>
          <cell r="P2" t="str">
            <v>$</v>
          </cell>
          <cell r="Z2" t="str">
            <v>Account set up charge/change of occupancy charge</v>
          </cell>
          <cell r="AA2" t="str">
            <v>Administrative Billing Charge</v>
          </cell>
        </row>
        <row r="3">
          <cell r="L3" t="str">
            <v>Total Loss Factor – Primary Metered Customer &lt; 5,000 kW</v>
          </cell>
          <cell r="N3" t="str">
            <v>$/kWh</v>
          </cell>
          <cell r="P3" t="str">
            <v>%</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7">
          <cell r="L7">
            <v>0</v>
          </cell>
          <cell r="Z7">
            <v>0</v>
          </cell>
          <cell r="AA7">
            <v>0</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3">
          <cell r="L13">
            <v>0</v>
          </cell>
          <cell r="Z13">
            <v>0</v>
          </cell>
          <cell r="AA13">
            <v>0</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2016 List"/>
      <sheetName val="3. 2015 Continuity Schedule"/>
      <sheetName val="4. Billing Det. for Def-Var"/>
      <sheetName val="2.1.5 RetailerConsumptionData"/>
      <sheetName val="2.1.5 DistributrConsumptionData"/>
      <sheetName val="2.1.5 TotalConsumptionData"/>
      <sheetName val="212_Total_Connection_RollUp"/>
      <sheetName val="5. Allocating Def-Var Balances"/>
      <sheetName val="6. Calculation of Def-Var RR"/>
      <sheetName val="7. STS - Tax Change"/>
      <sheetName val="8. Shared Tax - Rate Rider"/>
      <sheetName val="9. RTSR Current Rates"/>
      <sheetName val="10. RTSR - UTRs &amp; Sub-Tx"/>
      <sheetName val="11. RTSR - Historical Wholesale"/>
      <sheetName val="12. RTSR - Current Wholesale"/>
      <sheetName val="13. RTSR - Forecast Wholesale"/>
      <sheetName val="14. RTSR Rates to Forecast"/>
      <sheetName val="15. Rev2Cost_GDPIPI"/>
      <sheetName val="16. Additional Rates"/>
      <sheetName val="17. Final Tariff Schedule"/>
      <sheetName val="18. Bill Impacts"/>
      <sheetName val="18. HIDDEN"/>
      <sheetName val="18. Bill Impacts hidden"/>
      <sheetName val="2.1.7 Filing"/>
      <sheetName val="2015 Database"/>
      <sheetName val="lists"/>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09">
          <cell r="F109">
            <v>52258313.548544593</v>
          </cell>
        </row>
        <row r="113">
          <cell r="P113">
            <v>41308711.481527999</v>
          </cell>
        </row>
      </sheetData>
      <sheetData sheetId="18">
        <row r="109">
          <cell r="F109">
            <v>52284779.97782632</v>
          </cell>
        </row>
        <row r="113">
          <cell r="P113">
            <v>41491075.570280433</v>
          </cell>
        </row>
      </sheetData>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s>
    <sheetDataSet>
      <sheetData sheetId="0"/>
      <sheetData sheetId="1"/>
      <sheetData sheetId="2"/>
      <sheetData sheetId="3"/>
      <sheetData sheetId="4"/>
      <sheetData sheetId="5">
        <row r="24">
          <cell r="BC24">
            <v>1628184.2700000007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O2" t="str">
            <v>$/kWh</v>
          </cell>
        </row>
        <row r="3">
          <cell r="O3" t="str">
            <v>$/kW</v>
          </cell>
        </row>
        <row r="4">
          <cell r="O4" t="str">
            <v>$/kVA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95 Continuity Schedule"/>
      <sheetName val="Original Disposition"/>
      <sheetName val="Decision"/>
    </sheetNames>
    <sheetDataSet>
      <sheetData sheetId="0" refreshError="1"/>
      <sheetData sheetId="1">
        <row r="9">
          <cell r="C9">
            <v>0.20753837812209611</v>
          </cell>
          <cell r="E9">
            <v>4.2492429409177496E-2</v>
          </cell>
        </row>
        <row r="10">
          <cell r="C10">
            <v>8.6734675419236476E-2</v>
          </cell>
          <cell r="E10">
            <v>2.4204833512885784E-2</v>
          </cell>
        </row>
        <row r="11">
          <cell r="C11">
            <v>1.5869625638568266E-3</v>
          </cell>
          <cell r="E11">
            <v>9.4154583831375707E-5</v>
          </cell>
        </row>
        <row r="12">
          <cell r="C12">
            <v>0.27703002469256838</v>
          </cell>
          <cell r="E12">
            <v>0.337968063294174</v>
          </cell>
        </row>
        <row r="13">
          <cell r="C13">
            <v>0.28416017721236514</v>
          </cell>
          <cell r="E13">
            <v>0.38819700829702514</v>
          </cell>
        </row>
        <row r="14">
          <cell r="C14">
            <v>0.13781224744632958</v>
          </cell>
          <cell r="E14">
            <v>0.19939718791276362</v>
          </cell>
        </row>
        <row r="15">
          <cell r="C15">
            <v>5.1375345435476314E-3</v>
          </cell>
          <cell r="E15">
            <v>7.6463229901424512E-3</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95 Continuity Schedule"/>
      <sheetName val="Original Disposition"/>
      <sheetName val="COS Application"/>
    </sheetNames>
    <sheetDataSet>
      <sheetData sheetId="0">
        <row r="41">
          <cell r="AA41">
            <v>-118799.60383188442</v>
          </cell>
        </row>
      </sheetData>
      <sheetData sheetId="1">
        <row r="31">
          <cell r="G31">
            <v>3.5751751740337637E-2</v>
          </cell>
          <cell r="J31">
            <v>3.8060064717972623E-2</v>
          </cell>
        </row>
        <row r="32">
          <cell r="G32">
            <v>2.1626177566701064E-2</v>
          </cell>
          <cell r="J32">
            <v>6.3204296678560035E-2</v>
          </cell>
        </row>
        <row r="33">
          <cell r="G33">
            <v>7.9818925067133423E-5</v>
          </cell>
          <cell r="J33">
            <v>-2.2203387591699076E-3</v>
          </cell>
        </row>
        <row r="34">
          <cell r="G34">
            <v>0.34234336961293521</v>
          </cell>
          <cell r="J34">
            <v>0.33808350242436458</v>
          </cell>
        </row>
        <row r="35">
          <cell r="G35">
            <v>0.39908417285738451</v>
          </cell>
          <cell r="J35">
            <v>0.39696718340080761</v>
          </cell>
        </row>
        <row r="36">
          <cell r="G36">
            <v>0.19326394788204282</v>
          </cell>
          <cell r="J36">
            <v>0.20008059922667526</v>
          </cell>
        </row>
        <row r="37">
          <cell r="G37">
            <v>7.8507614155316225E-3</v>
          </cell>
          <cell r="J37">
            <v>-3.4175307689210219E-2</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95 Continuity Schedule"/>
      <sheetName val="Original Disposition"/>
      <sheetName val="1. Billling Det. for Def-Var"/>
      <sheetName val="2. Allocation of Def-Var"/>
      <sheetName val="3. Calculation of Def-Var RR"/>
      <sheetName val="4. GA Calculation of RR"/>
      <sheetName val="5. Summary of Def-Var RR"/>
      <sheetName val="Sheet1"/>
    </sheetNames>
    <sheetDataSet>
      <sheetData sheetId="0">
        <row r="42">
          <cell r="O42">
            <v>432486.7279281271</v>
          </cell>
        </row>
      </sheetData>
      <sheetData sheetId="1">
        <row r="8">
          <cell r="C8">
            <v>0.1934303489100542</v>
          </cell>
          <cell r="L8">
            <v>0.13102030769570161</v>
          </cell>
        </row>
        <row r="9">
          <cell r="C9">
            <v>8.3960740637413739E-2</v>
          </cell>
          <cell r="L9">
            <v>0.10582256431463273</v>
          </cell>
        </row>
        <row r="10">
          <cell r="C10">
            <v>1.424752590513009E-3</v>
          </cell>
          <cell r="L10">
            <v>3.4049791290192028E-4</v>
          </cell>
        </row>
        <row r="11">
          <cell r="C11">
            <v>0.28573908870620507</v>
          </cell>
          <cell r="L11">
            <v>1.3805870333619819</v>
          </cell>
        </row>
        <row r="12">
          <cell r="C12">
            <v>0.29865237088531016</v>
          </cell>
          <cell r="L12">
            <v>-0.50711364320740715</v>
          </cell>
        </row>
        <row r="13">
          <cell r="C13">
            <v>0.13315618831486878</v>
          </cell>
          <cell r="L13">
            <v>-8.6860473848734923E-2</v>
          </cell>
        </row>
        <row r="14">
          <cell r="C14">
            <v>3.6365099556351162E-3</v>
          </cell>
          <cell r="L14">
            <v>-2.3796286229076216E-2</v>
          </cell>
        </row>
      </sheetData>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 Calc 2012"/>
      <sheetName val="Summary"/>
      <sheetName val="GA Calc 2014"/>
      <sheetName val="GA Calc 2013"/>
      <sheetName val="6.3GA COS COP"/>
      <sheetName val="GA Split"/>
      <sheetName val="6.2.GA 2012 Balances"/>
      <sheetName val="Total GA Rev"/>
      <sheetName val="2013 GA Units Billed"/>
      <sheetName val="2014 GA Units Billed"/>
    </sheetNames>
    <sheetDataSet>
      <sheetData sheetId="0"/>
      <sheetData sheetId="1"/>
      <sheetData sheetId="2">
        <row r="9">
          <cell r="C9">
            <v>-246552828.86000001</v>
          </cell>
          <cell r="D9">
            <v>254552255.52000004</v>
          </cell>
          <cell r="F9">
            <v>147392.43188524409</v>
          </cell>
        </row>
        <row r="28">
          <cell r="B28">
            <v>91130678.730000257</v>
          </cell>
          <cell r="E28">
            <v>91130678.730000257</v>
          </cell>
        </row>
        <row r="29">
          <cell r="B29">
            <v>107176499.05999982</v>
          </cell>
          <cell r="E29">
            <v>107176499.05999982</v>
          </cell>
        </row>
        <row r="30">
          <cell r="B30">
            <v>523144.30000000075</v>
          </cell>
          <cell r="E30">
            <v>523144.30000000075</v>
          </cell>
        </row>
        <row r="31">
          <cell r="B31">
            <v>1752642348.2656724</v>
          </cell>
          <cell r="E31">
            <v>5037410.9099356355</v>
          </cell>
        </row>
        <row r="32">
          <cell r="B32">
            <v>1886579901.8248036</v>
          </cell>
          <cell r="E32">
            <v>4290085.9788892148</v>
          </cell>
        </row>
        <row r="33">
          <cell r="B33">
            <v>81732248.567619562</v>
          </cell>
          <cell r="E33">
            <v>161243.07400000002</v>
          </cell>
        </row>
        <row r="34">
          <cell r="B34">
            <v>31923315.475764602</v>
          </cell>
          <cell r="E34">
            <v>90306.301017051665</v>
          </cell>
        </row>
      </sheetData>
      <sheetData sheetId="3">
        <row r="10">
          <cell r="C10">
            <v>-113105826.73999999</v>
          </cell>
          <cell r="D10">
            <v>113739517.21305354</v>
          </cell>
          <cell r="F10">
            <v>23259.090100681195</v>
          </cell>
        </row>
        <row r="11">
          <cell r="C11">
            <v>-133568329.02</v>
          </cell>
          <cell r="D11">
            <v>136096056.68286884</v>
          </cell>
          <cell r="F11">
            <v>92778.173631719692</v>
          </cell>
        </row>
        <row r="17">
          <cell r="B17">
            <v>206668430.17667073</v>
          </cell>
          <cell r="E17">
            <v>491081.30119971244</v>
          </cell>
        </row>
        <row r="18">
          <cell r="B18">
            <v>1476480255.478559</v>
          </cell>
          <cell r="E18">
            <v>3232315.9599467958</v>
          </cell>
        </row>
        <row r="19">
          <cell r="B19">
            <v>81732248.567619562</v>
          </cell>
          <cell r="E19">
            <v>161243.07400000002</v>
          </cell>
        </row>
        <row r="20">
          <cell r="B20">
            <v>31923315.475764602</v>
          </cell>
          <cell r="E20">
            <v>90306.301017051665</v>
          </cell>
        </row>
        <row r="26">
          <cell r="B26">
            <v>91130678.730000257</v>
          </cell>
          <cell r="E26">
            <v>91130678.730000257</v>
          </cell>
        </row>
        <row r="27">
          <cell r="B27">
            <v>107176499.05999982</v>
          </cell>
          <cell r="E27">
            <v>107176499.05999982</v>
          </cell>
        </row>
        <row r="28">
          <cell r="B28">
            <v>523144.30000000075</v>
          </cell>
          <cell r="E28">
            <v>523144.30000000075</v>
          </cell>
        </row>
        <row r="29">
          <cell r="B29">
            <v>1545973918.0890017</v>
          </cell>
          <cell r="E29">
            <v>4546329.6087359227</v>
          </cell>
        </row>
        <row r="30">
          <cell r="B30">
            <v>410099646.34624451</v>
          </cell>
          <cell r="E30">
            <v>1057770.018942419</v>
          </cell>
        </row>
      </sheetData>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IRM Foregone Rev (Base)"/>
      <sheetName val="2016 IRM Riders over 9 months"/>
      <sheetName val="2016 IRM ICM over 10 months"/>
      <sheetName val="Foregone Rev Check"/>
    </sheetNames>
    <sheetDataSet>
      <sheetData sheetId="0">
        <row r="7">
          <cell r="O7">
            <v>0.06</v>
          </cell>
        </row>
        <row r="8">
          <cell r="O8">
            <v>2.0000000000000001E-4</v>
          </cell>
        </row>
        <row r="9">
          <cell r="O9">
            <v>2.9999999999999997E-4</v>
          </cell>
        </row>
        <row r="10">
          <cell r="O10">
            <v>3.1699999999999999E-2</v>
          </cell>
        </row>
        <row r="11">
          <cell r="O11">
            <v>2.63E-2</v>
          </cell>
        </row>
        <row r="12">
          <cell r="O12">
            <v>2.2200000000000001E-2</v>
          </cell>
        </row>
        <row r="13">
          <cell r="O13">
            <v>0.14069999999999999</v>
          </cell>
        </row>
      </sheetData>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2016 List"/>
      <sheetName val="3. 2015 Continuity Schedule"/>
      <sheetName val="4. Billing Det. for Def-Var"/>
      <sheetName val="2.1.5 RetailerConsumptionData"/>
      <sheetName val="2.1.5 DistributrConsumptionData"/>
      <sheetName val="2.1.5 TotalConsumptionData"/>
      <sheetName val="212_Total_Connection_RollUp"/>
      <sheetName val="5. Allocating Def-Var Balances"/>
      <sheetName val="6. Calculation of Def-Var RR"/>
      <sheetName val="7. STS - Tax Change"/>
      <sheetName val="8. Shared Tax - Rate Rider"/>
      <sheetName val="9. RTSR Current Rates"/>
      <sheetName val="10. RTSR - UTRs &amp; Sub-Tx"/>
      <sheetName val="11. RTSR - Historical Wholesale"/>
      <sheetName val="12. RTSR - Current Wholesale"/>
      <sheetName val="13. RTSR - Forecast Wholesale"/>
      <sheetName val="14. RTSR Rates to Forecast"/>
      <sheetName val="15. Rev2Cost_GDPIPI"/>
      <sheetName val="16. Additional Rates"/>
      <sheetName val="17. Final Tariff Schedule"/>
      <sheetName val="18. Bill Impacts"/>
      <sheetName val="18. HIDDEN"/>
      <sheetName val="18. Bill Impacts hidden"/>
      <sheetName val="2.1.7 Filing"/>
      <sheetName val="2015 Database"/>
      <sheetName val="lists"/>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1">
          <cell r="J41">
            <v>7.6979795285856117E-3</v>
          </cell>
        </row>
        <row r="42">
          <cell r="J42">
            <v>7.2227956085606651E-3</v>
          </cell>
        </row>
        <row r="43">
          <cell r="J43">
            <v>2.7819167517318983</v>
          </cell>
        </row>
        <row r="45">
          <cell r="J45">
            <v>2.6914417303723432</v>
          </cell>
        </row>
        <row r="46">
          <cell r="J46">
            <v>2.8720116207297077</v>
          </cell>
        </row>
        <row r="47">
          <cell r="J47">
            <v>7.2227959077614552E-3</v>
          </cell>
        </row>
        <row r="48">
          <cell r="J48">
            <v>1.9264906109964786</v>
          </cell>
        </row>
        <row r="53">
          <cell r="J53">
            <v>6.4253618534697602E-3</v>
          </cell>
        </row>
        <row r="54">
          <cell r="J54">
            <v>5.8035526338812322E-3</v>
          </cell>
        </row>
        <row r="55">
          <cell r="J55">
            <v>2.2758217150040996</v>
          </cell>
        </row>
        <row r="57">
          <cell r="J57">
            <v>2.2269060559693652</v>
          </cell>
        </row>
        <row r="58">
          <cell r="J58">
            <v>2.3784202337203344</v>
          </cell>
        </row>
        <row r="59">
          <cell r="J59">
            <v>5.8035526207134407E-3</v>
          </cell>
        </row>
        <row r="60">
          <cell r="J60">
            <v>1.6456181395317646</v>
          </cell>
        </row>
      </sheetData>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A36"/>
  <sheetViews>
    <sheetView topLeftCell="A10" workbookViewId="0">
      <selection activeCell="B32" sqref="B32:C33"/>
    </sheetView>
  </sheetViews>
  <sheetFormatPr defaultRowHeight="14.4" x14ac:dyDescent="0.3"/>
  <cols>
    <col min="1" max="1" width="43.44140625" customWidth="1"/>
    <col min="2" max="2" width="6.88671875" bestFit="1" customWidth="1"/>
    <col min="3" max="3" width="13.109375" bestFit="1" customWidth="1"/>
    <col min="4" max="4" width="11.88671875" bestFit="1" customWidth="1"/>
    <col min="5" max="7" width="19.33203125" customWidth="1"/>
    <col min="8" max="13" width="17.5546875" customWidth="1"/>
    <col min="14" max="15" width="18" customWidth="1"/>
    <col min="16" max="22" width="14.5546875" customWidth="1"/>
    <col min="23" max="24" width="19.33203125" customWidth="1"/>
    <col min="54" max="54" width="255.6640625" bestFit="1" customWidth="1"/>
  </cols>
  <sheetData>
    <row r="1" spans="1:27" s="2" customFormat="1" ht="15" x14ac:dyDescent="0.25"/>
    <row r="2" spans="1:27" s="2" customFormat="1" ht="15" x14ac:dyDescent="0.25"/>
    <row r="3" spans="1:27" s="2" customFormat="1" ht="15" x14ac:dyDescent="0.25"/>
    <row r="4" spans="1:27" s="2" customFormat="1" ht="15" x14ac:dyDescent="0.25"/>
    <row r="5" spans="1:27" s="2" customFormat="1" ht="15" x14ac:dyDescent="0.25"/>
    <row r="6" spans="1:27" s="2" customFormat="1" ht="15" x14ac:dyDescent="0.25"/>
    <row r="7" spans="1:27" s="2" customFormat="1" ht="15" x14ac:dyDescent="0.25"/>
    <row r="8" spans="1:27" s="2" customFormat="1" ht="15" x14ac:dyDescent="0.25"/>
    <row r="9" spans="1:27" s="2" customFormat="1" ht="15" x14ac:dyDescent="0.25"/>
    <row r="10" spans="1:27" s="2" customFormat="1" ht="15" x14ac:dyDescent="0.25"/>
    <row r="11" spans="1:27" s="2" customFormat="1" ht="15" x14ac:dyDescent="0.25"/>
    <row r="12" spans="1:27" s="2" customFormat="1" ht="15" x14ac:dyDescent="0.25"/>
    <row r="13" spans="1:27" s="2" customFormat="1" ht="32.25" customHeight="1" x14ac:dyDescent="0.25">
      <c r="A13" s="299"/>
      <c r="B13" s="299"/>
      <c r="C13" s="299"/>
      <c r="D13" s="299"/>
      <c r="E13" s="299"/>
      <c r="F13" s="299"/>
      <c r="G13" s="299"/>
      <c r="H13" s="299"/>
      <c r="I13" s="299"/>
      <c r="J13" s="299"/>
      <c r="K13" s="279"/>
      <c r="L13" s="122"/>
      <c r="M13" s="122"/>
      <c r="N13" s="122"/>
      <c r="O13" s="122"/>
      <c r="P13" s="3"/>
      <c r="Q13" s="3"/>
      <c r="R13" s="3"/>
      <c r="S13" s="3"/>
      <c r="T13" s="3"/>
      <c r="U13" s="3"/>
      <c r="V13" s="3"/>
      <c r="W13" s="3"/>
      <c r="X13" s="3"/>
      <c r="Y13" s="3"/>
      <c r="Z13" s="3"/>
      <c r="AA13" s="3"/>
    </row>
    <row r="14" spans="1:27" s="4" customFormat="1" ht="15" customHeight="1" x14ac:dyDescent="0.25">
      <c r="A14" s="2"/>
      <c r="C14" s="5"/>
      <c r="D14" s="5"/>
      <c r="E14" s="5"/>
      <c r="F14" s="5"/>
      <c r="G14" s="5"/>
      <c r="H14" s="5"/>
      <c r="I14" s="5"/>
      <c r="J14" s="5"/>
      <c r="K14" s="5"/>
      <c r="L14" s="5"/>
      <c r="M14" s="5"/>
      <c r="N14" s="5"/>
      <c r="O14" s="5"/>
      <c r="P14" s="5"/>
      <c r="Q14" s="5"/>
      <c r="R14" s="5"/>
      <c r="S14" s="5"/>
      <c r="T14" s="5"/>
      <c r="U14" s="5"/>
      <c r="V14" s="5"/>
      <c r="W14" s="5"/>
      <c r="X14" s="5"/>
      <c r="Y14" s="5"/>
      <c r="Z14" s="5"/>
    </row>
    <row r="15" spans="1:27" s="4" customFormat="1" ht="22.5" customHeight="1" thickBot="1" x14ac:dyDescent="0.35">
      <c r="A15" s="6"/>
      <c r="B15" s="7"/>
      <c r="C15" s="300" t="s">
        <v>428</v>
      </c>
      <c r="D15" s="300" t="s">
        <v>429</v>
      </c>
      <c r="E15" s="300" t="s">
        <v>430</v>
      </c>
      <c r="F15" s="300" t="s">
        <v>431</v>
      </c>
      <c r="G15" s="302" t="s">
        <v>175</v>
      </c>
      <c r="H15" s="302" t="s">
        <v>176</v>
      </c>
      <c r="I15" s="300" t="s">
        <v>177</v>
      </c>
      <c r="J15" s="300" t="s">
        <v>178</v>
      </c>
      <c r="K15" s="302" t="s">
        <v>432</v>
      </c>
      <c r="L15" s="302" t="s">
        <v>181</v>
      </c>
      <c r="M15" s="302" t="s">
        <v>182</v>
      </c>
      <c r="N15" s="300" t="s">
        <v>183</v>
      </c>
      <c r="O15" s="300" t="s">
        <v>184</v>
      </c>
      <c r="P15" s="302" t="s">
        <v>4</v>
      </c>
      <c r="Q15" s="302" t="s">
        <v>5</v>
      </c>
      <c r="R15" s="302" t="s">
        <v>6</v>
      </c>
      <c r="S15" s="302" t="s">
        <v>7</v>
      </c>
      <c r="T15" s="302" t="s">
        <v>8</v>
      </c>
      <c r="U15" s="302" t="s">
        <v>179</v>
      </c>
      <c r="V15" s="302" t="s">
        <v>180</v>
      </c>
      <c r="W15" s="304" t="s">
        <v>9</v>
      </c>
      <c r="X15" s="306" t="s">
        <v>10</v>
      </c>
      <c r="Y15" s="5"/>
      <c r="Z15" s="5"/>
    </row>
    <row r="16" spans="1:27" s="11" customFormat="1" ht="30.75" customHeight="1" thickBot="1" x14ac:dyDescent="0.35">
      <c r="A16" s="8" t="s">
        <v>0</v>
      </c>
      <c r="B16" s="9" t="s">
        <v>11</v>
      </c>
      <c r="C16" s="301"/>
      <c r="D16" s="301"/>
      <c r="E16" s="301"/>
      <c r="F16" s="301"/>
      <c r="G16" s="303"/>
      <c r="H16" s="303"/>
      <c r="I16" s="301"/>
      <c r="J16" s="301"/>
      <c r="K16" s="303"/>
      <c r="L16" s="303"/>
      <c r="M16" s="303"/>
      <c r="N16" s="301"/>
      <c r="O16" s="301"/>
      <c r="P16" s="303"/>
      <c r="Q16" s="303"/>
      <c r="R16" s="303"/>
      <c r="S16" s="303"/>
      <c r="T16" s="303"/>
      <c r="U16" s="303"/>
      <c r="V16" s="303"/>
      <c r="W16" s="305"/>
      <c r="X16" s="307"/>
      <c r="Y16" s="10"/>
      <c r="Z16" s="10"/>
    </row>
    <row r="17" spans="1:25" s="2" customFormat="1" ht="15.75" thickBot="1" x14ac:dyDescent="0.3">
      <c r="A17" s="2" t="s">
        <v>12</v>
      </c>
      <c r="B17" s="12" t="s">
        <v>13</v>
      </c>
      <c r="C17" s="16">
        <v>1469096846.7337606</v>
      </c>
      <c r="D17" s="16"/>
      <c r="E17" s="16">
        <v>91130678.730000257</v>
      </c>
      <c r="F17" s="16">
        <v>0</v>
      </c>
      <c r="G17" s="16"/>
      <c r="H17" s="16"/>
      <c r="I17" s="16">
        <f>C17-G17</f>
        <v>1469096846.7337606</v>
      </c>
      <c r="J17" s="16">
        <f>D17-H17</f>
        <v>0</v>
      </c>
      <c r="K17" s="16"/>
      <c r="L17" s="16"/>
      <c r="M17" s="16"/>
      <c r="N17" s="16">
        <f>E17-L17</f>
        <v>91130678.730000257</v>
      </c>
      <c r="O17" s="16">
        <f>F17-M17</f>
        <v>0</v>
      </c>
      <c r="P17" s="16"/>
      <c r="Q17" s="16"/>
      <c r="R17" s="17"/>
      <c r="S17" s="17"/>
      <c r="T17" s="17"/>
      <c r="U17" s="128"/>
      <c r="V17" s="128"/>
      <c r="W17" s="37">
        <f>-429021.62*0</f>
        <v>0</v>
      </c>
      <c r="X17" s="14">
        <v>179407</v>
      </c>
      <c r="Y17" s="232">
        <f>X17/(X17+X18)</f>
        <v>0.90940748888629808</v>
      </c>
    </row>
    <row r="18" spans="1:25" s="2" customFormat="1" ht="15.75" thickBot="1" x14ac:dyDescent="0.3">
      <c r="A18" s="2" t="s">
        <v>14</v>
      </c>
      <c r="B18" s="15" t="s">
        <v>13</v>
      </c>
      <c r="C18" s="16">
        <v>647112057.82811737</v>
      </c>
      <c r="D18" s="16"/>
      <c r="E18" s="13">
        <v>107176499.05999982</v>
      </c>
      <c r="F18" s="13">
        <v>0</v>
      </c>
      <c r="G18" s="13"/>
      <c r="H18" s="13"/>
      <c r="I18" s="16">
        <f t="shared" ref="I18:I23" si="0">C18-G18</f>
        <v>647112057.82811737</v>
      </c>
      <c r="J18" s="16">
        <f t="shared" ref="J18:J23" si="1">D18-H18</f>
        <v>0</v>
      </c>
      <c r="K18" s="16"/>
      <c r="L18" s="16"/>
      <c r="M18" s="16"/>
      <c r="N18" s="16">
        <f t="shared" ref="N18:N24" si="2">E18-L18</f>
        <v>107176499.05999982</v>
      </c>
      <c r="O18" s="16">
        <f t="shared" ref="O18:O24" si="3">F18-M18</f>
        <v>0</v>
      </c>
      <c r="P18" s="17"/>
      <c r="Q18" s="17"/>
      <c r="R18" s="17"/>
      <c r="S18" s="17"/>
      <c r="T18" s="17"/>
      <c r="U18" s="128"/>
      <c r="V18" s="128"/>
      <c r="W18" s="37">
        <f>-43111.8*0</f>
        <v>0</v>
      </c>
      <c r="X18" s="14">
        <v>17872</v>
      </c>
      <c r="Y18" s="232">
        <f>X18/(X18+X17)</f>
        <v>9.059251111370191E-2</v>
      </c>
    </row>
    <row r="19" spans="1:25" s="2" customFormat="1" ht="15.75" thickBot="1" x14ac:dyDescent="0.3">
      <c r="A19" s="2" t="s">
        <v>16</v>
      </c>
      <c r="B19" s="15" t="s">
        <v>17</v>
      </c>
      <c r="C19" s="16">
        <v>2104160254.6192284</v>
      </c>
      <c r="D19" s="16">
        <v>6035820.8381782649</v>
      </c>
      <c r="E19" s="13">
        <v>1752950268.2581725</v>
      </c>
      <c r="F19" s="13">
        <v>5050206.8599356348</v>
      </c>
      <c r="G19" s="127">
        <v>307920</v>
      </c>
      <c r="H19" s="127">
        <v>12796</v>
      </c>
      <c r="I19" s="16">
        <f t="shared" si="0"/>
        <v>2103852334.6192284</v>
      </c>
      <c r="J19" s="16">
        <f t="shared" si="1"/>
        <v>6023024.8381782649</v>
      </c>
      <c r="K19" s="16"/>
      <c r="L19" s="127">
        <f>307920*0</f>
        <v>0</v>
      </c>
      <c r="M19" s="127">
        <f>12796*0</f>
        <v>0</v>
      </c>
      <c r="N19" s="16">
        <f t="shared" si="2"/>
        <v>1752950268.2581725</v>
      </c>
      <c r="O19" s="16">
        <f t="shared" si="3"/>
        <v>5050206.8599356348</v>
      </c>
      <c r="P19" s="17"/>
      <c r="Q19" s="17"/>
      <c r="R19" s="17"/>
      <c r="S19" s="17"/>
      <c r="T19" s="17"/>
      <c r="U19" s="128"/>
      <c r="V19" s="128"/>
      <c r="W19" s="37">
        <f>1421303.08*0</f>
        <v>0</v>
      </c>
    </row>
    <row r="20" spans="1:25" s="2" customFormat="1" ht="15.75" thickBot="1" x14ac:dyDescent="0.3">
      <c r="A20" s="2" t="s">
        <v>18</v>
      </c>
      <c r="B20" s="15" t="s">
        <v>17</v>
      </c>
      <c r="C20" s="16">
        <v>2087036249.59586</v>
      </c>
      <c r="D20" s="16">
        <v>4709431.8067152184</v>
      </c>
      <c r="E20" s="13">
        <v>1904049776.5186565</v>
      </c>
      <c r="F20" s="13">
        <v>4321176.1688892152</v>
      </c>
      <c r="G20" s="127">
        <v>17469875</v>
      </c>
      <c r="H20" s="127">
        <v>31090</v>
      </c>
      <c r="I20" s="16">
        <f t="shared" si="0"/>
        <v>2069566374.59586</v>
      </c>
      <c r="J20" s="16">
        <f t="shared" si="1"/>
        <v>4678341.8067152184</v>
      </c>
      <c r="K20" s="16"/>
      <c r="L20" s="127">
        <f>17469875*0</f>
        <v>0</v>
      </c>
      <c r="M20" s="127">
        <f>31090*0</f>
        <v>0</v>
      </c>
      <c r="N20" s="16">
        <f t="shared" si="2"/>
        <v>1904049776.5186565</v>
      </c>
      <c r="O20" s="16">
        <f t="shared" si="3"/>
        <v>4321176.1688892152</v>
      </c>
      <c r="P20" s="17"/>
      <c r="Q20" s="17"/>
      <c r="R20" s="17"/>
      <c r="S20" s="17"/>
      <c r="T20" s="17"/>
      <c r="U20" s="128"/>
      <c r="V20" s="128"/>
      <c r="W20" s="37">
        <f>313998.93*0</f>
        <v>0</v>
      </c>
    </row>
    <row r="21" spans="1:25" s="2" customFormat="1" ht="15.75" thickBot="1" x14ac:dyDescent="0.3">
      <c r="A21" s="2" t="s">
        <v>19</v>
      </c>
      <c r="B21" s="15" t="s">
        <v>17</v>
      </c>
      <c r="C21" s="16">
        <v>1002165608.5676196</v>
      </c>
      <c r="D21" s="16">
        <v>1741184.6735238209</v>
      </c>
      <c r="E21" s="13">
        <v>1002165608.5676196</v>
      </c>
      <c r="F21" s="13">
        <v>1741184.6735238209</v>
      </c>
      <c r="G21" s="13"/>
      <c r="H21" s="13"/>
      <c r="I21" s="16">
        <f t="shared" si="0"/>
        <v>1002165608.5676196</v>
      </c>
      <c r="J21" s="16">
        <f t="shared" si="1"/>
        <v>1741184.6735238209</v>
      </c>
      <c r="K21" s="16"/>
      <c r="L21" s="16">
        <v>920433360.31518149</v>
      </c>
      <c r="M21" s="16">
        <v>1579942</v>
      </c>
      <c r="N21" s="16">
        <f>E21-L21</f>
        <v>81732248.252438068</v>
      </c>
      <c r="O21" s="16">
        <f t="shared" si="3"/>
        <v>161242.67352382094</v>
      </c>
      <c r="P21" s="17"/>
      <c r="Q21" s="17"/>
      <c r="R21" s="17"/>
      <c r="S21" s="17"/>
      <c r="T21" s="17"/>
      <c r="U21" s="128"/>
      <c r="V21" s="128"/>
      <c r="W21" s="37">
        <f>-38746.2*0</f>
        <v>0</v>
      </c>
    </row>
    <row r="22" spans="1:25" s="2" customFormat="1" ht="15.75" thickBot="1" x14ac:dyDescent="0.3">
      <c r="A22" s="2" t="s">
        <v>15</v>
      </c>
      <c r="B22" s="15" t="s">
        <v>13</v>
      </c>
      <c r="C22" s="16">
        <v>11501822.442284448</v>
      </c>
      <c r="D22" s="16"/>
      <c r="E22" s="13">
        <v>523144.30000000075</v>
      </c>
      <c r="F22" s="13">
        <v>0</v>
      </c>
      <c r="G22" s="13"/>
      <c r="H22" s="13"/>
      <c r="I22" s="16">
        <f t="shared" si="0"/>
        <v>11501822.442284448</v>
      </c>
      <c r="J22" s="16">
        <f t="shared" si="1"/>
        <v>0</v>
      </c>
      <c r="K22" s="16"/>
      <c r="L22" s="16"/>
      <c r="M22" s="16"/>
      <c r="N22" s="16">
        <f t="shared" si="2"/>
        <v>523144.30000000075</v>
      </c>
      <c r="O22" s="16">
        <f t="shared" si="3"/>
        <v>0</v>
      </c>
      <c r="P22" s="17"/>
      <c r="Q22" s="17"/>
      <c r="R22" s="17"/>
      <c r="S22" s="17"/>
      <c r="T22" s="17"/>
      <c r="U22" s="128"/>
      <c r="V22" s="128"/>
      <c r="W22" s="37">
        <v>0</v>
      </c>
    </row>
    <row r="23" spans="1:25" s="2" customFormat="1" ht="15.75" thickBot="1" x14ac:dyDescent="0.3">
      <c r="A23" s="2" t="s">
        <v>20</v>
      </c>
      <c r="B23" s="15" t="s">
        <v>17</v>
      </c>
      <c r="C23" s="16">
        <v>31923315.475764602</v>
      </c>
      <c r="D23" s="16">
        <v>90306.301017051665</v>
      </c>
      <c r="E23" s="13">
        <v>31923315.475764602</v>
      </c>
      <c r="F23" s="13">
        <v>90306.301017051665</v>
      </c>
      <c r="G23" s="13"/>
      <c r="H23" s="13"/>
      <c r="I23" s="16">
        <f t="shared" si="0"/>
        <v>31923315.475764602</v>
      </c>
      <c r="J23" s="16">
        <f t="shared" si="1"/>
        <v>90306.301017051665</v>
      </c>
      <c r="K23" s="16"/>
      <c r="L23" s="16"/>
      <c r="M23" s="16"/>
      <c r="N23" s="16">
        <f t="shared" si="2"/>
        <v>31923315.475764602</v>
      </c>
      <c r="O23" s="16">
        <f t="shared" si="3"/>
        <v>90306.301017051665</v>
      </c>
      <c r="P23" s="17"/>
      <c r="Q23" s="17"/>
      <c r="R23" s="17"/>
      <c r="S23" s="17"/>
      <c r="T23" s="17"/>
      <c r="U23" s="128"/>
      <c r="V23" s="128"/>
      <c r="W23" s="37">
        <f>-1142706.38*0</f>
        <v>0</v>
      </c>
    </row>
    <row r="24" spans="1:25" s="2" customFormat="1" ht="15.75" thickBot="1" x14ac:dyDescent="0.3">
      <c r="A24" s="2" t="s">
        <v>21</v>
      </c>
      <c r="B24" s="19"/>
      <c r="C24" s="20"/>
      <c r="D24" s="20"/>
      <c r="E24" s="20"/>
      <c r="F24" s="20">
        <v>0</v>
      </c>
      <c r="G24" s="20"/>
      <c r="H24" s="20"/>
      <c r="I24" s="20"/>
      <c r="J24" s="20"/>
      <c r="K24" s="20"/>
      <c r="L24" s="20"/>
      <c r="M24" s="20"/>
      <c r="N24" s="16">
        <f t="shared" si="2"/>
        <v>0</v>
      </c>
      <c r="O24" s="16">
        <f t="shared" si="3"/>
        <v>0</v>
      </c>
      <c r="P24" s="21"/>
      <c r="Q24" s="21"/>
      <c r="R24" s="21"/>
      <c r="S24" s="21"/>
      <c r="T24" s="17"/>
      <c r="U24" s="128"/>
      <c r="V24" s="128"/>
      <c r="W24" s="18"/>
    </row>
    <row r="25" spans="1:25" s="2" customFormat="1" ht="15" x14ac:dyDescent="0.25">
      <c r="A25" s="2" t="s">
        <v>22</v>
      </c>
      <c r="B25" s="22"/>
      <c r="C25" s="23"/>
      <c r="D25" s="23"/>
      <c r="E25" s="23"/>
      <c r="F25" s="23"/>
      <c r="G25" s="23"/>
      <c r="H25" s="23"/>
      <c r="I25" s="23"/>
      <c r="J25" s="23"/>
      <c r="K25" s="23"/>
      <c r="L25" s="23"/>
      <c r="M25" s="23"/>
      <c r="N25" s="23"/>
      <c r="O25" s="23"/>
      <c r="P25" s="24"/>
      <c r="Q25" s="24"/>
      <c r="R25" s="24"/>
      <c r="S25" s="24"/>
      <c r="T25" s="24"/>
      <c r="U25" s="24"/>
      <c r="V25" s="24"/>
      <c r="W25" s="25"/>
      <c r="X25" s="26"/>
    </row>
    <row r="26" spans="1:25" s="2" customFormat="1" ht="15" x14ac:dyDescent="0.25">
      <c r="H26" s="4"/>
      <c r="I26" s="4"/>
      <c r="J26" s="4"/>
      <c r="K26" s="4"/>
      <c r="L26" s="4"/>
      <c r="M26" s="4"/>
      <c r="N26" s="4"/>
      <c r="O26" s="4"/>
    </row>
    <row r="27" spans="1:25" s="2" customFormat="1" ht="15.75" thickBot="1" x14ac:dyDescent="0.3">
      <c r="B27" s="27" t="s">
        <v>3</v>
      </c>
      <c r="C27" s="28">
        <f>SUM(C17:C25)</f>
        <v>7352996155.2626343</v>
      </c>
      <c r="D27" s="28">
        <f t="shared" ref="D27:X27" si="4">SUM(D17:D25)</f>
        <v>12576743.619434355</v>
      </c>
      <c r="E27" s="28">
        <f t="shared" si="4"/>
        <v>4889919290.9102125</v>
      </c>
      <c r="F27" s="28">
        <f t="shared" si="4"/>
        <v>11202874.003365723</v>
      </c>
      <c r="G27" s="28">
        <f t="shared" si="4"/>
        <v>17777795</v>
      </c>
      <c r="H27" s="28">
        <f t="shared" si="4"/>
        <v>43886</v>
      </c>
      <c r="I27" s="28">
        <f t="shared" si="4"/>
        <v>7335218360.2626343</v>
      </c>
      <c r="J27" s="28">
        <f t="shared" si="4"/>
        <v>12532857.619434355</v>
      </c>
      <c r="K27" s="28">
        <f>SUM(K17:K24)</f>
        <v>0</v>
      </c>
      <c r="L27" s="28">
        <f t="shared" si="4"/>
        <v>920433360.31518149</v>
      </c>
      <c r="M27" s="28">
        <f t="shared" si="4"/>
        <v>1579942</v>
      </c>
      <c r="N27" s="28">
        <f t="shared" si="4"/>
        <v>3969485930.5950317</v>
      </c>
      <c r="O27" s="28">
        <f t="shared" si="4"/>
        <v>9622932.0033657234</v>
      </c>
      <c r="P27" s="29">
        <f t="shared" si="4"/>
        <v>0</v>
      </c>
      <c r="Q27" s="29">
        <f t="shared" si="4"/>
        <v>0</v>
      </c>
      <c r="R27" s="29">
        <f t="shared" si="4"/>
        <v>0</v>
      </c>
      <c r="S27" s="29">
        <f t="shared" si="4"/>
        <v>0</v>
      </c>
      <c r="T27" s="29">
        <f t="shared" si="4"/>
        <v>0</v>
      </c>
      <c r="U27" s="29">
        <f t="shared" si="4"/>
        <v>0</v>
      </c>
      <c r="V27" s="29">
        <f t="shared" si="4"/>
        <v>0</v>
      </c>
      <c r="W27" s="28">
        <f t="shared" si="4"/>
        <v>0</v>
      </c>
      <c r="X27" s="28">
        <f t="shared" si="4"/>
        <v>197279</v>
      </c>
    </row>
    <row r="28" spans="1:25" s="2" customFormat="1" ht="15.75" thickTop="1" x14ac:dyDescent="0.25">
      <c r="T28" s="30"/>
      <c r="U28" s="30"/>
      <c r="V28" s="30"/>
      <c r="W28" s="31"/>
    </row>
    <row r="29" spans="1:25" s="2" customFormat="1" ht="15" x14ac:dyDescent="0.25">
      <c r="T29" s="30"/>
      <c r="U29" s="30"/>
      <c r="V29" s="30"/>
      <c r="W29" s="31"/>
    </row>
    <row r="30" spans="1:25" s="2" customFormat="1" ht="15" x14ac:dyDescent="0.25"/>
    <row r="31" spans="1:25" s="2" customFormat="1" ht="21" x14ac:dyDescent="0.25">
      <c r="A31" s="32" t="s">
        <v>23</v>
      </c>
    </row>
    <row r="32" spans="1:25" s="2" customFormat="1" ht="15.75" thickBot="1" x14ac:dyDescent="0.3">
      <c r="A32" s="33" t="s">
        <v>24</v>
      </c>
      <c r="B32" s="308">
        <v>10716154.642009998</v>
      </c>
      <c r="C32" s="308"/>
    </row>
    <row r="33" spans="1:16" s="2" customFormat="1" ht="30.75" thickBot="1" x14ac:dyDescent="0.3">
      <c r="A33" s="33" t="s">
        <v>25</v>
      </c>
      <c r="B33" s="309">
        <v>10634438.582369998</v>
      </c>
      <c r="C33" s="309"/>
      <c r="D33" s="38"/>
      <c r="H33" s="33"/>
      <c r="I33" s="123"/>
      <c r="J33" s="123"/>
      <c r="K33" s="280"/>
      <c r="L33" s="123"/>
      <c r="M33" s="123"/>
      <c r="N33" s="123"/>
      <c r="O33" s="123"/>
    </row>
    <row r="34" spans="1:16" s="2" customFormat="1" ht="17.25" x14ac:dyDescent="0.25">
      <c r="A34" s="34" t="s">
        <v>26</v>
      </c>
      <c r="B34" s="310">
        <f>IF(ISERROR(B33/C27), 0, B33/C27)</f>
        <v>1.4462728332529852E-3</v>
      </c>
      <c r="C34" s="310"/>
      <c r="D34" s="311" t="str">
        <f>IF(AND(B34&gt;-0.001,B34&lt;0.001),"Claim does not meet the threshold test.","")</f>
        <v/>
      </c>
      <c r="E34" s="299"/>
      <c r="F34" s="299"/>
      <c r="G34" s="299"/>
      <c r="H34" s="299"/>
      <c r="I34" s="299"/>
      <c r="J34" s="299"/>
      <c r="K34" s="299"/>
      <c r="L34" s="299"/>
      <c r="M34" s="299"/>
      <c r="N34" s="299"/>
      <c r="O34" s="299"/>
      <c r="P34" s="299"/>
    </row>
    <row r="35" spans="1:16" s="2" customFormat="1" ht="15.75" thickBot="1" x14ac:dyDescent="0.3">
      <c r="D35" s="33"/>
      <c r="E35" s="33"/>
      <c r="F35" s="33"/>
      <c r="G35" s="123"/>
    </row>
    <row r="36" spans="1:16" s="2" customFormat="1" ht="90.9" customHeight="1" thickBot="1" x14ac:dyDescent="0.3">
      <c r="A36" s="35" t="str">
        <f>IF(AND(B34&gt;-0.001, B34&lt;0.001), BB1, "")</f>
        <v/>
      </c>
      <c r="C36" s="36" t="s">
        <v>27</v>
      </c>
    </row>
  </sheetData>
  <mergeCells count="27">
    <mergeCell ref="B32:C32"/>
    <mergeCell ref="B33:C33"/>
    <mergeCell ref="B34:C34"/>
    <mergeCell ref="D34:P34"/>
    <mergeCell ref="Q15:Q16"/>
    <mergeCell ref="P15:P16"/>
    <mergeCell ref="L15:L16"/>
    <mergeCell ref="M15:M16"/>
    <mergeCell ref="N15:N16"/>
    <mergeCell ref="O15:O16"/>
    <mergeCell ref="K15:K16"/>
    <mergeCell ref="R15:R16"/>
    <mergeCell ref="S15:S16"/>
    <mergeCell ref="T15:T16"/>
    <mergeCell ref="W15:W16"/>
    <mergeCell ref="X15:X16"/>
    <mergeCell ref="U15:U16"/>
    <mergeCell ref="V15:V16"/>
    <mergeCell ref="A13:J13"/>
    <mergeCell ref="E15:E16"/>
    <mergeCell ref="F15:F16"/>
    <mergeCell ref="H15:H16"/>
    <mergeCell ref="G15:G16"/>
    <mergeCell ref="I15:I16"/>
    <mergeCell ref="J15:J16"/>
    <mergeCell ref="C15:C16"/>
    <mergeCell ref="D15:D16"/>
  </mergeCells>
  <dataValidations count="3">
    <dataValidation type="list" allowBlank="1" showInputMessage="1" showErrorMessage="1" sqref="C36">
      <formula1>"YES, NO"</formula1>
    </dataValidation>
    <dataValidation type="list" allowBlank="1" showInputMessage="1" showErrorMessage="1" sqref="B17:B24">
      <formula1>Units1</formula1>
    </dataValidation>
    <dataValidation allowBlank="1" showInputMessage="1" showErrorMessage="1" sqref="B25:W25"/>
  </dataValidations>
  <pageMargins left="0.7" right="0.7" top="0.75" bottom="0.75" header="0.3" footer="0.3"/>
  <pageSetup paperSize="5" scale="1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V92"/>
  <sheetViews>
    <sheetView topLeftCell="G1" workbookViewId="0">
      <selection activeCell="J9" sqref="J9:O9"/>
    </sheetView>
  </sheetViews>
  <sheetFormatPr defaultRowHeight="14.4" x14ac:dyDescent="0.3"/>
  <cols>
    <col min="1" max="1" width="63.33203125" bestFit="1" customWidth="1"/>
    <col min="2" max="2" width="6.88671875" bestFit="1" customWidth="1"/>
    <col min="3" max="3" width="14.88671875" customWidth="1"/>
    <col min="4" max="4" width="11.109375" customWidth="1"/>
    <col min="5" max="5" width="18" customWidth="1"/>
    <col min="6" max="6" width="12.44140625" customWidth="1"/>
    <col min="7" max="13" width="14.6640625" customWidth="1"/>
    <col min="14" max="22" width="15.5546875" customWidth="1"/>
  </cols>
  <sheetData>
    <row r="1" spans="1:22" ht="20.25" x14ac:dyDescent="0.3">
      <c r="A1" s="39" t="s">
        <v>29</v>
      </c>
      <c r="B1" s="40"/>
      <c r="C1" s="41"/>
      <c r="D1" s="41"/>
      <c r="E1" s="41"/>
      <c r="F1" s="41"/>
      <c r="G1" s="41"/>
      <c r="H1" s="41"/>
      <c r="I1" s="41"/>
      <c r="J1" s="41"/>
      <c r="K1" s="41"/>
    </row>
    <row r="2" spans="1:22" ht="20.25" x14ac:dyDescent="0.25">
      <c r="A2" s="39" t="s">
        <v>60</v>
      </c>
      <c r="B2" s="42"/>
      <c r="C2" s="41"/>
      <c r="D2" s="41"/>
      <c r="E2" s="41"/>
      <c r="F2" s="41"/>
      <c r="G2" s="41"/>
      <c r="H2" s="41"/>
      <c r="I2" s="41"/>
      <c r="J2" s="41"/>
      <c r="K2" s="41"/>
    </row>
    <row r="3" spans="1:22" ht="20.25" x14ac:dyDescent="0.3">
      <c r="A3" s="43" t="s">
        <v>41</v>
      </c>
      <c r="B3" s="40"/>
      <c r="C3" s="41"/>
      <c r="D3" s="41"/>
      <c r="E3" s="41"/>
      <c r="F3" s="41"/>
      <c r="G3" s="41"/>
      <c r="H3" s="41"/>
      <c r="I3" s="41"/>
      <c r="J3" s="41"/>
      <c r="K3" s="41"/>
    </row>
    <row r="4" spans="1:22" ht="20.25" x14ac:dyDescent="0.3">
      <c r="A4" s="43" t="s">
        <v>30</v>
      </c>
      <c r="B4" s="41"/>
      <c r="C4" s="41"/>
      <c r="D4" s="41"/>
      <c r="E4" s="41"/>
      <c r="F4" s="41"/>
      <c r="G4" s="41"/>
      <c r="H4" s="41"/>
      <c r="I4" s="41"/>
      <c r="J4" s="41"/>
      <c r="K4" s="41"/>
    </row>
    <row r="5" spans="1:22" ht="15" x14ac:dyDescent="0.25">
      <c r="B5" s="41"/>
      <c r="C5" s="44"/>
      <c r="D5" s="41"/>
      <c r="E5" s="41"/>
      <c r="F5" s="41"/>
      <c r="G5" s="41"/>
      <c r="H5" s="41"/>
      <c r="I5" s="41"/>
      <c r="J5" s="41"/>
      <c r="K5" s="41"/>
    </row>
    <row r="6" spans="1:22" ht="18.75" x14ac:dyDescent="0.3">
      <c r="A6" s="45"/>
      <c r="B6" s="41"/>
      <c r="C6" s="41"/>
      <c r="D6" s="41"/>
      <c r="E6" s="41"/>
      <c r="F6" s="41"/>
      <c r="G6" s="41"/>
      <c r="H6" s="41"/>
      <c r="I6" s="41"/>
      <c r="J6" s="41"/>
      <c r="K6" s="41"/>
    </row>
    <row r="7" spans="1:22" ht="15" x14ac:dyDescent="0.25">
      <c r="B7" s="41"/>
      <c r="C7" s="41"/>
      <c r="D7" s="41"/>
      <c r="E7" s="41"/>
      <c r="F7" s="41"/>
      <c r="G7" s="41"/>
      <c r="H7" s="41"/>
      <c r="I7" s="41"/>
      <c r="J7" s="41"/>
      <c r="K7" s="41"/>
    </row>
    <row r="8" spans="1:22" ht="35.25" customHeight="1" x14ac:dyDescent="0.45">
      <c r="A8" s="161" t="s">
        <v>31</v>
      </c>
      <c r="B8" s="41"/>
      <c r="C8" s="314" t="s">
        <v>428</v>
      </c>
      <c r="D8" s="314" t="s">
        <v>435</v>
      </c>
      <c r="E8" s="314" t="s">
        <v>430</v>
      </c>
      <c r="F8" s="314" t="s">
        <v>447</v>
      </c>
      <c r="G8" s="316" t="s">
        <v>436</v>
      </c>
      <c r="H8" s="314" t="s">
        <v>434</v>
      </c>
      <c r="I8" s="314" t="s">
        <v>433</v>
      </c>
      <c r="J8" s="46" t="s">
        <v>32</v>
      </c>
      <c r="K8" s="46">
        <v>1551</v>
      </c>
      <c r="L8" s="46" t="s">
        <v>33</v>
      </c>
      <c r="M8" s="46" t="s">
        <v>34</v>
      </c>
      <c r="N8" s="46" t="s">
        <v>35</v>
      </c>
      <c r="O8" s="46" t="s">
        <v>36</v>
      </c>
      <c r="P8" s="283" t="s">
        <v>437</v>
      </c>
      <c r="Q8" s="283" t="s">
        <v>438</v>
      </c>
      <c r="R8" s="283" t="s">
        <v>439</v>
      </c>
      <c r="S8" s="283" t="s">
        <v>440</v>
      </c>
      <c r="T8" s="283" t="s">
        <v>441</v>
      </c>
      <c r="U8" s="283" t="s">
        <v>442</v>
      </c>
      <c r="V8" s="283" t="s">
        <v>3</v>
      </c>
    </row>
    <row r="9" spans="1:22" x14ac:dyDescent="0.3">
      <c r="A9" s="47"/>
      <c r="B9" s="48" t="s">
        <v>11</v>
      </c>
      <c r="C9" s="315"/>
      <c r="D9" s="315"/>
      <c r="E9" s="315"/>
      <c r="F9" s="315"/>
      <c r="G9" s="317"/>
      <c r="H9" s="315"/>
      <c r="I9" s="315"/>
      <c r="J9" s="49">
        <v>1793595.9317600003</v>
      </c>
      <c r="K9" s="49">
        <v>-71198.302160000007</v>
      </c>
      <c r="L9" s="49">
        <v>-6007367.3266600007</v>
      </c>
      <c r="M9" s="49">
        <v>5996100.0737800002</v>
      </c>
      <c r="N9" s="49">
        <v>3043873.6926400005</v>
      </c>
      <c r="O9" s="49">
        <v>-2403571.6757399999</v>
      </c>
      <c r="P9" s="49">
        <f>D22</f>
        <v>-801351.97810169577</v>
      </c>
      <c r="Q9" s="49">
        <f>G22</f>
        <v>-1991335.0496500602</v>
      </c>
      <c r="R9" s="49">
        <f>D35</f>
        <v>-118767.00972188442</v>
      </c>
      <c r="S9" s="49">
        <f>G35</f>
        <v>116218.09748317776</v>
      </c>
      <c r="T9" s="49">
        <f>D47</f>
        <v>436207.10106112959</v>
      </c>
      <c r="U9" s="49">
        <f>G47</f>
        <v>-782239.19804385607</v>
      </c>
      <c r="V9" s="49">
        <f>SUM(J9:U9)</f>
        <v>-789835.64335318806</v>
      </c>
    </row>
    <row r="10" spans="1:22" ht="15.75" thickBot="1" x14ac:dyDescent="0.3">
      <c r="A10" s="2" t="s">
        <v>12</v>
      </c>
      <c r="B10" s="12" t="s">
        <v>13</v>
      </c>
      <c r="C10" s="13">
        <f>'1. Billing Det. for Def-Var'!C17</f>
        <v>1469096846.7337606</v>
      </c>
      <c r="D10" s="50">
        <f>+C10/$C$17</f>
        <v>0.19979567726039255</v>
      </c>
      <c r="E10" s="13">
        <f>'1. Billing Det. for Def-Var'!E17</f>
        <v>91130678.730000257</v>
      </c>
      <c r="F10" s="50">
        <f>+E10/$E$17</f>
        <v>1.8636438212671837E-2</v>
      </c>
      <c r="G10" s="50">
        <f>'1. Billing Det. for Def-Var'!X17/'1. Billing Det. for Def-Var'!X27</f>
        <v>0.90940748888629808</v>
      </c>
      <c r="H10" s="13">
        <f>'1. Billing Det. for Def-Var'!I17</f>
        <v>1469096846.7337606</v>
      </c>
      <c r="I10" s="50">
        <f t="shared" ref="I10:I16" si="0">+H10/$H$17</f>
        <v>0.200279906415923</v>
      </c>
      <c r="J10" s="51">
        <f t="shared" ref="J10:J16" si="1">+$J$9*D10</f>
        <v>358352.71391747409</v>
      </c>
      <c r="K10" s="51">
        <f>K9*G10</f>
        <v>-64748.269180293501</v>
      </c>
      <c r="L10" s="51">
        <f t="shared" ref="L10:L16" si="2">+$L$9*I10</f>
        <v>-1203154.9659895385</v>
      </c>
      <c r="M10" s="51">
        <f t="shared" ref="M10:M16" si="3">+$M$9*$D10</f>
        <v>1197994.8751619649</v>
      </c>
      <c r="N10" s="51">
        <f t="shared" ref="N10:N16" si="4">+$N$9*$D10</f>
        <v>608152.80591610086</v>
      </c>
      <c r="O10" s="51">
        <f t="shared" ref="O10:O16" si="5">+$O$9*$I10</f>
        <v>-481387.1102811704</v>
      </c>
      <c r="P10" s="51">
        <f>D23</f>
        <v>-166311.28984015941</v>
      </c>
      <c r="Q10" s="51">
        <f>G23</f>
        <v>-84616.664027276143</v>
      </c>
      <c r="R10" s="51">
        <f>D36</f>
        <v>-4520.2800763750047</v>
      </c>
      <c r="S10" s="51">
        <f>G36</f>
        <v>4155.0005689529298</v>
      </c>
      <c r="T10" s="51">
        <f>D48</f>
        <v>84375.691755297565</v>
      </c>
      <c r="U10" s="51">
        <f>G48</f>
        <v>-102489.22041934489</v>
      </c>
      <c r="V10" s="51">
        <f>SUM(J10:U10)</f>
        <v>145803.28750563256</v>
      </c>
    </row>
    <row r="11" spans="1:22" ht="15.75" thickBot="1" x14ac:dyDescent="0.3">
      <c r="A11" s="2" t="s">
        <v>14</v>
      </c>
      <c r="B11" s="15" t="s">
        <v>13</v>
      </c>
      <c r="C11" s="13">
        <f>'1. Billing Det. for Def-Var'!C18</f>
        <v>647112057.82811737</v>
      </c>
      <c r="D11" s="50">
        <f t="shared" ref="D11:D16" si="6">+C11/$C$17</f>
        <v>8.8006581829227659E-2</v>
      </c>
      <c r="E11" s="13">
        <f>'1. Billing Det. for Def-Var'!E18</f>
        <v>107176499.05999982</v>
      </c>
      <c r="F11" s="50">
        <f t="shared" ref="F11:F16" si="7">+E11/$E$17</f>
        <v>2.1917846222784983E-2</v>
      </c>
      <c r="G11" s="50">
        <f>'1. Billing Det. for Def-Var'!X18/'1. Billing Det. for Def-Var'!X27</f>
        <v>9.059251111370191E-2</v>
      </c>
      <c r="H11" s="13">
        <f>'1. Billing Det. for Def-Var'!I18</f>
        <v>647112057.82811737</v>
      </c>
      <c r="I11" s="50">
        <f t="shared" si="0"/>
        <v>8.821987649798442E-2</v>
      </c>
      <c r="J11" s="51">
        <f t="shared" si="1"/>
        <v>157848.24713700628</v>
      </c>
      <c r="K11" s="51">
        <f t="shared" ref="K11:K16" si="8">K9*G11</f>
        <v>-6450.0329797065069</v>
      </c>
      <c r="L11" s="51">
        <f t="shared" si="2"/>
        <v>-529969.20363597211</v>
      </c>
      <c r="M11" s="51">
        <f t="shared" si="3"/>
        <v>527696.27179935761</v>
      </c>
      <c r="N11" s="51">
        <f t="shared" si="4"/>
        <v>267880.91920915555</v>
      </c>
      <c r="O11" s="51">
        <f t="shared" si="5"/>
        <v>-212042.79638783625</v>
      </c>
      <c r="P11" s="51">
        <f>D24</f>
        <v>-69505.00371721368</v>
      </c>
      <c r="Q11" s="51">
        <f>G24</f>
        <v>-48199.933345153855</v>
      </c>
      <c r="R11" s="51">
        <f>D37</f>
        <v>-7506.5853180874064</v>
      </c>
      <c r="S11" s="51">
        <f>G37</f>
        <v>2513.3532126353762</v>
      </c>
      <c r="T11" s="51">
        <f>D49</f>
        <v>36624.271276391628</v>
      </c>
      <c r="U11" s="51">
        <f>G49</f>
        <v>-82778.557844422685</v>
      </c>
      <c r="V11" s="51">
        <f t="shared" ref="V11:V16" si="9">SUM(J11:U11)</f>
        <v>36110.949406153974</v>
      </c>
    </row>
    <row r="12" spans="1:22" ht="15.75" thickBot="1" x14ac:dyDescent="0.3">
      <c r="A12" s="2" t="s">
        <v>16</v>
      </c>
      <c r="B12" s="15" t="s">
        <v>17</v>
      </c>
      <c r="C12" s="13">
        <f>'1. Billing Det. for Def-Var'!C19</f>
        <v>2104160254.6192284</v>
      </c>
      <c r="D12" s="50">
        <f t="shared" si="6"/>
        <v>0.28616365494945262</v>
      </c>
      <c r="E12" s="13">
        <f>'1. Billing Det. for Def-Var'!E19</f>
        <v>1752950268.2581725</v>
      </c>
      <c r="F12" s="50">
        <f t="shared" si="7"/>
        <v>0.3584824542026086</v>
      </c>
      <c r="G12" s="50">
        <v>0</v>
      </c>
      <c r="H12" s="13">
        <f>'1. Billing Det. for Def-Var'!I19</f>
        <v>2103852334.6192284</v>
      </c>
      <c r="I12" s="50">
        <f t="shared" si="0"/>
        <v>0.2868152291166286</v>
      </c>
      <c r="J12" s="51">
        <f t="shared" si="1"/>
        <v>513261.9673349107</v>
      </c>
      <c r="K12" s="51">
        <f t="shared" si="8"/>
        <v>0</v>
      </c>
      <c r="L12" s="51">
        <f t="shared" si="2"/>
        <v>-1723004.4361837367</v>
      </c>
      <c r="M12" s="51">
        <f t="shared" si="3"/>
        <v>1715865.9125555675</v>
      </c>
      <c r="N12" s="51">
        <f t="shared" si="4"/>
        <v>871046.0210903493</v>
      </c>
      <c r="O12" s="51">
        <f t="shared" si="5"/>
        <v>-689380.96087560698</v>
      </c>
      <c r="P12" s="51">
        <f>D26</f>
        <v>-221998.55828095129</v>
      </c>
      <c r="Q12" s="51">
        <f>G26</f>
        <v>-673007.65010003874</v>
      </c>
      <c r="R12" s="51">
        <f>D39</f>
        <v>-40153.166619243239</v>
      </c>
      <c r="S12" s="51">
        <f>G39</f>
        <v>39786.49510239566</v>
      </c>
      <c r="T12" s="51">
        <f>D51</f>
        <v>124641.41954438266</v>
      </c>
      <c r="U12" s="51">
        <f>G51</f>
        <v>-1079949.293806823</v>
      </c>
      <c r="V12" s="51">
        <f t="shared" si="9"/>
        <v>-1162892.2502387941</v>
      </c>
    </row>
    <row r="13" spans="1:22" ht="15.75" thickBot="1" x14ac:dyDescent="0.3">
      <c r="A13" s="2" t="s">
        <v>18</v>
      </c>
      <c r="B13" s="15" t="s">
        <v>17</v>
      </c>
      <c r="C13" s="13">
        <f>'1. Billing Det. for Def-Var'!C20</f>
        <v>2087036249.59586</v>
      </c>
      <c r="D13" s="50">
        <f t="shared" si="6"/>
        <v>0.28383480767933505</v>
      </c>
      <c r="E13" s="13">
        <f>'1. Billing Det. for Def-Var'!E20</f>
        <v>1904049776.5186565</v>
      </c>
      <c r="F13" s="50">
        <f t="shared" si="7"/>
        <v>0.38938265914900927</v>
      </c>
      <c r="G13" s="50">
        <v>0</v>
      </c>
      <c r="H13" s="13">
        <f>'1. Billing Det. for Def-Var'!I20</f>
        <v>2069566374.59586</v>
      </c>
      <c r="I13" s="50">
        <f t="shared" si="0"/>
        <v>0.28214107241952102</v>
      </c>
      <c r="J13" s="51">
        <f t="shared" si="1"/>
        <v>509084.95634553744</v>
      </c>
      <c r="K13" s="51">
        <f t="shared" si="8"/>
        <v>0</v>
      </c>
      <c r="L13" s="51">
        <f t="shared" si="2"/>
        <v>-1694925.0599618438</v>
      </c>
      <c r="M13" s="51">
        <f t="shared" si="3"/>
        <v>1701901.911267393</v>
      </c>
      <c r="N13" s="51">
        <f t="shared" si="4"/>
        <v>863957.30415066192</v>
      </c>
      <c r="O13" s="51">
        <f t="shared" si="5"/>
        <v>-678146.29023046885</v>
      </c>
      <c r="P13" s="51">
        <f>D27</f>
        <v>-227712.32010685722</v>
      </c>
      <c r="Q13" s="51">
        <f>G27</f>
        <v>-773030.3087911614</v>
      </c>
      <c r="R13" s="51">
        <f>D40</f>
        <v>-47146.605330232793</v>
      </c>
      <c r="S13" s="51">
        <f>G40</f>
        <v>46380.803305132875</v>
      </c>
      <c r="T13" s="51">
        <f>D52</f>
        <v>130274.28492891445</v>
      </c>
      <c r="U13" s="51">
        <f>G52</f>
        <v>396684.16957966035</v>
      </c>
      <c r="V13" s="51">
        <f t="shared" si="9"/>
        <v>227322.84515673609</v>
      </c>
    </row>
    <row r="14" spans="1:22" ht="15.75" thickBot="1" x14ac:dyDescent="0.3">
      <c r="A14" s="2" t="s">
        <v>37</v>
      </c>
      <c r="B14" s="15" t="s">
        <v>17</v>
      </c>
      <c r="C14" s="13">
        <f>'1. Billing Det. for Def-Var'!C21</f>
        <v>1002165608.5676196</v>
      </c>
      <c r="D14" s="50">
        <f t="shared" si="6"/>
        <v>0.13629350368289758</v>
      </c>
      <c r="E14" s="13">
        <f>'1. Billing Det. for Def-Var'!E21</f>
        <v>1002165608.5676196</v>
      </c>
      <c r="F14" s="50">
        <f t="shared" si="7"/>
        <v>0.20494522484870623</v>
      </c>
      <c r="G14" s="50">
        <v>0</v>
      </c>
      <c r="H14" s="13">
        <f>'1. Billing Det. for Def-Var'!I21</f>
        <v>1002165608.5676196</v>
      </c>
      <c r="I14" s="50">
        <f t="shared" si="0"/>
        <v>0.13662382758728636</v>
      </c>
      <c r="J14" s="51">
        <f t="shared" si="1"/>
        <v>244455.47373096173</v>
      </c>
      <c r="K14" s="51">
        <f t="shared" si="8"/>
        <v>0</v>
      </c>
      <c r="L14" s="51">
        <f t="shared" si="2"/>
        <v>-820749.51789109327</v>
      </c>
      <c r="M14" s="51">
        <f t="shared" si="3"/>
        <v>817229.48748875689</v>
      </c>
      <c r="N14" s="51">
        <f t="shared" si="4"/>
        <v>414860.21033810498</v>
      </c>
      <c r="O14" s="51">
        <f t="shared" si="5"/>
        <v>-328385.16221998673</v>
      </c>
      <c r="P14" s="51">
        <f>D28</f>
        <v>-110436.11709775658</v>
      </c>
      <c r="Q14" s="51">
        <f>G28</f>
        <v>-397066.60909234552</v>
      </c>
      <c r="R14" s="51">
        <f>D41</f>
        <v>-23762.974473515002</v>
      </c>
      <c r="S14" s="51">
        <f>G41</f>
        <v>22460.768334939039</v>
      </c>
      <c r="T14" s="51">
        <f>D53</f>
        <v>58083.674893178766</v>
      </c>
      <c r="U14" s="51">
        <f>G53</f>
        <v>67945.667405143744</v>
      </c>
      <c r="V14" s="51">
        <f t="shared" si="9"/>
        <v>-55365.098583612024</v>
      </c>
    </row>
    <row r="15" spans="1:22" ht="15.75" thickBot="1" x14ac:dyDescent="0.3">
      <c r="A15" s="2" t="s">
        <v>15</v>
      </c>
      <c r="B15" s="15" t="s">
        <v>13</v>
      </c>
      <c r="C15" s="13">
        <f>'1. Billing Det. for Def-Var'!C22</f>
        <v>11501822.442284448</v>
      </c>
      <c r="D15" s="50">
        <f t="shared" si="6"/>
        <v>1.5642361561759345E-3</v>
      </c>
      <c r="E15" s="13">
        <f>'1. Billing Det. for Def-Var'!E22</f>
        <v>523144.30000000075</v>
      </c>
      <c r="F15" s="50">
        <f t="shared" si="7"/>
        <v>1.0698424020463176E-4</v>
      </c>
      <c r="G15" s="50">
        <v>0</v>
      </c>
      <c r="H15" s="13">
        <f>'1. Billing Det. for Def-Var'!I22</f>
        <v>11501822.442284448</v>
      </c>
      <c r="I15" s="50">
        <f t="shared" si="0"/>
        <v>1.5680272729975868E-3</v>
      </c>
      <c r="J15" s="51">
        <f t="shared" si="1"/>
        <v>2805.6076060290566</v>
      </c>
      <c r="K15" s="51">
        <f t="shared" si="8"/>
        <v>0</v>
      </c>
      <c r="L15" s="51">
        <f t="shared" si="2"/>
        <v>-9419.7158071174836</v>
      </c>
      <c r="M15" s="51">
        <f t="shared" si="3"/>
        <v>9379.3165314558646</v>
      </c>
      <c r="N15" s="51">
        <f t="shared" si="4"/>
        <v>4761.3372848602421</v>
      </c>
      <c r="O15" s="51">
        <f t="shared" si="5"/>
        <v>-3768.865940164832</v>
      </c>
      <c r="P15" s="51">
        <f>D25</f>
        <v>-1271.7155897200066</v>
      </c>
      <c r="Q15" s="51">
        <f>G25</f>
        <v>-187.4933228686333</v>
      </c>
      <c r="R15" s="51">
        <f>D38</f>
        <v>263.70299499620921</v>
      </c>
      <c r="S15" s="51">
        <f>G38</f>
        <v>9.2764036144545727</v>
      </c>
      <c r="T15" s="51">
        <f>D50</f>
        <v>621.48719723701424</v>
      </c>
      <c r="U15" s="51">
        <f>G50</f>
        <v>-266.35081432400489</v>
      </c>
      <c r="V15" s="51">
        <f t="shared" si="9"/>
        <v>2926.5865439978807</v>
      </c>
    </row>
    <row r="16" spans="1:22" ht="15" x14ac:dyDescent="0.25">
      <c r="A16" s="2" t="s">
        <v>20</v>
      </c>
      <c r="B16" s="19" t="s">
        <v>17</v>
      </c>
      <c r="C16" s="282">
        <f>'1. Billing Det. for Def-Var'!C23</f>
        <v>31923315.475764602</v>
      </c>
      <c r="D16" s="116">
        <f t="shared" si="6"/>
        <v>4.3415384425186561E-3</v>
      </c>
      <c r="E16" s="282">
        <f>'1. Billing Det. for Def-Var'!E23</f>
        <v>31923315.475764602</v>
      </c>
      <c r="F16" s="116">
        <f t="shared" si="7"/>
        <v>6.5283931240146045E-3</v>
      </c>
      <c r="G16" s="116">
        <v>0</v>
      </c>
      <c r="H16" s="282">
        <f>'1. Billing Det. for Def-Var'!I23</f>
        <v>31923315.475764602</v>
      </c>
      <c r="I16" s="116">
        <f t="shared" si="0"/>
        <v>4.3520606896590873E-3</v>
      </c>
      <c r="J16" s="52">
        <f t="shared" si="1"/>
        <v>7786.9656880811099</v>
      </c>
      <c r="K16" s="52">
        <f t="shared" si="8"/>
        <v>0</v>
      </c>
      <c r="L16" s="52">
        <f t="shared" si="2"/>
        <v>-26144.427190699389</v>
      </c>
      <c r="M16" s="52">
        <f t="shared" si="3"/>
        <v>26032.298975504822</v>
      </c>
      <c r="N16" s="52">
        <f t="shared" si="4"/>
        <v>13215.094650767778</v>
      </c>
      <c r="O16" s="52">
        <f t="shared" si="5"/>
        <v>-10460.489804766072</v>
      </c>
      <c r="P16" s="52">
        <f>D29</f>
        <v>-4116.9734690376872</v>
      </c>
      <c r="Q16" s="52">
        <f>G29</f>
        <v>-15226.390971215715</v>
      </c>
      <c r="R16" s="52">
        <f>D42</f>
        <v>4058.8991005728212</v>
      </c>
      <c r="S16" s="52">
        <f>G42</f>
        <v>912.40055550742466</v>
      </c>
      <c r="T16" s="52">
        <f>D54</f>
        <v>1586.271465727531</v>
      </c>
      <c r="U16" s="52">
        <f>G54</f>
        <v>18614.387856254634</v>
      </c>
      <c r="V16" s="52">
        <f t="shared" si="9"/>
        <v>16258.036856697257</v>
      </c>
    </row>
    <row r="17" spans="1:22" ht="15.75" thickBot="1" x14ac:dyDescent="0.3">
      <c r="A17" s="41" t="s">
        <v>3</v>
      </c>
      <c r="B17" s="41"/>
      <c r="C17" s="281">
        <f t="shared" ref="C17:D17" si="10">SUM(C10:C16)</f>
        <v>7352996155.2626343</v>
      </c>
      <c r="D17" s="53">
        <f t="shared" si="10"/>
        <v>1</v>
      </c>
      <c r="E17" s="281">
        <f t="shared" ref="E17:V17" si="11">SUM(E10:E16)</f>
        <v>4889919290.9102125</v>
      </c>
      <c r="F17" s="53">
        <f t="shared" si="11"/>
        <v>1.0000000000000002</v>
      </c>
      <c r="G17" s="53">
        <f t="shared" si="11"/>
        <v>1</v>
      </c>
      <c r="H17" s="281">
        <f t="shared" si="11"/>
        <v>7335218360.2626343</v>
      </c>
      <c r="I17" s="53">
        <f t="shared" si="11"/>
        <v>1</v>
      </c>
      <c r="J17" s="54">
        <f t="shared" si="11"/>
        <v>1793595.9317600008</v>
      </c>
      <c r="K17" s="54">
        <f t="shared" si="11"/>
        <v>-71198.302160000007</v>
      </c>
      <c r="L17" s="54">
        <f t="shared" si="11"/>
        <v>-6007367.3266600017</v>
      </c>
      <c r="M17" s="54">
        <f t="shared" si="11"/>
        <v>5996100.0737800011</v>
      </c>
      <c r="N17" s="54">
        <f t="shared" si="11"/>
        <v>3043873.6926400005</v>
      </c>
      <c r="O17" s="54">
        <f t="shared" si="11"/>
        <v>-2403571.6757400003</v>
      </c>
      <c r="P17" s="54">
        <f t="shared" si="11"/>
        <v>-801351.978101696</v>
      </c>
      <c r="Q17" s="54">
        <f t="shared" si="11"/>
        <v>-1991335.04965006</v>
      </c>
      <c r="R17" s="54">
        <f t="shared" si="11"/>
        <v>-118767.0097218844</v>
      </c>
      <c r="S17" s="54">
        <f t="shared" si="11"/>
        <v>116218.09748317776</v>
      </c>
      <c r="T17" s="54">
        <f t="shared" si="11"/>
        <v>436207.10106112959</v>
      </c>
      <c r="U17" s="54">
        <f t="shared" si="11"/>
        <v>-782239.19804385584</v>
      </c>
      <c r="V17" s="54">
        <f t="shared" si="11"/>
        <v>-789835.64335318841</v>
      </c>
    </row>
    <row r="18" spans="1:22" ht="15.75" thickTop="1" x14ac:dyDescent="0.25">
      <c r="A18" s="41"/>
      <c r="B18" s="41"/>
      <c r="C18" s="41"/>
      <c r="D18" s="41"/>
      <c r="E18" s="41">
        <f>+J17-J9</f>
        <v>0</v>
      </c>
      <c r="F18" s="41"/>
      <c r="G18" s="41">
        <f>+L17-L9</f>
        <v>0</v>
      </c>
      <c r="H18" s="41">
        <f>+M17-M9</f>
        <v>0</v>
      </c>
      <c r="I18" s="41">
        <f>+N17-N9</f>
        <v>0</v>
      </c>
      <c r="J18" s="41"/>
      <c r="K18" s="41"/>
    </row>
    <row r="19" spans="1:22" ht="15" x14ac:dyDescent="0.25">
      <c r="A19" s="41"/>
      <c r="B19" s="41"/>
      <c r="C19" s="41"/>
      <c r="D19" s="41"/>
      <c r="E19" s="41"/>
      <c r="F19" s="41"/>
      <c r="G19" s="41"/>
      <c r="H19" s="41"/>
      <c r="I19" s="41"/>
      <c r="J19" s="41"/>
      <c r="K19" s="41"/>
    </row>
    <row r="20" spans="1:22" ht="15" x14ac:dyDescent="0.25">
      <c r="B20" s="44"/>
      <c r="C20" s="41"/>
      <c r="D20" s="41"/>
      <c r="E20" s="41"/>
      <c r="F20" s="41"/>
      <c r="G20" s="41"/>
      <c r="H20" s="41"/>
      <c r="I20" s="41"/>
      <c r="J20" s="41"/>
      <c r="K20" s="41"/>
    </row>
    <row r="21" spans="1:22" ht="45" customHeight="1" x14ac:dyDescent="0.25">
      <c r="A21" s="161" t="s">
        <v>45</v>
      </c>
      <c r="B21" s="41"/>
      <c r="C21" s="312" t="s">
        <v>38</v>
      </c>
      <c r="D21" s="313"/>
      <c r="F21" s="312" t="s">
        <v>39</v>
      </c>
      <c r="G21" s="313"/>
      <c r="I21" s="68"/>
      <c r="M21" s="287"/>
    </row>
    <row r="22" spans="1:22" ht="15" x14ac:dyDescent="0.25">
      <c r="A22" s="41"/>
      <c r="B22" s="41"/>
      <c r="C22" s="55"/>
      <c r="D22" s="56">
        <v>-801351.97810169577</v>
      </c>
      <c r="E22" s="57"/>
      <c r="F22" s="55"/>
      <c r="G22" s="56">
        <v>-1991335.0496500602</v>
      </c>
      <c r="I22" s="130"/>
      <c r="M22" s="66"/>
    </row>
    <row r="23" spans="1:22" ht="15.75" thickBot="1" x14ac:dyDescent="0.3">
      <c r="A23" s="2" t="s">
        <v>12</v>
      </c>
      <c r="B23" s="41"/>
      <c r="C23" s="58">
        <f>+'[4]Original Disposition'!C9</f>
        <v>0.20753837812209611</v>
      </c>
      <c r="D23" s="59">
        <f>C23*$D$22</f>
        <v>-166311.28984015941</v>
      </c>
      <c r="E23" s="60"/>
      <c r="F23" s="58">
        <f>+'[4]Original Disposition'!E9</f>
        <v>4.2492429409177496E-2</v>
      </c>
      <c r="G23" s="59">
        <f t="shared" ref="G23:G29" si="12">F23*$G$22</f>
        <v>-84616.664027276143</v>
      </c>
      <c r="I23" s="67"/>
      <c r="M23" s="66"/>
    </row>
    <row r="24" spans="1:22" ht="15.75" thickBot="1" x14ac:dyDescent="0.3">
      <c r="A24" s="2" t="s">
        <v>14</v>
      </c>
      <c r="B24" s="41"/>
      <c r="C24" s="58">
        <f>+'[4]Original Disposition'!C10</f>
        <v>8.6734675419236476E-2</v>
      </c>
      <c r="D24" s="59">
        <f t="shared" ref="D24:D29" si="13">C24*$D$22</f>
        <v>-69505.00371721368</v>
      </c>
      <c r="E24" s="60"/>
      <c r="F24" s="58">
        <f>+'[4]Original Disposition'!E10</f>
        <v>2.4204833512885784E-2</v>
      </c>
      <c r="G24" s="59">
        <f t="shared" si="12"/>
        <v>-48199.933345153855</v>
      </c>
      <c r="M24" s="66"/>
    </row>
    <row r="25" spans="1:22" ht="15.75" thickBot="1" x14ac:dyDescent="0.3">
      <c r="A25" s="2" t="s">
        <v>15</v>
      </c>
      <c r="B25" s="41"/>
      <c r="C25" s="58">
        <f>+'[4]Original Disposition'!C11</f>
        <v>1.5869625638568266E-3</v>
      </c>
      <c r="D25" s="59">
        <f t="shared" si="13"/>
        <v>-1271.7155897200066</v>
      </c>
      <c r="E25" s="60"/>
      <c r="F25" s="58">
        <f>+'[4]Original Disposition'!E11</f>
        <v>9.4154583831375707E-5</v>
      </c>
      <c r="G25" s="59">
        <f t="shared" si="12"/>
        <v>-187.4933228686333</v>
      </c>
      <c r="J25" s="129"/>
      <c r="M25" s="66"/>
    </row>
    <row r="26" spans="1:22" ht="15.75" thickBot="1" x14ac:dyDescent="0.3">
      <c r="A26" s="2" t="s">
        <v>16</v>
      </c>
      <c r="B26" s="41"/>
      <c r="C26" s="58">
        <f>+'[4]Original Disposition'!C12</f>
        <v>0.27703002469256838</v>
      </c>
      <c r="D26" s="59">
        <f t="shared" si="13"/>
        <v>-221998.55828095129</v>
      </c>
      <c r="E26" s="60"/>
      <c r="F26" s="58">
        <f>+'[4]Original Disposition'!E12</f>
        <v>0.337968063294174</v>
      </c>
      <c r="G26" s="59">
        <f t="shared" si="12"/>
        <v>-673007.65010003874</v>
      </c>
      <c r="M26" s="66"/>
    </row>
    <row r="27" spans="1:22" ht="15.75" thickBot="1" x14ac:dyDescent="0.3">
      <c r="A27" s="2" t="s">
        <v>18</v>
      </c>
      <c r="B27" s="41"/>
      <c r="C27" s="58">
        <f>+'[4]Original Disposition'!C13</f>
        <v>0.28416017721236514</v>
      </c>
      <c r="D27" s="59">
        <f t="shared" si="13"/>
        <v>-227712.32010685722</v>
      </c>
      <c r="E27" s="60"/>
      <c r="F27" s="58">
        <f>+'[4]Original Disposition'!E13</f>
        <v>0.38819700829702514</v>
      </c>
      <c r="G27" s="59">
        <f t="shared" si="12"/>
        <v>-773030.3087911614</v>
      </c>
      <c r="M27" s="66"/>
    </row>
    <row r="28" spans="1:22" ht="15.75" thickBot="1" x14ac:dyDescent="0.3">
      <c r="A28" s="2" t="s">
        <v>37</v>
      </c>
      <c r="B28" s="41"/>
      <c r="C28" s="58">
        <f>+'[4]Original Disposition'!C14</f>
        <v>0.13781224744632958</v>
      </c>
      <c r="D28" s="59">
        <f t="shared" si="13"/>
        <v>-110436.11709775658</v>
      </c>
      <c r="E28" s="60"/>
      <c r="F28" s="58">
        <f>+'[4]Original Disposition'!E14</f>
        <v>0.19939718791276362</v>
      </c>
      <c r="G28" s="59">
        <f t="shared" si="12"/>
        <v>-397066.60909234552</v>
      </c>
      <c r="M28" s="66"/>
    </row>
    <row r="29" spans="1:22" ht="15.75" thickBot="1" x14ac:dyDescent="0.3">
      <c r="A29" s="2" t="s">
        <v>20</v>
      </c>
      <c r="B29" s="41"/>
      <c r="C29" s="58">
        <f>+'[4]Original Disposition'!C15</f>
        <v>5.1375345435476314E-3</v>
      </c>
      <c r="D29" s="59">
        <f t="shared" si="13"/>
        <v>-4116.9734690376872</v>
      </c>
      <c r="E29" s="60"/>
      <c r="F29" s="58">
        <f>+'[4]Original Disposition'!E15</f>
        <v>7.6463229901424512E-3</v>
      </c>
      <c r="G29" s="59">
        <f t="shared" si="12"/>
        <v>-15226.390971215715</v>
      </c>
      <c r="M29" s="66"/>
    </row>
    <row r="30" spans="1:22" ht="15" thickBot="1" x14ac:dyDescent="0.35">
      <c r="A30" s="41" t="s">
        <v>3</v>
      </c>
      <c r="B30" s="41"/>
      <c r="C30" s="61">
        <f>SUM(C23:C29)</f>
        <v>1.0000000000000002</v>
      </c>
      <c r="D30" s="62">
        <f>SUM(D23:D29)</f>
        <v>-801351.97810169589</v>
      </c>
      <c r="E30" s="63"/>
      <c r="F30" s="61">
        <f>SUM(F23:F29)</f>
        <v>0.99999999999999978</v>
      </c>
      <c r="G30" s="62">
        <f>SUM(G23:G29)</f>
        <v>-1991335.0496500598</v>
      </c>
      <c r="M30" s="66"/>
    </row>
    <row r="31" spans="1:22" ht="15" thickTop="1" x14ac:dyDescent="0.3">
      <c r="A31" s="41"/>
      <c r="B31" s="41"/>
      <c r="C31" s="41"/>
      <c r="D31" s="41"/>
      <c r="E31" s="64"/>
      <c r="J31" s="41"/>
      <c r="K31" s="41"/>
      <c r="M31" s="288"/>
    </row>
    <row r="32" spans="1:22" x14ac:dyDescent="0.3">
      <c r="A32" s="41"/>
      <c r="B32" s="41"/>
      <c r="C32" s="41"/>
      <c r="D32" s="41"/>
      <c r="E32" s="41"/>
      <c r="K32" s="41"/>
      <c r="M32" s="66"/>
    </row>
    <row r="33" spans="1:13" x14ac:dyDescent="0.3">
      <c r="M33" s="66"/>
    </row>
    <row r="34" spans="1:13" ht="36" customHeight="1" x14ac:dyDescent="0.3">
      <c r="A34" s="161" t="s">
        <v>46</v>
      </c>
      <c r="C34" s="312" t="s">
        <v>43</v>
      </c>
      <c r="D34" s="313"/>
      <c r="F34" s="312" t="s">
        <v>40</v>
      </c>
      <c r="G34" s="313"/>
      <c r="J34" s="68"/>
      <c r="M34" s="66"/>
    </row>
    <row r="35" spans="1:13" x14ac:dyDescent="0.3">
      <c r="C35" s="55"/>
      <c r="D35" s="56">
        <v>-118767.00972188442</v>
      </c>
      <c r="F35" s="55"/>
      <c r="G35" s="56">
        <v>116218.09748317776</v>
      </c>
      <c r="M35" s="66"/>
    </row>
    <row r="36" spans="1:13" ht="15" thickBot="1" x14ac:dyDescent="0.35">
      <c r="A36" s="2" t="s">
        <v>12</v>
      </c>
      <c r="C36" s="58">
        <f>'[5]Original Disposition'!J31</f>
        <v>3.8060064717972623E-2</v>
      </c>
      <c r="D36" s="59">
        <f t="shared" ref="D36:D42" si="14">C36*$D$35</f>
        <v>-4520.2800763750047</v>
      </c>
      <c r="F36" s="58">
        <f>+'[5]Original Disposition'!G31</f>
        <v>3.5751751740337637E-2</v>
      </c>
      <c r="G36" s="59">
        <f t="shared" ref="G36:G42" si="15">F36*$G$35</f>
        <v>4155.0005689529298</v>
      </c>
      <c r="J36" s="67"/>
      <c r="M36" s="66"/>
    </row>
    <row r="37" spans="1:13" ht="15" thickBot="1" x14ac:dyDescent="0.35">
      <c r="A37" s="2" t="s">
        <v>14</v>
      </c>
      <c r="C37" s="58">
        <f>'[5]Original Disposition'!J32</f>
        <v>6.3204296678560035E-2</v>
      </c>
      <c r="D37" s="59">
        <f t="shared" si="14"/>
        <v>-7506.5853180874064</v>
      </c>
      <c r="F37" s="58">
        <f>+'[5]Original Disposition'!G32</f>
        <v>2.1626177566701064E-2</v>
      </c>
      <c r="G37" s="59">
        <f t="shared" si="15"/>
        <v>2513.3532126353762</v>
      </c>
      <c r="M37" s="66"/>
    </row>
    <row r="38" spans="1:13" ht="15" thickBot="1" x14ac:dyDescent="0.35">
      <c r="A38" s="2" t="s">
        <v>15</v>
      </c>
      <c r="C38" s="58">
        <f>'[5]Original Disposition'!J33</f>
        <v>-2.2203387591699076E-3</v>
      </c>
      <c r="D38" s="59">
        <f t="shared" si="14"/>
        <v>263.70299499620921</v>
      </c>
      <c r="F38" s="58">
        <f>+'[5]Original Disposition'!G33</f>
        <v>7.9818925067133423E-5</v>
      </c>
      <c r="G38" s="59">
        <f t="shared" si="15"/>
        <v>9.2764036144545727</v>
      </c>
      <c r="M38" s="66"/>
    </row>
    <row r="39" spans="1:13" ht="15" thickBot="1" x14ac:dyDescent="0.35">
      <c r="A39" s="2" t="s">
        <v>16</v>
      </c>
      <c r="C39" s="58">
        <f>'[5]Original Disposition'!J34</f>
        <v>0.33808350242436458</v>
      </c>
      <c r="D39" s="59">
        <f t="shared" si="14"/>
        <v>-40153.166619243239</v>
      </c>
      <c r="F39" s="58">
        <f>+'[5]Original Disposition'!G34</f>
        <v>0.34234336961293521</v>
      </c>
      <c r="G39" s="59">
        <f t="shared" si="15"/>
        <v>39786.49510239566</v>
      </c>
      <c r="M39" s="66"/>
    </row>
    <row r="40" spans="1:13" ht="15" thickBot="1" x14ac:dyDescent="0.35">
      <c r="A40" s="2" t="s">
        <v>18</v>
      </c>
      <c r="C40" s="58">
        <f>'[5]Original Disposition'!J35</f>
        <v>0.39696718340080761</v>
      </c>
      <c r="D40" s="59">
        <f t="shared" si="14"/>
        <v>-47146.605330232793</v>
      </c>
      <c r="F40" s="58">
        <f>+'[5]Original Disposition'!G35</f>
        <v>0.39908417285738451</v>
      </c>
      <c r="G40" s="59">
        <f t="shared" si="15"/>
        <v>46380.803305132875</v>
      </c>
      <c r="M40" s="66"/>
    </row>
    <row r="41" spans="1:13" ht="15" thickBot="1" x14ac:dyDescent="0.35">
      <c r="A41" s="2" t="s">
        <v>37</v>
      </c>
      <c r="C41" s="58">
        <f>'[5]Original Disposition'!J36</f>
        <v>0.20008059922667526</v>
      </c>
      <c r="D41" s="59">
        <f t="shared" si="14"/>
        <v>-23762.974473515002</v>
      </c>
      <c r="F41" s="58">
        <f>+'[5]Original Disposition'!G36</f>
        <v>0.19326394788204282</v>
      </c>
      <c r="G41" s="59">
        <f t="shared" si="15"/>
        <v>22460.768334939039</v>
      </c>
      <c r="M41" s="66"/>
    </row>
    <row r="42" spans="1:13" ht="15" thickBot="1" x14ac:dyDescent="0.35">
      <c r="A42" s="2" t="s">
        <v>20</v>
      </c>
      <c r="C42" s="58">
        <f>'[5]Original Disposition'!J37</f>
        <v>-3.4175307689210219E-2</v>
      </c>
      <c r="D42" s="59">
        <f t="shared" si="14"/>
        <v>4058.8991005728212</v>
      </c>
      <c r="F42" s="58">
        <f>+'[5]Original Disposition'!G37</f>
        <v>7.8507614155316225E-3</v>
      </c>
      <c r="G42" s="59">
        <f t="shared" si="15"/>
        <v>912.40055550742466</v>
      </c>
      <c r="M42" s="66"/>
    </row>
    <row r="43" spans="1:13" ht="15" thickBot="1" x14ac:dyDescent="0.35">
      <c r="A43" s="41" t="s">
        <v>3</v>
      </c>
      <c r="C43" s="61">
        <f>SUM(C36:C42)</f>
        <v>1</v>
      </c>
      <c r="D43" s="62">
        <f>SUM(D36:D42)</f>
        <v>-118767.00972188442</v>
      </c>
      <c r="F43" s="61">
        <f>SUM(F36:F42)</f>
        <v>1</v>
      </c>
      <c r="G43" s="62">
        <f>SUM(G36:G42)</f>
        <v>116218.09748317777</v>
      </c>
      <c r="M43" s="288"/>
    </row>
    <row r="44" spans="1:13" ht="15" thickTop="1" x14ac:dyDescent="0.3">
      <c r="M44" s="66"/>
    </row>
    <row r="45" spans="1:13" x14ac:dyDescent="0.3">
      <c r="D45" s="65"/>
      <c r="M45" s="66"/>
    </row>
    <row r="46" spans="1:13" ht="36" customHeight="1" x14ac:dyDescent="0.3">
      <c r="A46" s="161" t="s">
        <v>47</v>
      </c>
      <c r="C46" s="312" t="s">
        <v>44</v>
      </c>
      <c r="D46" s="313"/>
      <c r="F46" s="312" t="s">
        <v>42</v>
      </c>
      <c r="G46" s="313"/>
      <c r="M46" s="66"/>
    </row>
    <row r="47" spans="1:13" x14ac:dyDescent="0.3">
      <c r="C47" s="55"/>
      <c r="D47" s="56">
        <v>436207.10106112959</v>
      </c>
      <c r="F47" s="55"/>
      <c r="G47" s="56">
        <v>-782239.19804385607</v>
      </c>
      <c r="M47" s="289"/>
    </row>
    <row r="48" spans="1:13" ht="15" thickBot="1" x14ac:dyDescent="0.35">
      <c r="A48" s="2" t="s">
        <v>12</v>
      </c>
      <c r="C48" s="58">
        <f>+'[6]Original Disposition'!C8</f>
        <v>0.1934303489100542</v>
      </c>
      <c r="D48" s="59">
        <f t="shared" ref="D48:D54" si="16">C48*$D$47</f>
        <v>84375.691755297565</v>
      </c>
      <c r="F48" s="58">
        <f>'[6]Original Disposition'!L8</f>
        <v>0.13102030769570161</v>
      </c>
      <c r="G48" s="59">
        <f t="shared" ref="G48:G54" si="17">F48*$G$47</f>
        <v>-102489.22041934489</v>
      </c>
      <c r="L48" s="67"/>
      <c r="M48" s="66"/>
    </row>
    <row r="49" spans="1:13" ht="15" thickBot="1" x14ac:dyDescent="0.35">
      <c r="A49" s="2" t="s">
        <v>14</v>
      </c>
      <c r="C49" s="58">
        <f>+'[6]Original Disposition'!C9</f>
        <v>8.3960740637413739E-2</v>
      </c>
      <c r="D49" s="59">
        <f t="shared" si="16"/>
        <v>36624.271276391628</v>
      </c>
      <c r="F49" s="58">
        <f>'[6]Original Disposition'!L9</f>
        <v>0.10582256431463273</v>
      </c>
      <c r="G49" s="59">
        <f t="shared" si="17"/>
        <v>-82778.557844422685</v>
      </c>
    </row>
    <row r="50" spans="1:13" ht="15" thickBot="1" x14ac:dyDescent="0.35">
      <c r="A50" s="2" t="s">
        <v>15</v>
      </c>
      <c r="C50" s="58">
        <f>+'[6]Original Disposition'!C10</f>
        <v>1.424752590513009E-3</v>
      </c>
      <c r="D50" s="59">
        <f t="shared" si="16"/>
        <v>621.48719723701424</v>
      </c>
      <c r="F50" s="58">
        <f>'[6]Original Disposition'!L10</f>
        <v>3.4049791290192028E-4</v>
      </c>
      <c r="G50" s="59">
        <f t="shared" si="17"/>
        <v>-266.35081432400489</v>
      </c>
    </row>
    <row r="51" spans="1:13" ht="15" thickBot="1" x14ac:dyDescent="0.35">
      <c r="A51" s="2" t="s">
        <v>16</v>
      </c>
      <c r="C51" s="58">
        <f>+'[6]Original Disposition'!C11</f>
        <v>0.28573908870620507</v>
      </c>
      <c r="D51" s="59">
        <f t="shared" si="16"/>
        <v>124641.41954438266</v>
      </c>
      <c r="F51" s="58">
        <f>'[6]Original Disposition'!L11</f>
        <v>1.3805870333619819</v>
      </c>
      <c r="G51" s="59">
        <f t="shared" si="17"/>
        <v>-1079949.293806823</v>
      </c>
      <c r="H51" s="41"/>
    </row>
    <row r="52" spans="1:13" ht="15" thickBot="1" x14ac:dyDescent="0.35">
      <c r="A52" s="2" t="s">
        <v>18</v>
      </c>
      <c r="C52" s="58">
        <f>+'[6]Original Disposition'!C12</f>
        <v>0.29865237088531016</v>
      </c>
      <c r="D52" s="59">
        <f t="shared" si="16"/>
        <v>130274.28492891445</v>
      </c>
      <c r="F52" s="58">
        <f>'[6]Original Disposition'!L12</f>
        <v>-0.50711364320740715</v>
      </c>
      <c r="G52" s="59">
        <f t="shared" si="17"/>
        <v>396684.16957966035</v>
      </c>
      <c r="H52" s="41"/>
    </row>
    <row r="53" spans="1:13" ht="15" thickBot="1" x14ac:dyDescent="0.35">
      <c r="A53" s="2" t="s">
        <v>37</v>
      </c>
      <c r="C53" s="58">
        <f>+'[6]Original Disposition'!C13</f>
        <v>0.13315618831486878</v>
      </c>
      <c r="D53" s="59">
        <f t="shared" si="16"/>
        <v>58083.674893178766</v>
      </c>
      <c r="F53" s="58">
        <f>'[6]Original Disposition'!L13</f>
        <v>-8.6860473848734923E-2</v>
      </c>
      <c r="G53" s="59">
        <f t="shared" si="17"/>
        <v>67945.667405143744</v>
      </c>
    </row>
    <row r="54" spans="1:13" ht="15" customHeight="1" thickBot="1" x14ac:dyDescent="0.35">
      <c r="A54" s="2" t="s">
        <v>20</v>
      </c>
      <c r="C54" s="58">
        <f>+'[6]Original Disposition'!C14</f>
        <v>3.6365099556351162E-3</v>
      </c>
      <c r="D54" s="59">
        <f t="shared" si="16"/>
        <v>1586.271465727531</v>
      </c>
      <c r="F54" s="58">
        <f>'[6]Original Disposition'!L14</f>
        <v>-2.3796286229076216E-2</v>
      </c>
      <c r="G54" s="59">
        <f t="shared" si="17"/>
        <v>18614.387856254634</v>
      </c>
    </row>
    <row r="55" spans="1:13" ht="15" thickBot="1" x14ac:dyDescent="0.35">
      <c r="A55" s="41" t="s">
        <v>3</v>
      </c>
      <c r="C55" s="61">
        <f>SUM(C48:C54)</f>
        <v>1</v>
      </c>
      <c r="D55" s="62">
        <f>SUM(D48:D54)</f>
        <v>436207.10106112959</v>
      </c>
      <c r="F55" s="61">
        <f>SUM(F48:F54)</f>
        <v>0.99999999999999989</v>
      </c>
      <c r="G55" s="62">
        <f>SUM(G48:G54)</f>
        <v>-782239.19804385595</v>
      </c>
      <c r="M55" s="288"/>
    </row>
    <row r="56" spans="1:13" ht="15" thickTop="1" x14ac:dyDescent="0.3"/>
    <row r="79" spans="6:8" x14ac:dyDescent="0.3">
      <c r="F79" s="1"/>
      <c r="H79" s="1"/>
    </row>
    <row r="80" spans="6:8" x14ac:dyDescent="0.3">
      <c r="F80" s="1"/>
      <c r="H80" s="1"/>
    </row>
    <row r="91" spans="9:9" x14ac:dyDescent="0.3">
      <c r="I91" s="1"/>
    </row>
    <row r="92" spans="9:9" x14ac:dyDescent="0.3">
      <c r="I92" s="1"/>
    </row>
  </sheetData>
  <mergeCells count="13">
    <mergeCell ref="I8:I9"/>
    <mergeCell ref="D8:D9"/>
    <mergeCell ref="C8:C9"/>
    <mergeCell ref="G8:G9"/>
    <mergeCell ref="E8:E9"/>
    <mergeCell ref="F8:F9"/>
    <mergeCell ref="H8:H9"/>
    <mergeCell ref="F46:G46"/>
    <mergeCell ref="C21:D21"/>
    <mergeCell ref="F21:G21"/>
    <mergeCell ref="C34:D34"/>
    <mergeCell ref="F34:G34"/>
    <mergeCell ref="C46:D46"/>
  </mergeCells>
  <dataValidations count="1">
    <dataValidation type="list" allowBlank="1" showInputMessage="1" showErrorMessage="1" sqref="B10:B16">
      <formula1>Units1</formula1>
    </dataValidation>
  </dataValidations>
  <pageMargins left="0.7" right="0.7" top="0.75" bottom="0.75" header="0.3" footer="0.3"/>
  <pageSetup scale="4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2:Q30"/>
  <sheetViews>
    <sheetView workbookViewId="0">
      <selection activeCell="H25" sqref="H25"/>
    </sheetView>
  </sheetViews>
  <sheetFormatPr defaultColWidth="9.109375" defaultRowHeight="14.4" x14ac:dyDescent="0.3"/>
  <cols>
    <col min="1" max="1" width="44.6640625" style="2" customWidth="1"/>
    <col min="2" max="2" width="9.109375" style="2"/>
    <col min="3" max="4" width="14.88671875" style="2" customWidth="1"/>
    <col min="5" max="5" width="14.109375" style="2" customWidth="1"/>
    <col min="6" max="6" width="14.44140625" style="2" customWidth="1"/>
    <col min="7" max="7" width="22.5546875" style="2" customWidth="1"/>
    <col min="8" max="8" width="19.33203125" style="2" customWidth="1"/>
    <col min="9" max="10" width="18.109375" style="2" customWidth="1"/>
    <col min="11" max="11" width="14.44140625" style="2" customWidth="1"/>
    <col min="12" max="14" width="14" style="2" customWidth="1"/>
    <col min="15" max="15" width="12.44140625" style="2" customWidth="1"/>
    <col min="16" max="16" width="11.44140625" style="2" customWidth="1"/>
    <col min="17" max="16384" width="9.109375" style="2"/>
  </cols>
  <sheetData>
    <row r="12" spans="1:15" ht="15" customHeight="1" x14ac:dyDescent="0.3">
      <c r="A12" s="320" t="s">
        <v>48</v>
      </c>
      <c r="B12" s="320"/>
      <c r="C12" s="320"/>
      <c r="D12" s="320"/>
      <c r="E12" s="320"/>
      <c r="F12" s="320"/>
      <c r="G12" s="320"/>
      <c r="H12" s="320"/>
      <c r="I12" s="320"/>
      <c r="J12" s="273"/>
      <c r="K12" s="69"/>
      <c r="L12" s="69"/>
      <c r="M12" s="69"/>
      <c r="N12" s="69"/>
      <c r="O12" s="69"/>
    </row>
    <row r="13" spans="1:15" x14ac:dyDescent="0.3">
      <c r="A13" s="320"/>
      <c r="B13" s="320"/>
      <c r="C13" s="320"/>
      <c r="D13" s="320"/>
      <c r="E13" s="320"/>
      <c r="F13" s="320"/>
      <c r="G13" s="320"/>
      <c r="H13" s="320"/>
      <c r="I13" s="320"/>
      <c r="J13" s="273"/>
      <c r="K13" s="69"/>
      <c r="L13" s="69"/>
      <c r="M13" s="69"/>
      <c r="N13" s="69"/>
      <c r="O13" s="69"/>
    </row>
    <row r="15" spans="1:15" ht="15" x14ac:dyDescent="0.25">
      <c r="A15" s="324" t="s">
        <v>445</v>
      </c>
      <c r="B15" s="324"/>
      <c r="D15" s="284">
        <v>12</v>
      </c>
    </row>
    <row r="16" spans="1:15" ht="15" customHeight="1" x14ac:dyDescent="0.25">
      <c r="A16" s="324" t="s">
        <v>446</v>
      </c>
      <c r="B16" s="324"/>
      <c r="C16" s="70"/>
      <c r="D16" s="285">
        <v>9</v>
      </c>
    </row>
    <row r="17" spans="1:17" ht="15" x14ac:dyDescent="0.25">
      <c r="A17" s="70"/>
      <c r="B17" s="70"/>
      <c r="C17" s="70"/>
      <c r="D17" s="70"/>
    </row>
    <row r="18" spans="1:17" ht="15" customHeight="1" x14ac:dyDescent="0.3">
      <c r="A18" s="71"/>
      <c r="B18" s="72"/>
      <c r="C18" s="72"/>
      <c r="D18" s="72"/>
      <c r="E18" s="72"/>
      <c r="F18" s="72"/>
      <c r="G18" s="321" t="s">
        <v>419</v>
      </c>
      <c r="H18" s="321" t="s">
        <v>422</v>
      </c>
      <c r="I18" s="319" t="s">
        <v>49</v>
      </c>
      <c r="J18" s="319" t="s">
        <v>423</v>
      </c>
      <c r="K18" s="318" t="s">
        <v>61</v>
      </c>
      <c r="L18" s="318" t="s">
        <v>50</v>
      </c>
      <c r="M18" s="318" t="s">
        <v>444</v>
      </c>
      <c r="N18" s="318" t="s">
        <v>443</v>
      </c>
      <c r="O18" s="318" t="s">
        <v>426</v>
      </c>
    </row>
    <row r="19" spans="1:17" ht="45.75" customHeight="1" x14ac:dyDescent="0.3">
      <c r="A19" s="73" t="s">
        <v>0</v>
      </c>
      <c r="B19" s="74" t="s">
        <v>11</v>
      </c>
      <c r="C19" s="323" t="s">
        <v>420</v>
      </c>
      <c r="D19" s="323" t="s">
        <v>421</v>
      </c>
      <c r="E19" s="322" t="s">
        <v>417</v>
      </c>
      <c r="F19" s="322" t="s">
        <v>418</v>
      </c>
      <c r="G19" s="321"/>
      <c r="H19" s="321"/>
      <c r="I19" s="319"/>
      <c r="J19" s="319"/>
      <c r="K19" s="318"/>
      <c r="L19" s="318"/>
      <c r="M19" s="318"/>
      <c r="N19" s="318"/>
      <c r="O19" s="318" t="s">
        <v>49</v>
      </c>
      <c r="Q19" s="6"/>
    </row>
    <row r="20" spans="1:17" ht="15" hidden="1" customHeight="1" x14ac:dyDescent="0.25">
      <c r="B20" s="75"/>
      <c r="C20" s="323"/>
      <c r="D20" s="323"/>
      <c r="E20" s="322"/>
      <c r="F20" s="322"/>
      <c r="I20" s="76"/>
      <c r="J20" s="319"/>
      <c r="O20" s="274"/>
    </row>
    <row r="21" spans="1:17" ht="15" x14ac:dyDescent="0.25">
      <c r="A21" s="77" t="s">
        <v>12</v>
      </c>
      <c r="B21" s="78" t="s">
        <v>13</v>
      </c>
      <c r="C21" s="79">
        <f>'1. Billing Det. for Def-Var'!C17</f>
        <v>1469096846.7337606</v>
      </c>
      <c r="D21" s="79">
        <f>'1. Billing Det. for Def-Var'!D17</f>
        <v>0</v>
      </c>
      <c r="E21" s="79">
        <f>'1. Billing Det. for Def-Var'!I17</f>
        <v>1469096846.7337606</v>
      </c>
      <c r="F21" s="79"/>
      <c r="G21" s="93">
        <f>'2. Allocating Def-Var Balances'!J10+'2. Allocating Def-Var Balances'!K10+'2. Allocating Def-Var Balances'!M10+'2. Allocating Def-Var Balances'!N10+'2. Allocating Def-Var Balances'!P10+'2. Allocating Def-Var Balances'!R10+'2. Allocating Def-Var Balances'!T10</f>
        <v>2013296.2476540094</v>
      </c>
      <c r="H21" s="93">
        <f>('2. Allocating Def-Var Balances'!L10+'2. Allocating Def-Var Balances'!O10)</f>
        <v>-1684542.0762707088</v>
      </c>
      <c r="I21" s="80">
        <f>(ROUND((G21/C21),4))*($D$15/$D$16)</f>
        <v>1.8666666666666666E-3</v>
      </c>
      <c r="J21" s="80">
        <f>(H21/E21)*($D$15/$D$16)</f>
        <v>-1.5288686424505841E-3</v>
      </c>
      <c r="K21" s="93">
        <f>'2. Allocating Def-Var Balances'!Q10+'2. Allocating Def-Var Balances'!S10+'2. Allocating Def-Var Balances'!U10</f>
        <v>-182950.88387766809</v>
      </c>
      <c r="L21" s="93">
        <f>'1. Billing Det. for Def-Var'!N17</f>
        <v>91130678.730000257</v>
      </c>
      <c r="M21" s="93"/>
      <c r="N21" s="93">
        <f>L21-M21</f>
        <v>91130678.730000257</v>
      </c>
      <c r="O21" s="80">
        <f t="shared" ref="O21:O27" si="0">(K21/N21)*($D$15/$D$16)</f>
        <v>-2.676755130504558E-3</v>
      </c>
    </row>
    <row r="22" spans="1:17" ht="15" x14ac:dyDescent="0.25">
      <c r="A22" s="81" t="s">
        <v>14</v>
      </c>
      <c r="B22" s="82" t="s">
        <v>13</v>
      </c>
      <c r="C22" s="83">
        <f>'1. Billing Det. for Def-Var'!C18</f>
        <v>647112057.82811737</v>
      </c>
      <c r="D22" s="83">
        <f>'1. Billing Det. for Def-Var'!D18</f>
        <v>0</v>
      </c>
      <c r="E22" s="83">
        <f>'1. Billing Det. for Def-Var'!I18</f>
        <v>647112057.82811737</v>
      </c>
      <c r="F22" s="83"/>
      <c r="G22" s="93">
        <f>'2. Allocating Def-Var Balances'!J11+'2. Allocating Def-Var Balances'!K11+'2. Allocating Def-Var Balances'!M11+'2. Allocating Def-Var Balances'!N11+'2. Allocating Def-Var Balances'!P11+'2. Allocating Def-Var Balances'!R11+'2. Allocating Def-Var Balances'!T11</f>
        <v>906588.08740690351</v>
      </c>
      <c r="H22" s="93">
        <f>('2. Allocating Def-Var Balances'!L11+'2. Allocating Def-Var Balances'!O11)</f>
        <v>-742012.00002380833</v>
      </c>
      <c r="I22" s="84">
        <f>(ROUND((G22/C22),4))*($D$15/$D$16)</f>
        <v>1.8666666666666666E-3</v>
      </c>
      <c r="J22" s="84">
        <f>(H22/E22)*($D$15/$D$16)</f>
        <v>-1.5288686424505841E-3</v>
      </c>
      <c r="K22" s="93">
        <f>'2. Allocating Def-Var Balances'!Q11+'2. Allocating Def-Var Balances'!S11+'2. Allocating Def-Var Balances'!U11</f>
        <v>-128465.13797694116</v>
      </c>
      <c r="L22" s="93">
        <f>'1. Billing Det. for Def-Var'!N18</f>
        <v>107176499.05999982</v>
      </c>
      <c r="M22" s="93"/>
      <c r="N22" s="93">
        <f t="shared" ref="N22:N27" si="1">L22-M22</f>
        <v>107176499.05999982</v>
      </c>
      <c r="O22" s="84">
        <f t="shared" si="0"/>
        <v>-1.5981754595289709E-3</v>
      </c>
    </row>
    <row r="23" spans="1:17" ht="15" x14ac:dyDescent="0.25">
      <c r="A23" s="81" t="s">
        <v>16</v>
      </c>
      <c r="B23" s="82" t="s">
        <v>17</v>
      </c>
      <c r="C23" s="83">
        <f>'1. Billing Det. for Def-Var'!C19</f>
        <v>2104160254.6192284</v>
      </c>
      <c r="D23" s="83">
        <f>'1. Billing Det. for Def-Var'!D19</f>
        <v>6035820.8381782649</v>
      </c>
      <c r="E23" s="83">
        <f>'1. Billing Det. for Def-Var'!I19</f>
        <v>2103852334.6192284</v>
      </c>
      <c r="F23" s="83">
        <f>'1. Billing Det. for Def-Var'!J19</f>
        <v>6023024.8381782649</v>
      </c>
      <c r="G23" s="93">
        <f>'2. Allocating Def-Var Balances'!J12+'2. Allocating Def-Var Balances'!K12+'2. Allocating Def-Var Balances'!M12+'2. Allocating Def-Var Balances'!N12+'2. Allocating Def-Var Balances'!P12+'2. Allocating Def-Var Balances'!R12+'2. Allocating Def-Var Balances'!T12</f>
        <v>2962663.5956250154</v>
      </c>
      <c r="H23" s="93">
        <f>('2. Allocating Def-Var Balances'!L12+'2. Allocating Def-Var Balances'!O12)</f>
        <v>-2412385.3970593438</v>
      </c>
      <c r="I23" s="84">
        <f>(ROUND((G23/D23),4))*($D$15/$D$16)</f>
        <v>0.65439999999999998</v>
      </c>
      <c r="J23" s="84">
        <f>(H23/F23)*($D$15/$D$16)</f>
        <v>-0.53403629391617513</v>
      </c>
      <c r="K23" s="93">
        <f>'2. Allocating Def-Var Balances'!Q12+'2. Allocating Def-Var Balances'!S12+'2. Allocating Def-Var Balances'!U12</f>
        <v>-1713170.4488044661</v>
      </c>
      <c r="L23" s="88">
        <f>'1. Billing Det. for Def-Var'!O19</f>
        <v>5050206.8599356348</v>
      </c>
      <c r="M23" s="88">
        <f>'1. Billing Det. for Def-Var'!H19</f>
        <v>12796</v>
      </c>
      <c r="N23" s="93">
        <f t="shared" si="1"/>
        <v>5037410.8599356348</v>
      </c>
      <c r="O23" s="84">
        <f t="shared" si="0"/>
        <v>-0.45345264235639654</v>
      </c>
    </row>
    <row r="24" spans="1:17" ht="15" x14ac:dyDescent="0.25">
      <c r="A24" s="81" t="s">
        <v>18</v>
      </c>
      <c r="B24" s="82" t="s">
        <v>17</v>
      </c>
      <c r="C24" s="83">
        <f>'1. Billing Det. for Def-Var'!C20</f>
        <v>2087036249.59586</v>
      </c>
      <c r="D24" s="83">
        <f>'1. Billing Det. for Def-Var'!D20</f>
        <v>4709431.8067152184</v>
      </c>
      <c r="E24" s="83">
        <f>'1. Billing Det. for Def-Var'!I20</f>
        <v>2069566374.59586</v>
      </c>
      <c r="F24" s="83">
        <f>'1. Billing Det. for Def-Var'!J20</f>
        <v>4678341.8067152184</v>
      </c>
      <c r="G24" s="93">
        <f>'2. Allocating Def-Var Balances'!J13+'2. Allocating Def-Var Balances'!K13+'2. Allocating Def-Var Balances'!M13+'2. Allocating Def-Var Balances'!N13+'2. Allocating Def-Var Balances'!P13+'2. Allocating Def-Var Balances'!R13+'2. Allocating Def-Var Balances'!T13</f>
        <v>2930359.5312554166</v>
      </c>
      <c r="H24" s="93">
        <f>('2. Allocating Def-Var Balances'!L13+'2. Allocating Def-Var Balances'!O13)</f>
        <v>-2373071.3501923126</v>
      </c>
      <c r="I24" s="84">
        <f>(ROUND((G24/D24),4))*($D$15/$D$16)</f>
        <v>0.82959999999999989</v>
      </c>
      <c r="J24" s="84">
        <f>(H24/F24)*($D$15/$D$16)</f>
        <v>-0.67632833690092031</v>
      </c>
      <c r="K24" s="93">
        <f>'2. Allocating Def-Var Balances'!Q13+'2. Allocating Def-Var Balances'!S13+'2. Allocating Def-Var Balances'!U13</f>
        <v>-329965.33590636816</v>
      </c>
      <c r="L24" s="88">
        <f>'1. Billing Det. for Def-Var'!O20</f>
        <v>4321176.1688892152</v>
      </c>
      <c r="M24" s="88">
        <f>'1. Billing Det. for Def-Var'!H20</f>
        <v>31090</v>
      </c>
      <c r="N24" s="93">
        <f t="shared" si="1"/>
        <v>4290086.1688892152</v>
      </c>
      <c r="O24" s="84">
        <f t="shared" si="0"/>
        <v>-0.10255126910945084</v>
      </c>
    </row>
    <row r="25" spans="1:17" ht="15" x14ac:dyDescent="0.25">
      <c r="A25" s="81" t="s">
        <v>19</v>
      </c>
      <c r="B25" s="82" t="s">
        <v>17</v>
      </c>
      <c r="C25" s="83">
        <f>'1. Billing Det. for Def-Var'!C21</f>
        <v>1002165608.5676196</v>
      </c>
      <c r="D25" s="83">
        <f>'1. Billing Det. for Def-Var'!D21</f>
        <v>1741184.6735238209</v>
      </c>
      <c r="E25" s="83">
        <f>'1. Billing Det. for Def-Var'!I21</f>
        <v>1002165608.5676196</v>
      </c>
      <c r="F25" s="83">
        <f>'1. Billing Det. for Def-Var'!J21</f>
        <v>1741184.6735238209</v>
      </c>
      <c r="G25" s="93">
        <f>'2. Allocating Def-Var Balances'!J14+'2. Allocating Def-Var Balances'!K14+'2. Allocating Def-Var Balances'!M14+'2. Allocating Def-Var Balances'!N14+'2. Allocating Def-Var Balances'!P14+'2. Allocating Def-Var Balances'!R14+'2. Allocating Def-Var Balances'!T14</f>
        <v>1400429.7548797308</v>
      </c>
      <c r="H25" s="93">
        <f>('2. Allocating Def-Var Balances'!L14+'2. Allocating Def-Var Balances'!O14)</f>
        <v>-1149134.6801110799</v>
      </c>
      <c r="I25" s="84">
        <f>(ROUND((G25/D25),4))*($D$15/$D$16)</f>
        <v>1.0724</v>
      </c>
      <c r="J25" s="84">
        <f>(H25/F25)*($D$15/$D$16)</f>
        <v>-0.87996385264556976</v>
      </c>
      <c r="K25" s="93">
        <f>'2. Allocating Def-Var Balances'!Q14+'2. Allocating Def-Var Balances'!S14+'2. Allocating Def-Var Balances'!U14</f>
        <v>-306660.17335226276</v>
      </c>
      <c r="L25" s="88">
        <f>'1. Billing Det. for Def-Var'!F21</f>
        <v>1741184.6735238209</v>
      </c>
      <c r="M25" s="88">
        <f>'1. Billing Det. for Def-Var'!M21</f>
        <v>1579942</v>
      </c>
      <c r="N25" s="93">
        <f t="shared" si="1"/>
        <v>161242.67352382094</v>
      </c>
      <c r="O25" s="84">
        <f>(K25/L25)*($D$15/$D$16)</f>
        <v>-0.23482875616453472</v>
      </c>
    </row>
    <row r="26" spans="1:17" ht="15" x14ac:dyDescent="0.25">
      <c r="A26" s="81" t="s">
        <v>15</v>
      </c>
      <c r="B26" s="82" t="s">
        <v>13</v>
      </c>
      <c r="C26" s="83">
        <f>'1. Billing Det. for Def-Var'!C22</f>
        <v>11501822.442284448</v>
      </c>
      <c r="D26" s="83">
        <f>'1. Billing Det. for Def-Var'!D22</f>
        <v>0</v>
      </c>
      <c r="E26" s="83">
        <f>'1. Billing Det. for Def-Var'!I22</f>
        <v>11501822.442284448</v>
      </c>
      <c r="F26" s="83"/>
      <c r="G26" s="93">
        <f>'2. Allocating Def-Var Balances'!J15+'2. Allocating Def-Var Balances'!K15+'2. Allocating Def-Var Balances'!M15+'2. Allocating Def-Var Balances'!N15+'2. Allocating Def-Var Balances'!P15+'2. Allocating Def-Var Balances'!R15+'2. Allocating Def-Var Balances'!T15</f>
        <v>16559.736024858379</v>
      </c>
      <c r="H26" s="93">
        <f>('2. Allocating Def-Var Balances'!L15+'2. Allocating Def-Var Balances'!O15)</f>
        <v>-13188.581747282315</v>
      </c>
      <c r="I26" s="84">
        <f>(ROUND((G26/C26),4))*($D$15/$D$16)</f>
        <v>1.8666666666666666E-3</v>
      </c>
      <c r="J26" s="84">
        <f>(H26/E26)*($D$15/$D$16)</f>
        <v>-1.5288686424505841E-3</v>
      </c>
      <c r="K26" s="93">
        <f>'2. Allocating Def-Var Balances'!Q15+'2. Allocating Def-Var Balances'!S15+'2. Allocating Def-Var Balances'!U15</f>
        <v>-444.56773357818361</v>
      </c>
      <c r="L26" s="88">
        <f>'1. Billing Det. for Def-Var'!N22</f>
        <v>523144.30000000075</v>
      </c>
      <c r="M26" s="88"/>
      <c r="N26" s="93">
        <f t="shared" si="1"/>
        <v>523144.30000000075</v>
      </c>
      <c r="O26" s="84">
        <f t="shared" si="0"/>
        <v>-1.1330659210169048E-3</v>
      </c>
    </row>
    <row r="27" spans="1:17" ht="15" x14ac:dyDescent="0.25">
      <c r="A27" s="81" t="s">
        <v>20</v>
      </c>
      <c r="B27" s="82" t="s">
        <v>17</v>
      </c>
      <c r="C27" s="83">
        <f>'1. Billing Det. for Def-Var'!C23</f>
        <v>31923315.475764602</v>
      </c>
      <c r="D27" s="83">
        <f>'1. Billing Det. for Def-Var'!D23</f>
        <v>90306.301017051665</v>
      </c>
      <c r="E27" s="83">
        <f>'1. Billing Det. for Def-Var'!I23</f>
        <v>31923315.475764602</v>
      </c>
      <c r="F27" s="83">
        <f>'1. Billing Det. for Def-Var'!J23</f>
        <v>90306.301017051665</v>
      </c>
      <c r="G27" s="93">
        <f>'2. Allocating Def-Var Balances'!J16+'2. Allocating Def-Var Balances'!K16+'2. Allocating Def-Var Balances'!M16+'2. Allocating Def-Var Balances'!N16+'2. Allocating Def-Var Balances'!P16+'2. Allocating Def-Var Balances'!R16+'2. Allocating Def-Var Balances'!T16</f>
        <v>48562.556411616381</v>
      </c>
      <c r="H27" s="93">
        <f>('2. Allocating Def-Var Balances'!L16+'2. Allocating Def-Var Balances'!O16)</f>
        <v>-36604.916995465464</v>
      </c>
      <c r="I27" s="84">
        <f>(ROUND((G27/D27),4))*($D$15/$D$16)</f>
        <v>0.71706666666666652</v>
      </c>
      <c r="J27" s="84">
        <f>(H27/F27)*($D$15/$D$16)</f>
        <v>-0.54045570956049105</v>
      </c>
      <c r="K27" s="93">
        <f>'2. Allocating Def-Var Balances'!Q16+'2. Allocating Def-Var Balances'!S16+'2. Allocating Def-Var Balances'!U16</f>
        <v>4300.397440546345</v>
      </c>
      <c r="L27" s="88">
        <f>'1. Billing Det. for Def-Var'!O23</f>
        <v>90306.301017051665</v>
      </c>
      <c r="M27" s="88"/>
      <c r="N27" s="93">
        <f t="shared" si="1"/>
        <v>90306.301017051665</v>
      </c>
      <c r="O27" s="84">
        <f t="shared" si="0"/>
        <v>6.3493501444369022E-2</v>
      </c>
    </row>
    <row r="28" spans="1:17" ht="15" x14ac:dyDescent="0.25">
      <c r="A28" s="81" t="s">
        <v>21</v>
      </c>
      <c r="B28" s="82" t="s">
        <v>17</v>
      </c>
      <c r="C28" s="82"/>
      <c r="D28" s="82"/>
      <c r="E28" s="83"/>
      <c r="F28" s="83"/>
      <c r="G28" s="81"/>
      <c r="H28" s="81"/>
      <c r="I28" s="85"/>
      <c r="J28" s="85"/>
      <c r="K28" s="81"/>
      <c r="L28" s="81"/>
      <c r="M28" s="81"/>
      <c r="N28" s="81"/>
      <c r="O28" s="85"/>
    </row>
    <row r="29" spans="1:17" ht="15" x14ac:dyDescent="0.25">
      <c r="A29" s="86" t="s">
        <v>22</v>
      </c>
      <c r="B29" s="87"/>
      <c r="C29" s="87"/>
      <c r="D29" s="87"/>
      <c r="E29" s="88"/>
      <c r="F29" s="88"/>
      <c r="G29" s="86"/>
      <c r="H29" s="86"/>
      <c r="I29" s="89"/>
      <c r="J29" s="89"/>
      <c r="K29" s="86"/>
      <c r="L29" s="86"/>
      <c r="M29" s="86"/>
      <c r="N29" s="86"/>
      <c r="O29" s="89"/>
    </row>
    <row r="30" spans="1:17" ht="15" x14ac:dyDescent="0.25">
      <c r="A30" s="90" t="s">
        <v>3</v>
      </c>
      <c r="C30" s="91">
        <f t="shared" ref="C30:H30" si="2">SUM(C21:C29)</f>
        <v>7352996155.2626343</v>
      </c>
      <c r="D30" s="91">
        <f t="shared" si="2"/>
        <v>12576743.619434355</v>
      </c>
      <c r="E30" s="91">
        <f t="shared" si="2"/>
        <v>7335218360.2626343</v>
      </c>
      <c r="F30" s="91">
        <f t="shared" si="2"/>
        <v>12532857.619434355</v>
      </c>
      <c r="G30" s="91">
        <f t="shared" si="2"/>
        <v>10278459.509257549</v>
      </c>
      <c r="H30" s="91">
        <f t="shared" si="2"/>
        <v>-8410939.0024000015</v>
      </c>
      <c r="I30" s="92"/>
      <c r="J30" s="92"/>
      <c r="K30" s="91">
        <f>SUM(K21:K29)</f>
        <v>-2657356.1502107386</v>
      </c>
      <c r="L30" s="91">
        <f>SUM(L21:L29)</f>
        <v>210033196.09336582</v>
      </c>
      <c r="M30" s="91">
        <f t="shared" ref="M30:N30" si="3">SUM(M21:M29)</f>
        <v>1623828</v>
      </c>
      <c r="N30" s="91">
        <f t="shared" si="3"/>
        <v>208409368.09336582</v>
      </c>
      <c r="O30" s="92"/>
    </row>
  </sheetData>
  <mergeCells count="16">
    <mergeCell ref="K18:K19"/>
    <mergeCell ref="L18:L19"/>
    <mergeCell ref="O18:O19"/>
    <mergeCell ref="J18:J20"/>
    <mergeCell ref="A12:I13"/>
    <mergeCell ref="G18:G19"/>
    <mergeCell ref="I18:I19"/>
    <mergeCell ref="H18:H19"/>
    <mergeCell ref="E19:E20"/>
    <mergeCell ref="F19:F20"/>
    <mergeCell ref="C19:C20"/>
    <mergeCell ref="D19:D20"/>
    <mergeCell ref="M18:M19"/>
    <mergeCell ref="N18:N19"/>
    <mergeCell ref="A15:B15"/>
    <mergeCell ref="A16:B16"/>
  </mergeCells>
  <dataValidations disablePrompts="1" count="1">
    <dataValidation type="list" allowBlank="1" showInputMessage="1" showErrorMessage="1" sqref="E16">
      <formula1>"1,2,3,4"</formula1>
    </dataValidation>
  </dataValidations>
  <pageMargins left="0" right="0" top="0.74803149606299213" bottom="0.74803149606299213" header="0.31496062992125984" footer="0.31496062992125984"/>
  <pageSetup paperSize="5" scale="65"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J41"/>
  <sheetViews>
    <sheetView workbookViewId="0">
      <selection activeCell="A4" sqref="A4"/>
    </sheetView>
  </sheetViews>
  <sheetFormatPr defaultRowHeight="14.4" x14ac:dyDescent="0.3"/>
  <cols>
    <col min="1" max="1" width="40.6640625" customWidth="1"/>
    <col min="2" max="2" width="22.33203125" customWidth="1"/>
    <col min="3" max="7" width="16.44140625" customWidth="1"/>
  </cols>
  <sheetData>
    <row r="1" spans="1:10" ht="20.25" x14ac:dyDescent="0.25">
      <c r="A1" s="39" t="s">
        <v>185</v>
      </c>
    </row>
    <row r="2" spans="1:10" ht="20.25" x14ac:dyDescent="0.25">
      <c r="A2" s="39" t="s">
        <v>186</v>
      </c>
    </row>
    <row r="3" spans="1:10" ht="20.25" x14ac:dyDescent="0.3">
      <c r="A3" s="43" t="s">
        <v>187</v>
      </c>
    </row>
    <row r="4" spans="1:10" ht="20.25" x14ac:dyDescent="0.3">
      <c r="A4" s="43" t="s">
        <v>188</v>
      </c>
    </row>
    <row r="5" spans="1:10" ht="20.25" x14ac:dyDescent="0.3">
      <c r="A5" s="43" t="s">
        <v>189</v>
      </c>
    </row>
    <row r="6" spans="1:10" ht="15" x14ac:dyDescent="0.25">
      <c r="A6" s="1"/>
    </row>
    <row r="7" spans="1:10" ht="15" x14ac:dyDescent="0.25">
      <c r="A7" s="325" t="s">
        <v>190</v>
      </c>
      <c r="B7" s="326"/>
      <c r="C7" s="326"/>
      <c r="D7" s="326"/>
      <c r="E7" s="326"/>
      <c r="F7" s="326"/>
      <c r="G7" s="327"/>
    </row>
    <row r="8" spans="1:10" ht="30" x14ac:dyDescent="0.25">
      <c r="A8" s="131" t="s">
        <v>191</v>
      </c>
      <c r="B8" s="131" t="s">
        <v>192</v>
      </c>
      <c r="C8" s="131" t="s">
        <v>193</v>
      </c>
      <c r="D8" s="131" t="s">
        <v>194</v>
      </c>
      <c r="E8" s="131" t="s">
        <v>195</v>
      </c>
      <c r="F8" s="132" t="s">
        <v>2</v>
      </c>
      <c r="G8" s="131" t="s">
        <v>196</v>
      </c>
    </row>
    <row r="9" spans="1:10" ht="15" x14ac:dyDescent="0.25">
      <c r="A9" s="133" t="s">
        <v>197</v>
      </c>
      <c r="B9" s="133" t="s">
        <v>198</v>
      </c>
      <c r="C9" s="134">
        <f>'[7]GA Calc 2013'!C10</f>
        <v>-113105826.73999999</v>
      </c>
      <c r="D9" s="134">
        <f>'[7]GA Calc 2013'!D10</f>
        <v>113739517.21305354</v>
      </c>
      <c r="E9" s="134">
        <f>SUM(C9:D9)</f>
        <v>633690.47305354476</v>
      </c>
      <c r="F9" s="134">
        <f>'[7]GA Calc 2013'!F10</f>
        <v>23259.090100681195</v>
      </c>
      <c r="G9" s="134">
        <f>SUM(E9:F9)</f>
        <v>656949.56315422594</v>
      </c>
    </row>
    <row r="10" spans="1:10" ht="15" x14ac:dyDescent="0.25">
      <c r="A10" s="133" t="s">
        <v>199</v>
      </c>
      <c r="B10" s="133" t="s">
        <v>200</v>
      </c>
      <c r="C10" s="134">
        <f>'[7]GA Calc 2013'!C11</f>
        <v>-133568329.02</v>
      </c>
      <c r="D10" s="134">
        <f>'[7]GA Calc 2013'!D11</f>
        <v>136096056.68286884</v>
      </c>
      <c r="E10" s="134">
        <f>SUM(C10:D10)</f>
        <v>2527727.6628688425</v>
      </c>
      <c r="F10" s="134">
        <f>'[7]GA Calc 2013'!F11</f>
        <v>92778.173631719692</v>
      </c>
      <c r="G10" s="134">
        <f>SUM(E10:F10)</f>
        <v>2620505.8365005623</v>
      </c>
    </row>
    <row r="11" spans="1:10" ht="15" x14ac:dyDescent="0.25">
      <c r="A11" s="135" t="s">
        <v>201</v>
      </c>
      <c r="B11" s="133" t="s">
        <v>202</v>
      </c>
      <c r="C11" s="134">
        <f>'[7]GA Calc 2014'!C9</f>
        <v>-246552828.86000001</v>
      </c>
      <c r="D11" s="134">
        <f>'[7]GA Calc 2014'!D9</f>
        <v>254552255.52000004</v>
      </c>
      <c r="E11" s="134">
        <f>SUM(C11:D11)</f>
        <v>7999426.6600000262</v>
      </c>
      <c r="F11" s="136">
        <f>'[7]GA Calc 2014'!F9-1</f>
        <v>147391.43188524409</v>
      </c>
      <c r="G11" s="134">
        <f>SUM(E11:F11)</f>
        <v>8146818.0918852706</v>
      </c>
    </row>
    <row r="12" spans="1:10" ht="15.75" thickBot="1" x14ac:dyDescent="0.3">
      <c r="A12" s="137" t="s">
        <v>3</v>
      </c>
      <c r="B12" s="138"/>
      <c r="C12" s="138">
        <f>SUM(C9:C11)</f>
        <v>-493226984.62</v>
      </c>
      <c r="D12" s="138">
        <f>SUM(D9:D11)</f>
        <v>504387829.4159224</v>
      </c>
      <c r="E12" s="138">
        <f>SUM(E9:E11)</f>
        <v>11160844.795922413</v>
      </c>
      <c r="F12" s="138">
        <f>SUM(F9:F11)</f>
        <v>263428.69561764499</v>
      </c>
      <c r="G12" s="139">
        <f>SUM(G9:G11)</f>
        <v>11424273.491540059</v>
      </c>
    </row>
    <row r="13" spans="1:10" ht="15.75" thickTop="1" x14ac:dyDescent="0.25">
      <c r="A13" s="1"/>
      <c r="E13" s="239"/>
      <c r="F13" s="275"/>
    </row>
    <row r="14" spans="1:10" ht="15" x14ac:dyDescent="0.25">
      <c r="A14" s="325" t="s">
        <v>203</v>
      </c>
      <c r="B14" s="326"/>
      <c r="C14" s="326"/>
      <c r="D14" s="326"/>
      <c r="E14" s="326"/>
      <c r="F14" s="326"/>
      <c r="G14" s="327"/>
    </row>
    <row r="15" spans="1:10" ht="45" x14ac:dyDescent="0.25">
      <c r="A15" s="131" t="s">
        <v>0</v>
      </c>
      <c r="B15" s="140" t="s">
        <v>217</v>
      </c>
      <c r="C15" s="141" t="s">
        <v>204</v>
      </c>
      <c r="D15" s="131" t="s">
        <v>205</v>
      </c>
      <c r="E15" s="142" t="s">
        <v>206</v>
      </c>
      <c r="F15" s="131" t="s">
        <v>28</v>
      </c>
      <c r="G15" s="131" t="s">
        <v>207</v>
      </c>
    </row>
    <row r="16" spans="1:10" ht="15" x14ac:dyDescent="0.25">
      <c r="A16" s="133" t="s">
        <v>208</v>
      </c>
      <c r="B16" s="143">
        <f>'[7]GA Calc 2013'!B17</f>
        <v>206668430.17667073</v>
      </c>
      <c r="C16" s="144">
        <f>+ROUND(B16/$B$20,4)</f>
        <v>0.115</v>
      </c>
      <c r="D16" s="145">
        <f>+ROUND(G9*C16,0)-7.48</f>
        <v>75541.52</v>
      </c>
      <c r="E16" s="146">
        <f>'[7]GA Calc 2013'!E17</f>
        <v>491081.30119971244</v>
      </c>
      <c r="F16" s="147">
        <f>(ROUND(D16/E16,4))*('3. Calculation of Def-Var RR'!$D$15/'3. Calculation of Def-Var RR'!$D$16)</f>
        <v>0.20506666666666665</v>
      </c>
      <c r="G16" s="148" t="s">
        <v>17</v>
      </c>
      <c r="J16" s="276"/>
    </row>
    <row r="17" spans="1:10" ht="15" x14ac:dyDescent="0.25">
      <c r="A17" s="133" t="s">
        <v>209</v>
      </c>
      <c r="B17" s="143">
        <f>'[7]GA Calc 2013'!B18</f>
        <v>1476480255.478559</v>
      </c>
      <c r="C17" s="144">
        <f>+ROUND(B17/$B$20,4)</f>
        <v>0.82169999999999999</v>
      </c>
      <c r="D17" s="145">
        <f>+ROUND(G9*C17,0)-53.68</f>
        <v>539761.31999999995</v>
      </c>
      <c r="E17" s="146">
        <f>'[7]GA Calc 2013'!E18</f>
        <v>3232315.9599467958</v>
      </c>
      <c r="F17" s="147">
        <f>(ROUND(D17/E17,4))*('3. Calculation of Def-Var RR'!$D$15/'3. Calculation of Def-Var RR'!$D$16)</f>
        <v>0.22266666666666668</v>
      </c>
      <c r="G17" s="148" t="s">
        <v>17</v>
      </c>
      <c r="J17" s="276"/>
    </row>
    <row r="18" spans="1:10" ht="15" x14ac:dyDescent="0.25">
      <c r="A18" s="133" t="s">
        <v>210</v>
      </c>
      <c r="B18" s="143">
        <f>'[7]GA Calc 2013'!B19</f>
        <v>81732248.567619562</v>
      </c>
      <c r="C18" s="144">
        <f>+ROUND(B18/$B$20,4)</f>
        <v>4.5499999999999999E-2</v>
      </c>
      <c r="D18" s="145">
        <f>+ROUND(G9*C18,0)-2.85</f>
        <v>29888.15</v>
      </c>
      <c r="E18" s="146">
        <f>'[7]GA Calc 2013'!E19</f>
        <v>161243.07400000002</v>
      </c>
      <c r="F18" s="147">
        <f>(ROUND(D18/E18,4))*('3. Calculation of Def-Var RR'!$D$15/'3. Calculation of Def-Var RR'!$D$16)</f>
        <v>0.2472</v>
      </c>
      <c r="G18" s="148" t="s">
        <v>17</v>
      </c>
      <c r="J18" s="276"/>
    </row>
    <row r="19" spans="1:10" ht="15" x14ac:dyDescent="0.25">
      <c r="A19" s="133" t="s">
        <v>211</v>
      </c>
      <c r="B19" s="143">
        <f>'[7]GA Calc 2013'!B20</f>
        <v>31923315.475764602</v>
      </c>
      <c r="C19" s="149">
        <f>+ROUND(B19/$B$20,4)</f>
        <v>1.78E-2</v>
      </c>
      <c r="D19" s="150">
        <f>+ROUND(G9*C19,0)-1.11</f>
        <v>11692.89</v>
      </c>
      <c r="E19" s="146">
        <f>'[7]GA Calc 2013'!E20+1</f>
        <v>90307.301017051665</v>
      </c>
      <c r="F19" s="147">
        <f>(ROUND(D19/E19,4))*('3. Calculation of Def-Var RR'!$D$15/'3. Calculation of Def-Var RR'!$D$16)</f>
        <v>0.17266666666666666</v>
      </c>
      <c r="G19" s="148" t="s">
        <v>17</v>
      </c>
      <c r="J19" s="276"/>
    </row>
    <row r="20" spans="1:10" ht="15.75" thickBot="1" x14ac:dyDescent="0.3">
      <c r="A20" s="137" t="s">
        <v>3</v>
      </c>
      <c r="B20" s="137">
        <f>SUM(B16:B19)</f>
        <v>1796804249.6986139</v>
      </c>
      <c r="C20" s="151">
        <f>SUM(C16:C19)</f>
        <v>1</v>
      </c>
      <c r="D20" s="137">
        <f>SUM(D16:D19)</f>
        <v>656883.88</v>
      </c>
      <c r="E20" s="137">
        <f>SUM(E16:E19)</f>
        <v>3974947.6361635597</v>
      </c>
      <c r="F20" s="137"/>
      <c r="G20" s="152"/>
    </row>
    <row r="21" spans="1:10" ht="15.75" thickTop="1" x14ac:dyDescent="0.25">
      <c r="A21" s="153"/>
      <c r="B21" s="153"/>
      <c r="C21" s="153"/>
      <c r="D21" s="239"/>
      <c r="E21" s="153"/>
      <c r="F21" s="153"/>
      <c r="G21" s="154"/>
    </row>
    <row r="22" spans="1:10" ht="15" x14ac:dyDescent="0.25">
      <c r="A22" s="325" t="s">
        <v>212</v>
      </c>
      <c r="B22" s="326"/>
      <c r="C22" s="326"/>
      <c r="D22" s="326"/>
      <c r="E22" s="326"/>
      <c r="F22" s="326"/>
      <c r="G22" s="327"/>
    </row>
    <row r="23" spans="1:10" ht="60" x14ac:dyDescent="0.25">
      <c r="A23" s="131" t="s">
        <v>0</v>
      </c>
      <c r="B23" s="142" t="s">
        <v>217</v>
      </c>
      <c r="C23" s="141" t="s">
        <v>204</v>
      </c>
      <c r="D23" s="131" t="s">
        <v>205</v>
      </c>
      <c r="E23" s="142" t="s">
        <v>213</v>
      </c>
      <c r="F23" s="142" t="s">
        <v>28</v>
      </c>
      <c r="G23" s="131" t="s">
        <v>207</v>
      </c>
    </row>
    <row r="24" spans="1:10" ht="15" x14ac:dyDescent="0.25">
      <c r="A24" s="133" t="s">
        <v>1</v>
      </c>
      <c r="B24" s="146">
        <f>'[7]GA Calc 2013'!B26</f>
        <v>91130678.730000257</v>
      </c>
      <c r="C24" s="144">
        <f>+ROUND(B24/$B$29,4)</f>
        <v>4.2299999999999997E-2</v>
      </c>
      <c r="D24" s="134">
        <f>+ROUND($G$10*C24,0)+11.11</f>
        <v>110858.11</v>
      </c>
      <c r="E24" s="155">
        <f>'[7]GA Calc 2013'!E26</f>
        <v>91130678.730000257</v>
      </c>
      <c r="F24" s="147">
        <f>(ROUND(D24/E24,4))*('3. Calculation of Def-Var RR'!$D$15/'3. Calculation of Def-Var RR'!$D$16)</f>
        <v>1.5999999999999999E-3</v>
      </c>
      <c r="G24" s="156" t="s">
        <v>13</v>
      </c>
      <c r="J24" s="286"/>
    </row>
    <row r="25" spans="1:10" ht="15" x14ac:dyDescent="0.25">
      <c r="A25" s="133" t="s">
        <v>214</v>
      </c>
      <c r="B25" s="146">
        <f>'[7]GA Calc 2013'!B27</f>
        <v>107176499.05999982</v>
      </c>
      <c r="C25" s="144">
        <f>+ROUND(B25/$B$29,4)</f>
        <v>4.9700000000000001E-2</v>
      </c>
      <c r="D25" s="134">
        <f>+ROUND($G$10*C25,)+12.97</f>
        <v>130251.97</v>
      </c>
      <c r="E25" s="155">
        <f>'[7]GA Calc 2013'!E27</f>
        <v>107176499.05999982</v>
      </c>
      <c r="F25" s="147">
        <f>(ROUND(D25/E25,4))*('3. Calculation of Def-Var RR'!$D$15/'3. Calculation of Def-Var RR'!$D$16)</f>
        <v>1.5999999999999999E-3</v>
      </c>
      <c r="G25" s="156" t="s">
        <v>13</v>
      </c>
      <c r="J25" s="286"/>
    </row>
    <row r="26" spans="1:10" ht="15" x14ac:dyDescent="0.25">
      <c r="A26" s="133" t="s">
        <v>215</v>
      </c>
      <c r="B26" s="146">
        <f>'[7]GA Calc 2013'!B28</f>
        <v>523144.30000000075</v>
      </c>
      <c r="C26" s="144">
        <f>+ROUND(B26/$B$29,4)</f>
        <v>2.0000000000000001E-4</v>
      </c>
      <c r="D26" s="134">
        <f>+ROUND($G$10*C26,0)+0.05</f>
        <v>524.04999999999995</v>
      </c>
      <c r="E26" s="155">
        <f>'[7]GA Calc 2013'!E28</f>
        <v>523144.30000000075</v>
      </c>
      <c r="F26" s="147">
        <f>(ROUND(D26/E26,4))*('3. Calculation of Def-Var RR'!$D$15/'3. Calculation of Def-Var RR'!$D$16)</f>
        <v>1.3333333333333333E-3</v>
      </c>
      <c r="G26" s="156" t="s">
        <v>13</v>
      </c>
      <c r="J26" s="286"/>
    </row>
    <row r="27" spans="1:10" x14ac:dyDescent="0.3">
      <c r="A27" s="133" t="s">
        <v>208</v>
      </c>
      <c r="B27" s="146">
        <f>'[7]GA Calc 2013'!B29</f>
        <v>1545973918.0890017</v>
      </c>
      <c r="C27" s="144">
        <f>+ROUND(B27/$B$29,4)</f>
        <v>0.71740000000000004</v>
      </c>
      <c r="D27" s="134">
        <f>+ROUND($G$10*C27,0)+187.96</f>
        <v>1880138.96</v>
      </c>
      <c r="E27" s="155">
        <f>'[7]GA Calc 2013'!E29</f>
        <v>4546329.6087359227</v>
      </c>
      <c r="F27" s="147">
        <f>(ROUND(D27/E27,4))*('3. Calculation of Def-Var RR'!$D$15/'3. Calculation of Def-Var RR'!$D$16)</f>
        <v>0.55146666666666666</v>
      </c>
      <c r="G27" s="156" t="s">
        <v>17</v>
      </c>
      <c r="J27" s="286"/>
    </row>
    <row r="28" spans="1:10" x14ac:dyDescent="0.3">
      <c r="A28" s="133" t="s">
        <v>209</v>
      </c>
      <c r="B28" s="146">
        <f>'[7]GA Calc 2013'!B30</f>
        <v>410099646.34624451</v>
      </c>
      <c r="C28" s="149">
        <f>+ROUND(B28/$B$29,4)</f>
        <v>0.1903</v>
      </c>
      <c r="D28" s="157">
        <f>+ROUND($G$10*C28,0)+49.88</f>
        <v>498731.88</v>
      </c>
      <c r="E28" s="155">
        <f>'[7]GA Calc 2013'!E30</f>
        <v>1057770.018942419</v>
      </c>
      <c r="F28" s="147">
        <f>(ROUND(D28/E28,4))*('3. Calculation of Def-Var RR'!$D$15/'3. Calculation of Def-Var RR'!$D$16)</f>
        <v>0.6286666666666666</v>
      </c>
      <c r="G28" s="156" t="s">
        <v>17</v>
      </c>
      <c r="J28" s="286"/>
    </row>
    <row r="29" spans="1:10" ht="15" thickBot="1" x14ac:dyDescent="0.35">
      <c r="A29" s="137" t="s">
        <v>3</v>
      </c>
      <c r="B29" s="137">
        <f>SUM(B24:B28)</f>
        <v>2154903886.5252461</v>
      </c>
      <c r="C29" s="158">
        <f>SUM(C24:C28)</f>
        <v>0.99990000000000012</v>
      </c>
      <c r="D29" s="137">
        <f>SUM(D24:D28)</f>
        <v>2620504.9699999997</v>
      </c>
      <c r="E29" s="137">
        <f>SUM(E24:E28)</f>
        <v>204434421.71767843</v>
      </c>
      <c r="F29" s="137"/>
      <c r="G29" s="152"/>
    </row>
    <row r="30" spans="1:10" ht="15" thickTop="1" x14ac:dyDescent="0.3">
      <c r="D30" s="239"/>
    </row>
    <row r="31" spans="1:10" x14ac:dyDescent="0.3">
      <c r="A31" s="325" t="s">
        <v>216</v>
      </c>
      <c r="B31" s="326"/>
      <c r="C31" s="326"/>
      <c r="D31" s="326"/>
      <c r="E31" s="326"/>
      <c r="F31" s="326"/>
      <c r="G31" s="327"/>
    </row>
    <row r="32" spans="1:10" ht="57.6" x14ac:dyDescent="0.3">
      <c r="A32" s="131" t="s">
        <v>0</v>
      </c>
      <c r="B32" s="140" t="s">
        <v>217</v>
      </c>
      <c r="C32" s="141" t="s">
        <v>204</v>
      </c>
      <c r="D32" s="131" t="s">
        <v>205</v>
      </c>
      <c r="E32" s="142" t="s">
        <v>213</v>
      </c>
      <c r="F32" s="131" t="s">
        <v>28</v>
      </c>
      <c r="G32" s="131" t="s">
        <v>207</v>
      </c>
    </row>
    <row r="33" spans="1:7" x14ac:dyDescent="0.3">
      <c r="A33" s="159" t="s">
        <v>1</v>
      </c>
      <c r="B33" s="143">
        <f>'[7]GA Calc 2014'!B28</f>
        <v>91130678.730000257</v>
      </c>
      <c r="C33" s="144">
        <f>+ROUND(B33/$B$40,4)</f>
        <v>2.3099999999999999E-2</v>
      </c>
      <c r="D33" s="145">
        <f t="shared" ref="D33:D39" si="0">+ROUND($G$11*C33,0)</f>
        <v>188191</v>
      </c>
      <c r="E33" s="155">
        <f>'[7]GA Calc 2014'!E28</f>
        <v>91130678.730000257</v>
      </c>
      <c r="F33" s="147">
        <f>(ROUND(D33/E33,4))*('3. Calculation of Def-Var RR'!$D$15/'3. Calculation of Def-Var RR'!$D$16)</f>
        <v>2.7999999999999995E-3</v>
      </c>
      <c r="G33" s="160" t="s">
        <v>13</v>
      </c>
    </row>
    <row r="34" spans="1:7" x14ac:dyDescent="0.3">
      <c r="A34" s="159" t="s">
        <v>214</v>
      </c>
      <c r="B34" s="143">
        <f>'[7]GA Calc 2014'!B29</f>
        <v>107176499.05999982</v>
      </c>
      <c r="C34" s="144">
        <f t="shared" ref="C34:C39" si="1">+ROUND(B34/$B$40,4)</f>
        <v>2.7099999999999999E-2</v>
      </c>
      <c r="D34" s="145">
        <f t="shared" si="0"/>
        <v>220779</v>
      </c>
      <c r="E34" s="155">
        <f>'[7]GA Calc 2014'!E29</f>
        <v>107176499.05999982</v>
      </c>
      <c r="F34" s="147">
        <f>(ROUND(D34/E34,4))*('3. Calculation of Def-Var RR'!$D$15/'3. Calculation of Def-Var RR'!$D$16)</f>
        <v>2.7999999999999995E-3</v>
      </c>
      <c r="G34" s="160" t="s">
        <v>13</v>
      </c>
    </row>
    <row r="35" spans="1:7" x14ac:dyDescent="0.3">
      <c r="A35" s="159" t="s">
        <v>215</v>
      </c>
      <c r="B35" s="143">
        <f>'[7]GA Calc 2014'!B30</f>
        <v>523144.30000000075</v>
      </c>
      <c r="C35" s="144">
        <f t="shared" si="1"/>
        <v>1E-4</v>
      </c>
      <c r="D35" s="145">
        <f t="shared" si="0"/>
        <v>815</v>
      </c>
      <c r="E35" s="155">
        <f>'[7]GA Calc 2014'!E30</f>
        <v>523144.30000000075</v>
      </c>
      <c r="F35" s="147">
        <f>(ROUND(D35/E35,4))*('3. Calculation of Def-Var RR'!$D$15/'3. Calculation of Def-Var RR'!$D$16)</f>
        <v>2.1333333333333334E-3</v>
      </c>
      <c r="G35" s="160" t="s">
        <v>13</v>
      </c>
    </row>
    <row r="36" spans="1:7" x14ac:dyDescent="0.3">
      <c r="A36" s="159" t="s">
        <v>208</v>
      </c>
      <c r="B36" s="143">
        <f>'[7]GA Calc 2014'!B31</f>
        <v>1752642348.2656724</v>
      </c>
      <c r="C36" s="144">
        <f t="shared" si="1"/>
        <v>0.44350000000000001</v>
      </c>
      <c r="D36" s="145">
        <f t="shared" si="0"/>
        <v>3613114</v>
      </c>
      <c r="E36" s="155">
        <f>'[7]GA Calc 2014'!E31</f>
        <v>5037410.9099356355</v>
      </c>
      <c r="F36" s="147">
        <f>(ROUND(D36/E36,4))*('3. Calculation of Def-Var RR'!$D$15/'3. Calculation of Def-Var RR'!$D$16)</f>
        <v>0.95640000000000003</v>
      </c>
      <c r="G36" s="160" t="s">
        <v>17</v>
      </c>
    </row>
    <row r="37" spans="1:7" x14ac:dyDescent="0.3">
      <c r="A37" s="159" t="s">
        <v>209</v>
      </c>
      <c r="B37" s="143">
        <f>'[7]GA Calc 2014'!B32</f>
        <v>1886579901.8248036</v>
      </c>
      <c r="C37" s="144">
        <f t="shared" si="1"/>
        <v>0.47739999999999999</v>
      </c>
      <c r="D37" s="145">
        <f t="shared" si="0"/>
        <v>3889291</v>
      </c>
      <c r="E37" s="155">
        <f>'[7]GA Calc 2014'!E32</f>
        <v>4290085.9788892148</v>
      </c>
      <c r="F37" s="147">
        <f>(ROUND(D37/E37,4))*('3. Calculation of Def-Var RR'!$D$15/'3. Calculation of Def-Var RR'!$D$16)</f>
        <v>1.2087999999999999</v>
      </c>
      <c r="G37" s="160" t="s">
        <v>17</v>
      </c>
    </row>
    <row r="38" spans="1:7" x14ac:dyDescent="0.3">
      <c r="A38" s="159" t="s">
        <v>210</v>
      </c>
      <c r="B38" s="143">
        <f>'[7]GA Calc 2014'!B33</f>
        <v>81732248.567619562</v>
      </c>
      <c r="C38" s="144">
        <f t="shared" si="1"/>
        <v>2.07E-2</v>
      </c>
      <c r="D38" s="145">
        <f t="shared" si="0"/>
        <v>168639</v>
      </c>
      <c r="E38" s="155">
        <f>'[7]GA Calc 2014'!E33</f>
        <v>161243.07400000002</v>
      </c>
      <c r="F38" s="147">
        <f>(ROUND(D38/E38,4))*('3. Calculation of Def-Var RR'!$D$15/'3. Calculation of Def-Var RR'!$D$16)</f>
        <v>1.3945333333333334</v>
      </c>
      <c r="G38" s="160" t="s">
        <v>17</v>
      </c>
    </row>
    <row r="39" spans="1:7" x14ac:dyDescent="0.3">
      <c r="A39" s="159" t="s">
        <v>211</v>
      </c>
      <c r="B39" s="143">
        <f>'[7]GA Calc 2014'!B34</f>
        <v>31923315.475764602</v>
      </c>
      <c r="C39" s="144">
        <f t="shared" si="1"/>
        <v>8.0999999999999996E-3</v>
      </c>
      <c r="D39" s="145">
        <f t="shared" si="0"/>
        <v>65989</v>
      </c>
      <c r="E39" s="155">
        <f>'[7]GA Calc 2014'!E34+1</f>
        <v>90307.301017051665</v>
      </c>
      <c r="F39" s="147">
        <f>(ROUND(D39/E39,4))*('3. Calculation of Def-Var RR'!$D$15/'3. Calculation of Def-Var RR'!$D$16)</f>
        <v>0.97426666666666661</v>
      </c>
      <c r="G39" s="160" t="s">
        <v>17</v>
      </c>
    </row>
    <row r="40" spans="1:7" ht="15" thickBot="1" x14ac:dyDescent="0.35">
      <c r="A40" s="137" t="s">
        <v>3</v>
      </c>
      <c r="B40" s="137">
        <f>SUM(B33:B39)</f>
        <v>3951708136.2238603</v>
      </c>
      <c r="C40" s="151">
        <f>SUM(C33:C39)</f>
        <v>1.0000000000000002</v>
      </c>
      <c r="D40" s="137">
        <f>SUM(D33:D39)</f>
        <v>8146818</v>
      </c>
      <c r="E40" s="137">
        <f>SUM(E33:E39)</f>
        <v>208409369.35384199</v>
      </c>
      <c r="F40" s="137"/>
      <c r="G40" s="152"/>
    </row>
    <row r="41" spans="1:7" ht="15" thickTop="1" x14ac:dyDescent="0.3"/>
  </sheetData>
  <mergeCells count="4">
    <mergeCell ref="A7:G7"/>
    <mergeCell ref="A14:G14"/>
    <mergeCell ref="A22:G22"/>
    <mergeCell ref="A31:G31"/>
  </mergeCells>
  <pageMargins left="0.70866141732283472" right="0.70866141732283472" top="0.19685039370078741" bottom="0.19685039370078741" header="0.31496062992125984" footer="0.31496062992125984"/>
  <pageSetup paperSize="5" orientation="landscape" r:id="rId1"/>
  <rowBreaks count="1" manualBreakCount="1">
    <brk id="20"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33"/>
  <sheetViews>
    <sheetView workbookViewId="0">
      <selection activeCell="F31" sqref="F31"/>
    </sheetView>
  </sheetViews>
  <sheetFormatPr defaultRowHeight="14.4" x14ac:dyDescent="0.3"/>
  <cols>
    <col min="1" max="1" width="54.44140625" customWidth="1"/>
    <col min="2" max="2" width="13.5546875" customWidth="1"/>
    <col min="3" max="3" width="19.33203125" customWidth="1"/>
    <col min="4" max="4" width="19.88671875" customWidth="1"/>
    <col min="5" max="6" width="22" customWidth="1"/>
  </cols>
  <sheetData>
    <row r="1" spans="1:5" ht="20.25" x14ac:dyDescent="0.25">
      <c r="A1" s="39" t="s">
        <v>29</v>
      </c>
    </row>
    <row r="2" spans="1:5" ht="20.25" x14ac:dyDescent="0.25">
      <c r="A2" s="39" t="s">
        <v>60</v>
      </c>
    </row>
    <row r="3" spans="1:5" ht="20.25" x14ac:dyDescent="0.3">
      <c r="A3" s="43" t="s">
        <v>41</v>
      </c>
    </row>
    <row r="4" spans="1:5" s="66" customFormat="1" ht="18" x14ac:dyDescent="0.25">
      <c r="A4" s="121" t="s">
        <v>51</v>
      </c>
    </row>
    <row r="5" spans="1:5" ht="15.75" thickBot="1" x14ac:dyDescent="0.3"/>
    <row r="6" spans="1:5" ht="15.75" thickBot="1" x14ac:dyDescent="0.3">
      <c r="A6" s="328" t="s">
        <v>52</v>
      </c>
      <c r="B6" s="329"/>
      <c r="C6" s="329"/>
      <c r="D6" s="329"/>
      <c r="E6" s="330"/>
    </row>
    <row r="7" spans="1:5" ht="59.25" customHeight="1" thickBot="1" x14ac:dyDescent="0.3">
      <c r="A7" s="111" t="s">
        <v>0</v>
      </c>
      <c r="B7" s="94" t="s">
        <v>11</v>
      </c>
      <c r="C7" s="95" t="s">
        <v>425</v>
      </c>
      <c r="D7" s="95" t="s">
        <v>424</v>
      </c>
      <c r="E7" s="95" t="s">
        <v>427</v>
      </c>
    </row>
    <row r="8" spans="1:5" ht="15" x14ac:dyDescent="0.25">
      <c r="A8" s="96" t="s">
        <v>12</v>
      </c>
      <c r="B8" s="97" t="s">
        <v>13</v>
      </c>
      <c r="C8" s="98">
        <f>'3. Calculation of Def-Var RR'!I21</f>
        <v>1.8666666666666666E-3</v>
      </c>
      <c r="D8" s="98">
        <f>'3. Calculation of Def-Var RR'!J21</f>
        <v>-1.5288686424505841E-3</v>
      </c>
      <c r="E8" s="98">
        <f>C8+D8</f>
        <v>3.3779802421608253E-4</v>
      </c>
    </row>
    <row r="9" spans="1:5" ht="15" x14ac:dyDescent="0.25">
      <c r="A9" s="96" t="s">
        <v>14</v>
      </c>
      <c r="B9" s="97" t="s">
        <v>13</v>
      </c>
      <c r="C9" s="98">
        <f>'3. Calculation of Def-Var RR'!I22</f>
        <v>1.8666666666666666E-3</v>
      </c>
      <c r="D9" s="98">
        <f>'3. Calculation of Def-Var RR'!J22</f>
        <v>-1.5288686424505841E-3</v>
      </c>
      <c r="E9" s="98">
        <f t="shared" ref="E9:E17" si="0">C9+D9</f>
        <v>3.3779802421608253E-4</v>
      </c>
    </row>
    <row r="10" spans="1:5" ht="15" x14ac:dyDescent="0.25">
      <c r="A10" s="96" t="s">
        <v>15</v>
      </c>
      <c r="B10" s="97" t="s">
        <v>13</v>
      </c>
      <c r="C10" s="98">
        <f>'3. Calculation of Def-Var RR'!I26</f>
        <v>1.8666666666666666E-3</v>
      </c>
      <c r="D10" s="98">
        <f>'3. Calculation of Def-Var RR'!J26</f>
        <v>-1.5288686424505841E-3</v>
      </c>
      <c r="E10" s="98">
        <f t="shared" si="0"/>
        <v>3.3779802421608253E-4</v>
      </c>
    </row>
    <row r="11" spans="1:5" ht="15" x14ac:dyDescent="0.25">
      <c r="A11" s="96" t="s">
        <v>55</v>
      </c>
      <c r="B11" s="97" t="s">
        <v>17</v>
      </c>
      <c r="C11" s="98">
        <f>'3. Calculation of Def-Var RR'!I23</f>
        <v>0.65439999999999998</v>
      </c>
      <c r="D11" s="98">
        <f>'3. Calculation of Def-Var RR'!J23</f>
        <v>-0.53403629391617513</v>
      </c>
      <c r="E11" s="98">
        <f t="shared" si="0"/>
        <v>0.12036370608382485</v>
      </c>
    </row>
    <row r="12" spans="1:5" ht="15" x14ac:dyDescent="0.25">
      <c r="A12" s="96" t="s">
        <v>56</v>
      </c>
      <c r="B12" s="97" t="s">
        <v>17</v>
      </c>
      <c r="C12" s="98">
        <f>C11</f>
        <v>0.65439999999999998</v>
      </c>
      <c r="D12" s="98">
        <f>D11</f>
        <v>-0.53403629391617513</v>
      </c>
      <c r="E12" s="98">
        <f t="shared" si="0"/>
        <v>0.12036370608382485</v>
      </c>
    </row>
    <row r="13" spans="1:5" ht="15" x14ac:dyDescent="0.25">
      <c r="A13" s="96" t="s">
        <v>57</v>
      </c>
      <c r="B13" s="97" t="s">
        <v>17</v>
      </c>
      <c r="C13" s="98">
        <f>'3. Calculation of Def-Var RR'!I24</f>
        <v>0.82959999999999989</v>
      </c>
      <c r="D13" s="98">
        <f>'3. Calculation of Def-Var RR'!J24</f>
        <v>-0.67632833690092031</v>
      </c>
      <c r="E13" s="98">
        <f t="shared" si="0"/>
        <v>0.15327166309907958</v>
      </c>
    </row>
    <row r="14" spans="1:5" ht="15" x14ac:dyDescent="0.25">
      <c r="A14" s="96" t="s">
        <v>58</v>
      </c>
      <c r="B14" s="97" t="s">
        <v>17</v>
      </c>
      <c r="C14" s="98">
        <f>C13</f>
        <v>0.82959999999999989</v>
      </c>
      <c r="D14" s="98">
        <f>D13</f>
        <v>-0.67632833690092031</v>
      </c>
      <c r="E14" s="98">
        <f t="shared" si="0"/>
        <v>0.15327166309907958</v>
      </c>
    </row>
    <row r="15" spans="1:5" ht="15" x14ac:dyDescent="0.25">
      <c r="A15" s="96" t="s">
        <v>448</v>
      </c>
      <c r="B15" s="97" t="s">
        <v>17</v>
      </c>
      <c r="C15" s="98">
        <f>'3. Calculation of Def-Var RR'!I25</f>
        <v>1.0724</v>
      </c>
      <c r="D15" s="98">
        <f>'3. Calculation of Def-Var RR'!J25</f>
        <v>-0.87996385264556976</v>
      </c>
      <c r="E15" s="98">
        <f t="shared" si="0"/>
        <v>0.19243614735443026</v>
      </c>
    </row>
    <row r="16" spans="1:5" ht="15" x14ac:dyDescent="0.25">
      <c r="A16" s="96" t="s">
        <v>59</v>
      </c>
      <c r="B16" s="97" t="s">
        <v>17</v>
      </c>
      <c r="C16" s="98">
        <f>C15</f>
        <v>1.0724</v>
      </c>
      <c r="D16" s="98">
        <f>D15</f>
        <v>-0.87996385264556976</v>
      </c>
      <c r="E16" s="98">
        <f t="shared" si="0"/>
        <v>0.19243614735443026</v>
      </c>
    </row>
    <row r="17" spans="1:6" ht="15.75" thickBot="1" x14ac:dyDescent="0.3">
      <c r="A17" s="100" t="s">
        <v>20</v>
      </c>
      <c r="B17" s="108" t="s">
        <v>17</v>
      </c>
      <c r="C17" s="110">
        <f>'3. Calculation of Def-Var RR'!I27</f>
        <v>0.71706666666666652</v>
      </c>
      <c r="D17" s="110">
        <f>'3. Calculation of Def-Var RR'!J27</f>
        <v>-0.54045570956049105</v>
      </c>
      <c r="E17" s="110">
        <f t="shared" si="0"/>
        <v>0.17661095710617547</v>
      </c>
    </row>
    <row r="18" spans="1:6" ht="15.75" thickBot="1" x14ac:dyDescent="0.3"/>
    <row r="19" spans="1:6" ht="15.75" thickBot="1" x14ac:dyDescent="0.3">
      <c r="A19" s="328" t="s">
        <v>53</v>
      </c>
      <c r="B19" s="329"/>
      <c r="C19" s="329"/>
      <c r="D19" s="329"/>
      <c r="E19" s="329"/>
      <c r="F19" s="330"/>
    </row>
    <row r="20" spans="1:6" s="1" customFormat="1" ht="15.75" thickBot="1" x14ac:dyDescent="0.3">
      <c r="A20" s="101"/>
      <c r="B20" s="102"/>
      <c r="C20" s="103" t="s">
        <v>62</v>
      </c>
      <c r="D20" s="104" t="s">
        <v>172</v>
      </c>
      <c r="E20" s="104" t="s">
        <v>173</v>
      </c>
      <c r="F20" s="104" t="s">
        <v>174</v>
      </c>
    </row>
    <row r="21" spans="1:6" ht="30.75" thickBot="1" x14ac:dyDescent="0.3">
      <c r="A21" s="111" t="s">
        <v>0</v>
      </c>
      <c r="B21" s="94" t="s">
        <v>11</v>
      </c>
      <c r="C21" s="105" t="s">
        <v>54</v>
      </c>
      <c r="D21" s="105" t="s">
        <v>54</v>
      </c>
      <c r="E21" s="105" t="s">
        <v>54</v>
      </c>
      <c r="F21" s="105" t="s">
        <v>54</v>
      </c>
    </row>
    <row r="22" spans="1:6" ht="15" x14ac:dyDescent="0.25">
      <c r="A22" s="96" t="s">
        <v>12</v>
      </c>
      <c r="B22" s="97" t="s">
        <v>13</v>
      </c>
      <c r="C22" s="233">
        <f>'3. Calculation of Def-Var RR'!O21</f>
        <v>-2.676755130504558E-3</v>
      </c>
      <c r="D22" s="106">
        <f>'4. Calculation of GA RR'!F24</f>
        <v>1.5999999999999999E-3</v>
      </c>
      <c r="E22" s="106">
        <f>'4. Calculation of GA RR'!F33</f>
        <v>2.7999999999999995E-3</v>
      </c>
      <c r="F22" s="106">
        <f>SUM(C22:E22)</f>
        <v>1.7232448694954414E-3</v>
      </c>
    </row>
    <row r="23" spans="1:6" ht="15" x14ac:dyDescent="0.25">
      <c r="A23" s="96" t="s">
        <v>14</v>
      </c>
      <c r="B23" s="97" t="s">
        <v>13</v>
      </c>
      <c r="C23" s="233">
        <f>'3. Calculation of Def-Var RR'!O22</f>
        <v>-1.5981754595289709E-3</v>
      </c>
      <c r="D23" s="106">
        <f>'4. Calculation of GA RR'!F25</f>
        <v>1.5999999999999999E-3</v>
      </c>
      <c r="E23" s="106">
        <f>'4. Calculation of GA RR'!F34</f>
        <v>2.7999999999999995E-3</v>
      </c>
      <c r="F23" s="106">
        <f t="shared" ref="F23:F31" si="1">SUM(C23:E23)</f>
        <v>2.8018245404710287E-3</v>
      </c>
    </row>
    <row r="24" spans="1:6" ht="15" x14ac:dyDescent="0.25">
      <c r="A24" s="96" t="s">
        <v>15</v>
      </c>
      <c r="B24" s="97" t="s">
        <v>13</v>
      </c>
      <c r="C24" s="233">
        <f>'3. Calculation of Def-Var RR'!O26</f>
        <v>-1.1330659210169048E-3</v>
      </c>
      <c r="D24" s="106">
        <f>'4. Calculation of GA RR'!F26</f>
        <v>1.3333333333333333E-3</v>
      </c>
      <c r="E24" s="106">
        <f>'4. Calculation of GA RR'!F35</f>
        <v>2.1333333333333334E-3</v>
      </c>
      <c r="F24" s="106">
        <f t="shared" si="1"/>
        <v>2.3336007456497619E-3</v>
      </c>
    </row>
    <row r="25" spans="1:6" ht="15" x14ac:dyDescent="0.25">
      <c r="A25" s="96" t="s">
        <v>55</v>
      </c>
      <c r="B25" s="97" t="s">
        <v>17</v>
      </c>
      <c r="C25" s="233">
        <f>'3. Calculation of Def-Var RR'!O23</f>
        <v>-0.45345264235639654</v>
      </c>
      <c r="D25" s="106">
        <f>'4. Calculation of GA RR'!F27</f>
        <v>0.55146666666666666</v>
      </c>
      <c r="E25" s="106">
        <f>'4. Calculation of GA RR'!F36</f>
        <v>0.95640000000000003</v>
      </c>
      <c r="F25" s="106">
        <f t="shared" si="1"/>
        <v>1.0544140243102702</v>
      </c>
    </row>
    <row r="26" spans="1:6" ht="15" x14ac:dyDescent="0.25">
      <c r="A26" s="96" t="s">
        <v>56</v>
      </c>
      <c r="B26" s="97" t="s">
        <v>17</v>
      </c>
      <c r="C26" s="233">
        <f>'3. Calculation of Def-Var RR'!O23</f>
        <v>-0.45345264235639654</v>
      </c>
      <c r="D26" s="106">
        <f>'4. Calculation of GA RR'!F16</f>
        <v>0.20506666666666665</v>
      </c>
      <c r="E26" s="106">
        <f>E25</f>
        <v>0.95640000000000003</v>
      </c>
      <c r="F26" s="106">
        <f t="shared" si="1"/>
        <v>0.70801402431027016</v>
      </c>
    </row>
    <row r="27" spans="1:6" ht="15" x14ac:dyDescent="0.25">
      <c r="A27" s="96" t="s">
        <v>57</v>
      </c>
      <c r="B27" s="97" t="s">
        <v>17</v>
      </c>
      <c r="C27" s="233">
        <f>'3. Calculation of Def-Var RR'!O24</f>
        <v>-0.10255126910945084</v>
      </c>
      <c r="D27" s="106">
        <f>'4. Calculation of GA RR'!F28</f>
        <v>0.6286666666666666</v>
      </c>
      <c r="E27" s="106">
        <f>'4. Calculation of GA RR'!F37</f>
        <v>1.2087999999999999</v>
      </c>
      <c r="F27" s="106">
        <f t="shared" si="1"/>
        <v>1.7349153975572156</v>
      </c>
    </row>
    <row r="28" spans="1:6" ht="15" x14ac:dyDescent="0.25">
      <c r="A28" s="96" t="s">
        <v>58</v>
      </c>
      <c r="B28" s="97" t="s">
        <v>17</v>
      </c>
      <c r="C28" s="233">
        <f>'3. Calculation of Def-Var RR'!O24</f>
        <v>-0.10255126910945084</v>
      </c>
      <c r="D28" s="106">
        <f>'4. Calculation of GA RR'!F17</f>
        <v>0.22266666666666668</v>
      </c>
      <c r="E28" s="106">
        <f>E27</f>
        <v>1.2087999999999999</v>
      </c>
      <c r="F28" s="106">
        <f t="shared" si="1"/>
        <v>1.3289153975572157</v>
      </c>
    </row>
    <row r="29" spans="1:6" ht="15" x14ac:dyDescent="0.25">
      <c r="A29" s="96" t="s">
        <v>448</v>
      </c>
      <c r="B29" s="97" t="s">
        <v>17</v>
      </c>
      <c r="C29" s="233">
        <f>'3. Calculation of Def-Var RR'!O25</f>
        <v>-0.23482875616453472</v>
      </c>
      <c r="D29" s="106">
        <v>0</v>
      </c>
      <c r="E29" s="106">
        <v>0</v>
      </c>
      <c r="F29" s="106">
        <f t="shared" si="1"/>
        <v>-0.23482875616453472</v>
      </c>
    </row>
    <row r="30" spans="1:6" x14ac:dyDescent="0.3">
      <c r="A30" s="96" t="s">
        <v>59</v>
      </c>
      <c r="B30" s="97" t="s">
        <v>17</v>
      </c>
      <c r="C30" s="233">
        <f>'3. Calculation of Def-Var RR'!O25</f>
        <v>-0.23482875616453472</v>
      </c>
      <c r="D30" s="106">
        <f>'4. Calculation of GA RR'!F18</f>
        <v>0.2472</v>
      </c>
      <c r="E30" s="99">
        <f>'4. Calculation of GA RR'!F38</f>
        <v>1.3945333333333334</v>
      </c>
      <c r="F30" s="106">
        <f t="shared" si="1"/>
        <v>1.4069045771687987</v>
      </c>
    </row>
    <row r="31" spans="1:6" ht="15" thickBot="1" x14ac:dyDescent="0.35">
      <c r="A31" s="100" t="s">
        <v>20</v>
      </c>
      <c r="B31" s="108" t="s">
        <v>17</v>
      </c>
      <c r="C31" s="234">
        <f>'3. Calculation of Def-Var RR'!O27</f>
        <v>6.3493501444369022E-2</v>
      </c>
      <c r="D31" s="109">
        <f>'4. Calculation of GA RR'!F19</f>
        <v>0.17266666666666666</v>
      </c>
      <c r="E31" s="109">
        <f>'4. Calculation of GA RR'!F39</f>
        <v>0.97426666666666661</v>
      </c>
      <c r="F31" s="109">
        <f t="shared" si="1"/>
        <v>1.2104268347777023</v>
      </c>
    </row>
    <row r="32" spans="1:6" x14ac:dyDescent="0.3">
      <c r="C32" s="66"/>
      <c r="D32" s="107"/>
    </row>
    <row r="33" spans="3:6" x14ac:dyDescent="0.3">
      <c r="C33" s="66"/>
      <c r="D33" s="235"/>
      <c r="E33" s="66"/>
      <c r="F33" s="66"/>
    </row>
  </sheetData>
  <mergeCells count="2">
    <mergeCell ref="A19:F19"/>
    <mergeCell ref="A6:E6"/>
  </mergeCells>
  <pageMargins left="0.7" right="0.7" top="0.75" bottom="0.75" header="0.3" footer="0.3"/>
  <pageSetup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C100"/>
  <sheetViews>
    <sheetView topLeftCell="A10" workbookViewId="0">
      <selection activeCell="H17" sqref="H17"/>
    </sheetView>
  </sheetViews>
  <sheetFormatPr defaultColWidth="9.109375" defaultRowHeight="14.4" x14ac:dyDescent="0.3"/>
  <cols>
    <col min="1" max="1" width="56.6640625" style="2" customWidth="1"/>
    <col min="2" max="2" width="11.44140625" style="2" customWidth="1"/>
    <col min="3" max="3" width="15.5546875" style="2" customWidth="1"/>
    <col min="4" max="4" width="17.109375" style="2" customWidth="1"/>
    <col min="5" max="5" width="20" style="2" customWidth="1"/>
    <col min="6" max="6" width="16.6640625" style="2" customWidth="1"/>
    <col min="7" max="7" width="18.109375" style="2" customWidth="1"/>
    <col min="8" max="8" width="14.33203125" style="2" customWidth="1"/>
    <col min="9" max="9" width="16.44140625" style="2" customWidth="1"/>
    <col min="10" max="10" width="11.33203125" style="2" customWidth="1"/>
    <col min="11" max="11" width="13.5546875" style="2" customWidth="1"/>
    <col min="12" max="12" width="13.33203125" style="2" customWidth="1"/>
    <col min="13" max="13" width="11.44140625" style="2" customWidth="1"/>
    <col min="14" max="24" width="9.109375" style="2"/>
    <col min="25" max="26" width="9.109375" style="2" hidden="1" customWidth="1"/>
    <col min="27" max="28" width="0" style="2" hidden="1" customWidth="1"/>
    <col min="29" max="16384" width="9.109375" style="2"/>
  </cols>
  <sheetData>
    <row r="1" spans="1:29" ht="15" x14ac:dyDescent="0.25">
      <c r="Y1" s="2" t="b">
        <v>0</v>
      </c>
      <c r="Z1" s="2">
        <v>0</v>
      </c>
      <c r="AC1" s="162" t="s">
        <v>90</v>
      </c>
    </row>
    <row r="2" spans="1:29" ht="15" x14ac:dyDescent="0.25">
      <c r="Y2" s="2" t="b">
        <v>1</v>
      </c>
    </row>
    <row r="3" spans="1:29" ht="15" x14ac:dyDescent="0.25">
      <c r="K3" s="117"/>
      <c r="L3" s="115"/>
      <c r="M3" s="115"/>
    </row>
    <row r="4" spans="1:29" ht="15" x14ac:dyDescent="0.25">
      <c r="I4" s="115"/>
      <c r="J4" s="115"/>
      <c r="K4" s="115"/>
      <c r="M4" s="115"/>
    </row>
    <row r="5" spans="1:29" ht="15" x14ac:dyDescent="0.25">
      <c r="K5" s="115"/>
    </row>
    <row r="6" spans="1:29" ht="15" x14ac:dyDescent="0.25">
      <c r="K6" s="115"/>
    </row>
    <row r="7" spans="1:29" ht="15" x14ac:dyDescent="0.25">
      <c r="K7" s="115"/>
    </row>
    <row r="8" spans="1:29" ht="15" x14ac:dyDescent="0.25">
      <c r="K8" s="115"/>
    </row>
    <row r="11" spans="1:29" ht="35.25" customHeight="1" x14ac:dyDescent="0.25">
      <c r="A11" s="331" t="s">
        <v>218</v>
      </c>
      <c r="B11" s="331"/>
      <c r="C11" s="331"/>
      <c r="D11" s="331"/>
      <c r="E11" s="331"/>
      <c r="F11" s="331"/>
      <c r="G11" s="331"/>
      <c r="H11" s="331"/>
    </row>
    <row r="12" spans="1:29" ht="44.25" customHeight="1" thickBot="1" x14ac:dyDescent="0.3">
      <c r="A12" s="163" t="s">
        <v>91</v>
      </c>
      <c r="B12" s="164">
        <v>2.1000000000000001E-2</v>
      </c>
      <c r="C12" s="165" t="s">
        <v>94</v>
      </c>
      <c r="D12" s="166">
        <v>0</v>
      </c>
      <c r="E12" s="167" t="s">
        <v>219</v>
      </c>
      <c r="F12" s="168">
        <v>176865</v>
      </c>
    </row>
    <row r="13" spans="1:29" ht="31.5" customHeight="1" thickBot="1" x14ac:dyDescent="0.3">
      <c r="A13" s="169" t="s">
        <v>92</v>
      </c>
      <c r="B13" s="170" t="s">
        <v>93</v>
      </c>
      <c r="C13" s="165" t="s">
        <v>96</v>
      </c>
      <c r="D13" s="171">
        <f>B12-D12-B14</f>
        <v>1.95E-2</v>
      </c>
      <c r="E13" s="167" t="s">
        <v>220</v>
      </c>
      <c r="F13" s="168">
        <v>1423857475</v>
      </c>
      <c r="I13" s="3"/>
      <c r="J13" s="3"/>
      <c r="K13" s="3"/>
    </row>
    <row r="14" spans="1:29" s="115" customFormat="1" ht="30" customHeight="1" x14ac:dyDescent="0.25">
      <c r="A14" s="163" t="s">
        <v>95</v>
      </c>
      <c r="B14" s="172">
        <f>IF(B13="I", 0%, IF(B13="II", 0.15%, IF(B13="III", 0.3%, IF(B13="IV", 0.45%, 0.6%))))</f>
        <v>1.5E-3</v>
      </c>
      <c r="C14" s="173"/>
      <c r="D14" s="173"/>
      <c r="E14" s="174" t="s">
        <v>221</v>
      </c>
      <c r="F14" s="175">
        <v>4</v>
      </c>
    </row>
    <row r="15" spans="1:29" s="115" customFormat="1" ht="64.5" customHeight="1" x14ac:dyDescent="0.25">
      <c r="A15" s="118" t="s">
        <v>0</v>
      </c>
      <c r="B15" s="176" t="s">
        <v>97</v>
      </c>
      <c r="C15" s="176" t="s">
        <v>98</v>
      </c>
      <c r="D15" s="176" t="s">
        <v>99</v>
      </c>
      <c r="E15" s="176" t="s">
        <v>100</v>
      </c>
      <c r="F15" s="176" t="s">
        <v>101</v>
      </c>
      <c r="G15" s="176" t="s">
        <v>102</v>
      </c>
      <c r="H15" s="176" t="s">
        <v>103</v>
      </c>
    </row>
    <row r="16" spans="1:29" s="115" customFormat="1" ht="15" x14ac:dyDescent="0.25">
      <c r="A16" s="2"/>
      <c r="B16" s="177"/>
      <c r="C16" s="178"/>
      <c r="D16" s="179"/>
      <c r="E16" s="177"/>
      <c r="F16" s="179"/>
      <c r="G16" s="177"/>
      <c r="H16" s="179"/>
    </row>
    <row r="17" spans="1:13" ht="15" customHeight="1" x14ac:dyDescent="0.25">
      <c r="A17" s="2" t="s">
        <v>140</v>
      </c>
      <c r="B17" s="180">
        <v>13.22</v>
      </c>
      <c r="C17" s="181"/>
      <c r="D17" s="182">
        <v>1.3299999999999999E-2</v>
      </c>
      <c r="E17" s="181"/>
      <c r="F17" s="183">
        <f>D13</f>
        <v>1.95E-2</v>
      </c>
      <c r="G17" s="184">
        <f>H27*(1+D13)</f>
        <v>15.751275</v>
      </c>
      <c r="H17" s="185">
        <f>H28*(1+D13)</f>
        <v>1.0195000000000001E-2</v>
      </c>
      <c r="K17" s="292"/>
      <c r="L17" s="293"/>
      <c r="M17" s="294"/>
    </row>
    <row r="18" spans="1:13" ht="15" x14ac:dyDescent="0.25">
      <c r="A18" s="2" t="s">
        <v>141</v>
      </c>
      <c r="B18" s="180">
        <v>40.68</v>
      </c>
      <c r="C18" s="186"/>
      <c r="D18" s="182">
        <v>1.1900000000000001E-2</v>
      </c>
      <c r="E18" s="186"/>
      <c r="F18" s="183">
        <f>D13</f>
        <v>1.95E-2</v>
      </c>
      <c r="G18" s="180">
        <f>(B18+C18)*(1+D13)</f>
        <v>41.473260000000003</v>
      </c>
      <c r="H18" s="182">
        <f>(D18+E18)*(1+D13)</f>
        <v>1.2132050000000002E-2</v>
      </c>
      <c r="K18" s="292"/>
      <c r="L18" s="293"/>
      <c r="M18" s="294"/>
    </row>
    <row r="19" spans="1:13" ht="15" customHeight="1" x14ac:dyDescent="0.25">
      <c r="A19" s="2" t="s">
        <v>143</v>
      </c>
      <c r="B19" s="180">
        <v>71.64</v>
      </c>
      <c r="C19" s="186"/>
      <c r="D19" s="182">
        <v>4.3117999999999999</v>
      </c>
      <c r="E19" s="186"/>
      <c r="F19" s="183">
        <f>D13</f>
        <v>1.95E-2</v>
      </c>
      <c r="G19" s="180">
        <f>(B19+C19)*(1+D13)</f>
        <v>73.03698</v>
      </c>
      <c r="H19" s="182">
        <f>(D19+E19)*(1+D13)</f>
        <v>4.3958801000000003</v>
      </c>
      <c r="I19" s="277">
        <f>(H19-D19)/H19</f>
        <v>1.9127023050515057E-2</v>
      </c>
      <c r="K19" s="292"/>
      <c r="L19" s="293"/>
      <c r="M19" s="294"/>
    </row>
    <row r="20" spans="1:13" ht="15" x14ac:dyDescent="0.25">
      <c r="A20" s="2" t="s">
        <v>144</v>
      </c>
      <c r="B20" s="180">
        <v>1631.56</v>
      </c>
      <c r="C20" s="186"/>
      <c r="D20" s="182">
        <v>2.2187000000000001</v>
      </c>
      <c r="E20" s="186"/>
      <c r="F20" s="183">
        <f>D13</f>
        <v>1.95E-2</v>
      </c>
      <c r="G20" s="180">
        <f>(B20+C20)*(1+D13)</f>
        <v>1663.3754200000001</v>
      </c>
      <c r="H20" s="182">
        <f>(D20+E20)*(1+D13)</f>
        <v>2.2619646500000004</v>
      </c>
      <c r="I20" s="277">
        <f t="shared" ref="I20:I21" si="0">(H20-D20)/H20</f>
        <v>1.9127023050515061E-2</v>
      </c>
      <c r="K20" s="292"/>
      <c r="L20" s="293"/>
      <c r="M20" s="294"/>
    </row>
    <row r="21" spans="1:13" ht="15" customHeight="1" x14ac:dyDescent="0.25">
      <c r="A21" s="2" t="s">
        <v>222</v>
      </c>
      <c r="B21" s="180">
        <v>12864.22</v>
      </c>
      <c r="C21" s="186"/>
      <c r="D21" s="182">
        <v>2.7538999999999998</v>
      </c>
      <c r="E21" s="186"/>
      <c r="F21" s="183">
        <f>D13</f>
        <v>1.95E-2</v>
      </c>
      <c r="G21" s="180">
        <f>(B21+C21)*(1+D13)</f>
        <v>13115.07229</v>
      </c>
      <c r="H21" s="182">
        <f>(D21+E21)*(1+D13)</f>
        <v>2.8076010500000002</v>
      </c>
      <c r="I21" s="277">
        <f t="shared" si="0"/>
        <v>1.9127023050515085E-2</v>
      </c>
      <c r="K21" s="292"/>
      <c r="L21" s="293"/>
      <c r="M21" s="294"/>
    </row>
    <row r="22" spans="1:13" ht="15" x14ac:dyDescent="0.25">
      <c r="A22" s="2" t="s">
        <v>142</v>
      </c>
      <c r="B22" s="180">
        <v>8.4</v>
      </c>
      <c r="C22" s="186"/>
      <c r="D22" s="182">
        <v>1.5299999999999999E-2</v>
      </c>
      <c r="E22" s="186"/>
      <c r="F22" s="183">
        <f>D13</f>
        <v>1.95E-2</v>
      </c>
      <c r="G22" s="180">
        <f>(B22+C22)*(1+D13)</f>
        <v>8.5638000000000005</v>
      </c>
      <c r="H22" s="182">
        <f>(D22+E22)*(1+D13)</f>
        <v>1.559835E-2</v>
      </c>
      <c r="I22" s="277">
        <f>(H22-D22)/H22</f>
        <v>1.9127023050515026E-2</v>
      </c>
      <c r="K22" s="292"/>
      <c r="L22" s="293"/>
      <c r="M22" s="294"/>
    </row>
    <row r="23" spans="1:13" ht="15" x14ac:dyDescent="0.25">
      <c r="A23" s="2" t="s">
        <v>145</v>
      </c>
      <c r="B23" s="180">
        <v>1.41</v>
      </c>
      <c r="C23" s="187"/>
      <c r="D23" s="182">
        <v>10.773199999999999</v>
      </c>
      <c r="E23" s="187"/>
      <c r="F23" s="183">
        <f>D13</f>
        <v>1.95E-2</v>
      </c>
      <c r="G23" s="180">
        <f>(B23+C23)*(1+D13)</f>
        <v>1.437495</v>
      </c>
      <c r="H23" s="182">
        <f>(D23+E23)*(1+D13)</f>
        <v>10.9832774</v>
      </c>
      <c r="I23" s="277">
        <f>(H23-D23)/H23</f>
        <v>1.9127023050515064E-2</v>
      </c>
      <c r="K23" s="292"/>
      <c r="L23" s="293"/>
      <c r="M23" s="294"/>
    </row>
    <row r="24" spans="1:13" ht="15" x14ac:dyDescent="0.25">
      <c r="A24" s="2" t="s">
        <v>146</v>
      </c>
      <c r="B24" s="180">
        <v>5.4</v>
      </c>
      <c r="C24" s="188"/>
      <c r="D24" s="92"/>
      <c r="E24" s="188"/>
      <c r="F24" s="92"/>
      <c r="G24" s="180">
        <f>B24</f>
        <v>5.4</v>
      </c>
      <c r="H24" s="92"/>
      <c r="K24" s="292"/>
      <c r="L24" s="293"/>
      <c r="M24" s="294"/>
    </row>
    <row r="25" spans="1:13" ht="15" x14ac:dyDescent="0.25">
      <c r="B25" s="92"/>
      <c r="C25" s="188"/>
      <c r="D25" s="92"/>
      <c r="E25" s="188"/>
      <c r="F25" s="92"/>
      <c r="G25" s="92"/>
      <c r="H25" s="92"/>
    </row>
    <row r="26" spans="1:13" ht="38.25" x14ac:dyDescent="0.25">
      <c r="A26" s="189" t="s">
        <v>223</v>
      </c>
      <c r="B26" s="92"/>
      <c r="C26" s="190" t="s">
        <v>224</v>
      </c>
      <c r="D26" s="190" t="s">
        <v>225</v>
      </c>
      <c r="E26" s="190" t="s">
        <v>226</v>
      </c>
      <c r="F26" s="190" t="s">
        <v>227</v>
      </c>
      <c r="G26" s="190" t="s">
        <v>228</v>
      </c>
      <c r="H26" s="190" t="s">
        <v>229</v>
      </c>
      <c r="I26" s="190" t="s">
        <v>230</v>
      </c>
    </row>
    <row r="27" spans="1:13" ht="15" x14ac:dyDescent="0.25">
      <c r="A27" s="2" t="s">
        <v>231</v>
      </c>
      <c r="B27" s="180">
        <f>B17+C17</f>
        <v>13.22</v>
      </c>
      <c r="C27" s="191">
        <f>B27*COS_RES_CUSTOMERS*12</f>
        <v>28057863.600000001</v>
      </c>
      <c r="D27" s="192">
        <f>IF(ISERROR(C27/C29), 0, C27/C29)</f>
        <v>0.59703720155978268</v>
      </c>
      <c r="E27" s="192">
        <f>IF(ISERROR((1-D27)/YRS_LEFT), 0, (1-D27)/YRS_LEFT)</f>
        <v>0.10074069961005433</v>
      </c>
      <c r="F27" s="193">
        <f>IF(ISERROR(ROUND(E27*C29/COS_RES_CUSTOMERS/12, 2)), 0, ROUND(E27*C29/COS_RES_CUSTOMERS/12, 2))</f>
        <v>2.23</v>
      </c>
      <c r="G27" s="192">
        <f>E27+D27</f>
        <v>0.69777790116983707</v>
      </c>
      <c r="H27" s="194">
        <f>IF(ISERROR(ROUND(G27*C29/COS_RES_CUSTOMERS/12, 2)), 0, ROUND(G27*C29/COS_RES_CUSTOMERS/12, 2))</f>
        <v>15.45</v>
      </c>
      <c r="I27" s="191">
        <f>ROUND(H27*COS_RES_CUSTOMERS*12, 2)</f>
        <v>32790771</v>
      </c>
      <c r="J27" s="278"/>
    </row>
    <row r="28" spans="1:13" ht="15.75" thickBot="1" x14ac:dyDescent="0.3">
      <c r="A28" s="2" t="s">
        <v>232</v>
      </c>
      <c r="B28" s="182">
        <f>D17+E17</f>
        <v>1.3299999999999999E-2</v>
      </c>
      <c r="C28" s="195">
        <f>B28*COS_RES_KWH</f>
        <v>18937304.4175</v>
      </c>
      <c r="D28" s="192">
        <f>IF(ISERROR(C28/C29), 0, C28/C29)</f>
        <v>0.40296279844021737</v>
      </c>
      <c r="E28" s="92"/>
      <c r="F28" s="92"/>
      <c r="G28" s="192">
        <f>1-G27</f>
        <v>0.30222209883016293</v>
      </c>
      <c r="H28" s="196">
        <f>IF(ISERROR(ROUND(G28*C29/COS_RES_KWH, 4)), 0, ROUND(G28*C29/COS_RES_KWH, 4))</f>
        <v>0.01</v>
      </c>
      <c r="I28" s="195">
        <f>ROUND(H28*COS_RES_KWH, 2)</f>
        <v>14238574.75</v>
      </c>
      <c r="J28" s="278"/>
    </row>
    <row r="29" spans="1:13" ht="15" x14ac:dyDescent="0.25">
      <c r="B29" s="92"/>
      <c r="C29" s="191">
        <f>SUM(C27+C28)</f>
        <v>46995168.017499998</v>
      </c>
      <c r="D29" s="92"/>
      <c r="E29" s="92"/>
      <c r="F29" s="92"/>
      <c r="G29" s="92"/>
      <c r="H29" s="92"/>
      <c r="I29" s="191">
        <f>SUM(I27+I28)</f>
        <v>47029345.75</v>
      </c>
      <c r="J29" s="278"/>
    </row>
    <row r="30" spans="1:13" ht="15" x14ac:dyDescent="0.25">
      <c r="B30" s="92"/>
      <c r="C30" s="92"/>
      <c r="D30" s="92"/>
      <c r="E30" s="92"/>
      <c r="F30" s="92"/>
      <c r="G30" s="92"/>
      <c r="H30" s="92"/>
    </row>
    <row r="31" spans="1:13" ht="15" x14ac:dyDescent="0.25">
      <c r="B31" s="92"/>
      <c r="C31" s="92"/>
      <c r="D31" s="92"/>
      <c r="E31" s="92"/>
      <c r="F31" s="92"/>
      <c r="G31" s="92"/>
      <c r="H31" s="92"/>
    </row>
    <row r="32" spans="1:13" ht="15" x14ac:dyDescent="0.25">
      <c r="A32" s="197" t="str">
        <f>IF((H27-B27)&gt;=4, "The Rate Design Transition has calculated a monthly fixed charge greater than or equal to $4.  Please refer to Section 3.2.3 of the Chapter 3 Filing Requirements for mitigation instructions.", "")</f>
        <v/>
      </c>
      <c r="B32" s="92"/>
      <c r="C32" s="92"/>
      <c r="D32" s="92"/>
      <c r="E32" s="92"/>
      <c r="F32" s="92"/>
      <c r="G32" s="92"/>
      <c r="H32" s="92"/>
    </row>
    <row r="33" spans="1:8" ht="15" x14ac:dyDescent="0.25">
      <c r="B33" s="92"/>
      <c r="C33" s="92"/>
      <c r="D33" s="92"/>
      <c r="E33" s="92"/>
      <c r="F33" s="92"/>
      <c r="G33" s="92"/>
      <c r="H33" s="92"/>
    </row>
    <row r="34" spans="1:8" ht="16.2" x14ac:dyDescent="0.3">
      <c r="A34" s="198" t="s">
        <v>233</v>
      </c>
      <c r="B34" s="92"/>
      <c r="C34" s="92"/>
      <c r="D34" s="92"/>
      <c r="E34" s="92"/>
      <c r="F34" s="92"/>
      <c r="G34" s="92"/>
      <c r="H34" s="92"/>
    </row>
    <row r="35" spans="1:8" x14ac:dyDescent="0.3">
      <c r="B35" s="92"/>
      <c r="C35" s="92"/>
      <c r="D35" s="92"/>
      <c r="E35" s="92"/>
      <c r="F35" s="92"/>
      <c r="G35" s="92"/>
      <c r="H35" s="92"/>
    </row>
    <row r="36" spans="1:8" x14ac:dyDescent="0.3">
      <c r="B36" s="92"/>
      <c r="C36" s="92"/>
      <c r="D36" s="92"/>
      <c r="E36" s="92"/>
      <c r="F36" s="92"/>
      <c r="G36" s="92"/>
      <c r="H36" s="92"/>
    </row>
    <row r="37" spans="1:8" x14ac:dyDescent="0.3">
      <c r="B37" s="92"/>
      <c r="C37" s="92"/>
      <c r="D37" s="92"/>
      <c r="E37" s="92"/>
      <c r="F37" s="92"/>
      <c r="G37" s="92"/>
      <c r="H37" s="92"/>
    </row>
    <row r="38" spans="1:8" x14ac:dyDescent="0.3">
      <c r="B38" s="92"/>
      <c r="C38" s="92"/>
      <c r="D38" s="92"/>
      <c r="E38" s="92"/>
      <c r="F38" s="92"/>
      <c r="G38" s="92"/>
      <c r="H38" s="92"/>
    </row>
    <row r="39" spans="1:8" x14ac:dyDescent="0.3">
      <c r="B39" s="92"/>
      <c r="C39" s="92"/>
      <c r="D39" s="92"/>
      <c r="E39" s="92"/>
      <c r="F39" s="92"/>
      <c r="G39" s="92"/>
      <c r="H39" s="92"/>
    </row>
    <row r="40" spans="1:8" x14ac:dyDescent="0.3">
      <c r="B40" s="92"/>
      <c r="C40" s="92"/>
      <c r="D40" s="92"/>
      <c r="E40" s="92"/>
      <c r="F40" s="92"/>
      <c r="G40" s="92"/>
      <c r="H40" s="92"/>
    </row>
    <row r="41" spans="1:8" x14ac:dyDescent="0.3">
      <c r="B41" s="92"/>
      <c r="C41" s="92"/>
      <c r="D41" s="92"/>
      <c r="E41" s="92"/>
      <c r="F41" s="92"/>
      <c r="G41" s="92"/>
      <c r="H41" s="92"/>
    </row>
    <row r="42" spans="1:8" x14ac:dyDescent="0.3">
      <c r="B42" s="92"/>
      <c r="C42" s="92"/>
      <c r="D42" s="92"/>
      <c r="E42" s="92"/>
      <c r="F42" s="92"/>
      <c r="G42" s="92"/>
      <c r="H42" s="92"/>
    </row>
    <row r="43" spans="1:8" x14ac:dyDescent="0.3">
      <c r="B43" s="92"/>
      <c r="C43" s="92"/>
      <c r="D43" s="92"/>
      <c r="E43" s="92"/>
      <c r="F43" s="92"/>
      <c r="G43" s="92"/>
      <c r="H43" s="92"/>
    </row>
    <row r="44" spans="1:8" x14ac:dyDescent="0.3">
      <c r="B44" s="92"/>
      <c r="C44" s="92"/>
      <c r="D44" s="92"/>
      <c r="E44" s="92"/>
      <c r="F44" s="92"/>
      <c r="G44" s="92"/>
      <c r="H44" s="92"/>
    </row>
    <row r="45" spans="1:8" x14ac:dyDescent="0.3">
      <c r="B45" s="92"/>
      <c r="C45" s="92"/>
      <c r="D45" s="92"/>
      <c r="E45" s="92"/>
      <c r="F45" s="92"/>
      <c r="G45" s="92"/>
      <c r="H45" s="92"/>
    </row>
    <row r="46" spans="1:8" x14ac:dyDescent="0.3">
      <c r="B46" s="92"/>
      <c r="C46" s="92"/>
      <c r="D46" s="92"/>
      <c r="E46" s="92"/>
      <c r="F46" s="92"/>
      <c r="G46" s="92"/>
      <c r="H46" s="92"/>
    </row>
    <row r="47" spans="1:8" x14ac:dyDescent="0.3">
      <c r="B47" s="92"/>
      <c r="C47" s="92"/>
      <c r="D47" s="92"/>
      <c r="E47" s="92"/>
      <c r="F47" s="92"/>
      <c r="G47" s="92"/>
      <c r="H47" s="92"/>
    </row>
    <row r="48" spans="1:8" x14ac:dyDescent="0.3">
      <c r="B48" s="92"/>
      <c r="C48" s="92"/>
      <c r="D48" s="92"/>
      <c r="E48" s="92"/>
      <c r="F48" s="92"/>
      <c r="G48" s="92"/>
      <c r="H48" s="92"/>
    </row>
    <row r="49" spans="2:8" x14ac:dyDescent="0.3">
      <c r="B49" s="92"/>
      <c r="C49" s="92"/>
      <c r="D49" s="92"/>
      <c r="E49" s="92"/>
      <c r="F49" s="92"/>
      <c r="G49" s="92"/>
      <c r="H49" s="92"/>
    </row>
    <row r="50" spans="2:8" x14ac:dyDescent="0.3">
      <c r="B50" s="92"/>
      <c r="C50" s="92"/>
      <c r="D50" s="92"/>
      <c r="E50" s="92"/>
      <c r="F50" s="92"/>
      <c r="G50" s="92"/>
      <c r="H50" s="92"/>
    </row>
    <row r="51" spans="2:8" x14ac:dyDescent="0.3">
      <c r="B51" s="92"/>
      <c r="C51" s="92"/>
      <c r="D51" s="92"/>
      <c r="E51" s="92"/>
      <c r="F51" s="92"/>
      <c r="G51" s="92"/>
      <c r="H51" s="92"/>
    </row>
    <row r="52" spans="2:8" x14ac:dyDescent="0.3">
      <c r="B52" s="92"/>
      <c r="C52" s="92"/>
      <c r="D52" s="92"/>
      <c r="E52" s="92"/>
      <c r="F52" s="92"/>
      <c r="G52" s="92"/>
      <c r="H52" s="92"/>
    </row>
    <row r="53" spans="2:8" x14ac:dyDescent="0.3">
      <c r="B53" s="92"/>
      <c r="C53" s="92"/>
      <c r="D53" s="92"/>
      <c r="E53" s="92"/>
      <c r="F53" s="92"/>
      <c r="G53" s="92"/>
      <c r="H53" s="92"/>
    </row>
    <row r="54" spans="2:8" x14ac:dyDescent="0.3">
      <c r="B54" s="92"/>
      <c r="C54" s="92"/>
      <c r="D54" s="92"/>
      <c r="E54" s="92"/>
      <c r="F54" s="92"/>
      <c r="G54" s="92"/>
      <c r="H54" s="92"/>
    </row>
    <row r="55" spans="2:8" x14ac:dyDescent="0.3">
      <c r="B55" s="92"/>
      <c r="C55" s="92"/>
      <c r="D55" s="92"/>
      <c r="E55" s="92"/>
      <c r="F55" s="92"/>
      <c r="G55" s="92"/>
      <c r="H55" s="92"/>
    </row>
    <row r="56" spans="2:8" x14ac:dyDescent="0.3">
      <c r="B56" s="92"/>
      <c r="C56" s="92"/>
      <c r="D56" s="92"/>
      <c r="E56" s="92"/>
      <c r="F56" s="92"/>
      <c r="G56" s="92"/>
      <c r="H56" s="92"/>
    </row>
    <row r="57" spans="2:8" x14ac:dyDescent="0.3">
      <c r="B57" s="92"/>
      <c r="C57" s="92"/>
      <c r="D57" s="92"/>
      <c r="E57" s="92"/>
      <c r="F57" s="92"/>
      <c r="G57" s="92"/>
      <c r="H57" s="92"/>
    </row>
    <row r="58" spans="2:8" x14ac:dyDescent="0.3">
      <c r="B58" s="92"/>
      <c r="C58" s="92"/>
      <c r="D58" s="92"/>
      <c r="E58" s="92"/>
      <c r="F58" s="92"/>
      <c r="G58" s="92"/>
      <c r="H58" s="92"/>
    </row>
    <row r="59" spans="2:8" x14ac:dyDescent="0.3">
      <c r="B59" s="92"/>
      <c r="C59" s="92"/>
      <c r="D59" s="92"/>
      <c r="E59" s="92"/>
      <c r="F59" s="92"/>
      <c r="G59" s="92"/>
      <c r="H59" s="92"/>
    </row>
    <row r="60" spans="2:8" x14ac:dyDescent="0.3">
      <c r="B60" s="92"/>
      <c r="C60" s="92"/>
      <c r="D60" s="92"/>
      <c r="E60" s="92"/>
      <c r="F60" s="92"/>
      <c r="G60" s="92"/>
      <c r="H60" s="92"/>
    </row>
    <row r="61" spans="2:8" x14ac:dyDescent="0.3">
      <c r="B61" s="92"/>
      <c r="C61" s="92"/>
      <c r="D61" s="92"/>
      <c r="E61" s="92"/>
      <c r="F61" s="92"/>
      <c r="G61" s="92"/>
      <c r="H61" s="92"/>
    </row>
    <row r="62" spans="2:8" x14ac:dyDescent="0.3">
      <c r="B62" s="92"/>
      <c r="C62" s="92"/>
      <c r="D62" s="92"/>
      <c r="E62" s="92"/>
      <c r="F62" s="92"/>
      <c r="G62" s="92"/>
      <c r="H62" s="92"/>
    </row>
    <row r="63" spans="2:8" x14ac:dyDescent="0.3">
      <c r="B63" s="92"/>
      <c r="C63" s="92"/>
      <c r="D63" s="92"/>
      <c r="E63" s="92"/>
      <c r="F63" s="92"/>
      <c r="G63" s="92"/>
      <c r="H63" s="92"/>
    </row>
    <row r="64" spans="2:8" x14ac:dyDescent="0.3">
      <c r="B64" s="92"/>
      <c r="C64" s="92"/>
      <c r="D64" s="92"/>
      <c r="E64" s="92"/>
      <c r="F64" s="92"/>
      <c r="G64" s="92"/>
      <c r="H64" s="92"/>
    </row>
    <row r="65" spans="2:8" x14ac:dyDescent="0.3">
      <c r="B65" s="92"/>
      <c r="C65" s="92"/>
      <c r="D65" s="92"/>
      <c r="E65" s="92"/>
      <c r="F65" s="92"/>
      <c r="G65" s="92"/>
      <c r="H65" s="92"/>
    </row>
    <row r="66" spans="2:8" x14ac:dyDescent="0.3">
      <c r="B66" s="92"/>
      <c r="C66" s="92"/>
      <c r="D66" s="92"/>
      <c r="E66" s="92"/>
      <c r="F66" s="92"/>
      <c r="G66" s="92"/>
      <c r="H66" s="92"/>
    </row>
    <row r="67" spans="2:8" x14ac:dyDescent="0.3">
      <c r="B67" s="92"/>
      <c r="C67" s="92"/>
      <c r="D67" s="92"/>
      <c r="E67" s="92"/>
      <c r="F67" s="92"/>
      <c r="G67" s="92"/>
      <c r="H67" s="92"/>
    </row>
    <row r="68" spans="2:8" x14ac:dyDescent="0.3">
      <c r="B68" s="92"/>
      <c r="C68" s="92"/>
      <c r="D68" s="92"/>
      <c r="E68" s="92"/>
      <c r="F68" s="92"/>
      <c r="G68" s="92"/>
      <c r="H68" s="92"/>
    </row>
    <row r="69" spans="2:8" x14ac:dyDescent="0.3">
      <c r="B69" s="92"/>
      <c r="C69" s="92"/>
      <c r="D69" s="92"/>
      <c r="E69" s="92"/>
      <c r="F69" s="92"/>
      <c r="G69" s="92"/>
      <c r="H69" s="92"/>
    </row>
    <row r="70" spans="2:8" x14ac:dyDescent="0.3">
      <c r="B70" s="92"/>
      <c r="C70" s="92"/>
      <c r="D70" s="92"/>
      <c r="E70" s="92"/>
      <c r="F70" s="92"/>
      <c r="G70" s="92"/>
      <c r="H70" s="92"/>
    </row>
    <row r="71" spans="2:8" x14ac:dyDescent="0.3">
      <c r="B71" s="92"/>
      <c r="C71" s="92"/>
      <c r="D71" s="92"/>
      <c r="E71" s="92"/>
      <c r="F71" s="92"/>
      <c r="G71" s="92"/>
      <c r="H71" s="92"/>
    </row>
    <row r="72" spans="2:8" x14ac:dyDescent="0.3">
      <c r="B72" s="92"/>
      <c r="C72" s="92"/>
      <c r="D72" s="92"/>
      <c r="E72" s="92"/>
      <c r="F72" s="92"/>
      <c r="G72" s="92"/>
      <c r="H72" s="92"/>
    </row>
    <row r="73" spans="2:8" x14ac:dyDescent="0.3">
      <c r="B73" s="92"/>
      <c r="C73" s="92"/>
      <c r="D73" s="92"/>
      <c r="E73" s="92"/>
      <c r="F73" s="92"/>
      <c r="G73" s="92"/>
      <c r="H73" s="92"/>
    </row>
    <row r="74" spans="2:8" x14ac:dyDescent="0.3">
      <c r="B74" s="92"/>
      <c r="C74" s="92"/>
      <c r="D74" s="92"/>
      <c r="E74" s="92"/>
      <c r="F74" s="92"/>
      <c r="G74" s="92"/>
      <c r="H74" s="92"/>
    </row>
    <row r="75" spans="2:8" x14ac:dyDescent="0.3">
      <c r="B75" s="92"/>
      <c r="C75" s="92"/>
      <c r="D75" s="92"/>
      <c r="E75" s="92"/>
      <c r="F75" s="92"/>
      <c r="G75" s="92"/>
      <c r="H75" s="92"/>
    </row>
    <row r="76" spans="2:8" x14ac:dyDescent="0.3">
      <c r="B76" s="92"/>
      <c r="C76" s="92"/>
      <c r="D76" s="92"/>
      <c r="E76" s="92"/>
      <c r="F76" s="92"/>
      <c r="G76" s="92"/>
      <c r="H76" s="92"/>
    </row>
    <row r="77" spans="2:8" x14ac:dyDescent="0.3">
      <c r="B77" s="92"/>
      <c r="C77" s="92"/>
      <c r="D77" s="92"/>
      <c r="E77" s="92"/>
      <c r="F77" s="92"/>
      <c r="G77" s="92"/>
      <c r="H77" s="92"/>
    </row>
    <row r="78" spans="2:8" x14ac:dyDescent="0.3">
      <c r="B78" s="92"/>
      <c r="C78" s="92"/>
      <c r="D78" s="92"/>
      <c r="E78" s="92"/>
      <c r="F78" s="92"/>
      <c r="G78" s="92"/>
      <c r="H78" s="92"/>
    </row>
    <row r="79" spans="2:8" x14ac:dyDescent="0.3">
      <c r="B79" s="92"/>
      <c r="C79" s="92"/>
      <c r="D79" s="92"/>
      <c r="E79" s="92"/>
      <c r="F79" s="92"/>
      <c r="G79" s="92"/>
      <c r="H79" s="92"/>
    </row>
    <row r="80" spans="2:8" x14ac:dyDescent="0.3">
      <c r="B80" s="92"/>
      <c r="C80" s="92"/>
      <c r="D80" s="92"/>
      <c r="E80" s="92"/>
      <c r="F80" s="92"/>
      <c r="G80" s="92"/>
      <c r="H80" s="92"/>
    </row>
    <row r="81" spans="2:8" x14ac:dyDescent="0.3">
      <c r="B81" s="92"/>
      <c r="C81" s="92"/>
      <c r="D81" s="92"/>
      <c r="E81" s="92"/>
      <c r="F81" s="92"/>
      <c r="G81" s="92"/>
      <c r="H81" s="92"/>
    </row>
    <row r="82" spans="2:8" x14ac:dyDescent="0.3">
      <c r="B82" s="92"/>
      <c r="C82" s="92"/>
      <c r="D82" s="92"/>
      <c r="E82" s="92"/>
      <c r="F82" s="92"/>
      <c r="G82" s="92"/>
      <c r="H82" s="92"/>
    </row>
    <row r="83" spans="2:8" x14ac:dyDescent="0.3">
      <c r="B83" s="92"/>
      <c r="C83" s="92"/>
      <c r="D83" s="92"/>
      <c r="E83" s="92"/>
      <c r="F83" s="92"/>
      <c r="G83" s="92"/>
      <c r="H83" s="92"/>
    </row>
    <row r="84" spans="2:8" x14ac:dyDescent="0.3">
      <c r="B84" s="92"/>
      <c r="C84" s="92"/>
      <c r="D84" s="92"/>
      <c r="E84" s="92"/>
      <c r="F84" s="92"/>
      <c r="G84" s="92"/>
      <c r="H84" s="92"/>
    </row>
    <row r="85" spans="2:8" x14ac:dyDescent="0.3">
      <c r="B85" s="92"/>
      <c r="C85" s="92"/>
      <c r="D85" s="92"/>
      <c r="E85" s="92"/>
      <c r="F85" s="92"/>
      <c r="G85" s="92"/>
      <c r="H85" s="92"/>
    </row>
    <row r="86" spans="2:8" x14ac:dyDescent="0.3">
      <c r="B86" s="92"/>
      <c r="C86" s="92"/>
      <c r="D86" s="92"/>
      <c r="E86" s="92"/>
      <c r="F86" s="92"/>
      <c r="G86" s="92"/>
      <c r="H86" s="92"/>
    </row>
    <row r="87" spans="2:8" x14ac:dyDescent="0.3">
      <c r="B87" s="92"/>
      <c r="C87" s="92"/>
      <c r="D87" s="92"/>
      <c r="E87" s="92"/>
      <c r="F87" s="92"/>
      <c r="G87" s="92"/>
      <c r="H87" s="92"/>
    </row>
    <row r="88" spans="2:8" x14ac:dyDescent="0.3">
      <c r="B88" s="92"/>
      <c r="C88" s="92"/>
      <c r="D88" s="92"/>
      <c r="E88" s="92"/>
      <c r="F88" s="92"/>
      <c r="G88" s="92"/>
      <c r="H88" s="92"/>
    </row>
    <row r="89" spans="2:8" x14ac:dyDescent="0.3">
      <c r="B89" s="92"/>
      <c r="C89" s="92"/>
      <c r="D89" s="92"/>
      <c r="E89" s="92"/>
      <c r="F89" s="92"/>
      <c r="G89" s="92"/>
      <c r="H89" s="92"/>
    </row>
    <row r="90" spans="2:8" x14ac:dyDescent="0.3">
      <c r="B90" s="92"/>
      <c r="C90" s="92"/>
      <c r="D90" s="92"/>
      <c r="E90" s="92"/>
      <c r="F90" s="92"/>
      <c r="G90" s="92"/>
      <c r="H90" s="92"/>
    </row>
    <row r="91" spans="2:8" x14ac:dyDescent="0.3">
      <c r="B91" s="92"/>
      <c r="C91" s="92"/>
      <c r="D91" s="92"/>
      <c r="E91" s="92"/>
      <c r="F91" s="92"/>
      <c r="G91" s="92"/>
      <c r="H91" s="92"/>
    </row>
    <row r="92" spans="2:8" x14ac:dyDescent="0.3">
      <c r="B92" s="92"/>
      <c r="C92" s="92"/>
      <c r="D92" s="92"/>
      <c r="E92" s="92"/>
      <c r="F92" s="92"/>
      <c r="G92" s="92"/>
      <c r="H92" s="92"/>
    </row>
    <row r="93" spans="2:8" x14ac:dyDescent="0.3">
      <c r="B93" s="92"/>
      <c r="C93" s="92"/>
      <c r="D93" s="92"/>
      <c r="E93" s="92"/>
      <c r="F93" s="92"/>
      <c r="G93" s="92"/>
      <c r="H93" s="92"/>
    </row>
    <row r="94" spans="2:8" x14ac:dyDescent="0.3">
      <c r="B94" s="92"/>
      <c r="C94" s="92"/>
      <c r="D94" s="92"/>
      <c r="E94" s="92"/>
      <c r="F94" s="92"/>
      <c r="G94" s="92"/>
      <c r="H94" s="92"/>
    </row>
    <row r="95" spans="2:8" x14ac:dyDescent="0.3">
      <c r="B95" s="92"/>
      <c r="C95" s="92"/>
      <c r="D95" s="92"/>
      <c r="E95" s="92"/>
      <c r="F95" s="92"/>
      <c r="G95" s="92"/>
      <c r="H95" s="92"/>
    </row>
    <row r="96" spans="2:8" x14ac:dyDescent="0.3">
      <c r="B96" s="92"/>
      <c r="C96" s="92"/>
      <c r="D96" s="92"/>
      <c r="E96" s="92"/>
      <c r="F96" s="92"/>
      <c r="G96" s="92"/>
      <c r="H96" s="92"/>
    </row>
    <row r="97" spans="2:8" x14ac:dyDescent="0.3">
      <c r="B97" s="92"/>
      <c r="C97" s="92"/>
      <c r="D97" s="92"/>
      <c r="E97" s="92"/>
      <c r="F97" s="92"/>
      <c r="G97" s="92"/>
      <c r="H97" s="92"/>
    </row>
    <row r="98" spans="2:8" x14ac:dyDescent="0.3">
      <c r="B98" s="92"/>
      <c r="C98" s="92"/>
      <c r="D98" s="92"/>
      <c r="E98" s="92"/>
      <c r="F98" s="92"/>
      <c r="G98" s="92"/>
      <c r="H98" s="92"/>
    </row>
    <row r="99" spans="2:8" x14ac:dyDescent="0.3">
      <c r="B99" s="92"/>
      <c r="C99" s="92"/>
      <c r="D99" s="92"/>
      <c r="E99" s="92"/>
      <c r="F99" s="92"/>
      <c r="G99" s="92"/>
      <c r="H99" s="92"/>
    </row>
    <row r="100" spans="2:8" x14ac:dyDescent="0.3">
      <c r="B100" s="92"/>
      <c r="C100" s="92"/>
      <c r="D100" s="92"/>
      <c r="E100" s="92"/>
      <c r="F100" s="92"/>
      <c r="G100" s="92"/>
      <c r="H100" s="92"/>
    </row>
  </sheetData>
  <mergeCells count="1">
    <mergeCell ref="A11:H11"/>
  </mergeCells>
  <dataValidations count="2">
    <dataValidation type="list" allowBlank="1" showInputMessage="1" showErrorMessage="1" sqref="AC1">
      <formula1>"YES, NO"</formula1>
    </dataValidation>
    <dataValidation type="list" allowBlank="1" showInputMessage="1" showErrorMessage="1" sqref="B13">
      <formula1>"I, II, III, IV, V"</formula1>
    </dataValidation>
  </dataValidations>
  <pageMargins left="0.7" right="0.7" top="0.75" bottom="0.75" header="0.3" footer="0.3"/>
  <pageSetup scale="35"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B1:CO418"/>
  <sheetViews>
    <sheetView tabSelected="1" zoomScaleNormal="100" workbookViewId="0">
      <selection activeCell="B14" sqref="B14"/>
    </sheetView>
  </sheetViews>
  <sheetFormatPr defaultColWidth="9.109375" defaultRowHeight="14.4" x14ac:dyDescent="0.3"/>
  <cols>
    <col min="1" max="1" width="5.109375" style="231" customWidth="1"/>
    <col min="2" max="2" width="58.33203125" style="231" customWidth="1"/>
    <col min="3" max="3" width="16.44140625" style="231" customWidth="1"/>
    <col min="4" max="4" width="6.109375" style="231" customWidth="1"/>
    <col min="5" max="5" width="9.33203125" style="231" customWidth="1"/>
    <col min="6" max="6" width="9.109375" style="231" hidden="1" customWidth="1"/>
    <col min="7" max="7" width="10.109375" style="231" hidden="1" customWidth="1"/>
    <col min="8" max="8" width="9.109375" style="231" hidden="1" customWidth="1"/>
    <col min="9" max="9" width="14" style="231" hidden="1" customWidth="1"/>
    <col min="10" max="10" width="10" style="231" hidden="1" customWidth="1"/>
    <col min="11" max="11" width="29.6640625" style="231" hidden="1" customWidth="1"/>
    <col min="12" max="13" width="18.109375" style="231" hidden="1" customWidth="1"/>
    <col min="14" max="15" width="9.109375" style="231" hidden="1" customWidth="1"/>
    <col min="16" max="16" width="10.6640625" style="231" hidden="1" customWidth="1"/>
    <col min="17" max="17" width="14.88671875" style="231" hidden="1" customWidth="1"/>
    <col min="18" max="25" width="9.109375" style="231" hidden="1" customWidth="1"/>
    <col min="26" max="26" width="115.109375" style="231" hidden="1" customWidth="1"/>
    <col min="27" max="27" width="87.5546875" style="231" hidden="1" customWidth="1"/>
    <col min="28" max="93" width="9.109375" style="231" hidden="1" customWidth="1"/>
    <col min="94" max="143" width="0" style="231" hidden="1" customWidth="1"/>
    <col min="144" max="16384" width="9.109375" style="231"/>
  </cols>
  <sheetData>
    <row r="1" spans="2:45" customFormat="1" ht="23.25" customHeight="1" x14ac:dyDescent="0.25">
      <c r="B1" s="351" t="s">
        <v>29</v>
      </c>
      <c r="C1" s="352"/>
      <c r="D1" s="352"/>
      <c r="E1" s="352"/>
      <c r="F1" s="199" t="s">
        <v>235</v>
      </c>
      <c r="G1" s="200" t="s">
        <v>236</v>
      </c>
      <c r="H1" s="201" t="s">
        <v>29</v>
      </c>
      <c r="I1" s="66"/>
      <c r="J1" s="66">
        <v>9</v>
      </c>
      <c r="K1" s="66"/>
      <c r="L1" s="66"/>
      <c r="M1" s="66"/>
      <c r="N1" s="66"/>
      <c r="O1" s="66"/>
      <c r="P1" s="66"/>
      <c r="Q1" s="66"/>
    </row>
    <row r="2" spans="2:45" customFormat="1" ht="18.75" customHeight="1" x14ac:dyDescent="0.25">
      <c r="B2" s="353" t="s">
        <v>150</v>
      </c>
      <c r="C2" s="354"/>
      <c r="D2" s="354"/>
      <c r="E2" s="354"/>
      <c r="F2" s="199"/>
      <c r="G2" s="200"/>
      <c r="H2" s="201"/>
      <c r="I2" s="66"/>
      <c r="J2" s="66"/>
      <c r="K2" s="66"/>
      <c r="L2" s="66"/>
      <c r="M2" s="66"/>
      <c r="N2" s="66"/>
      <c r="O2" s="66"/>
      <c r="P2" s="66"/>
      <c r="Q2" s="66"/>
    </row>
    <row r="3" spans="2:45" customFormat="1" ht="15.75" customHeight="1" x14ac:dyDescent="0.25">
      <c r="B3" s="355" t="s">
        <v>514</v>
      </c>
      <c r="C3" s="356"/>
      <c r="D3" s="356"/>
      <c r="E3" s="356"/>
      <c r="F3" s="199"/>
      <c r="G3" s="200"/>
      <c r="H3" s="201"/>
      <c r="I3" s="66"/>
      <c r="J3" s="66"/>
      <c r="K3" s="66"/>
      <c r="L3" s="66"/>
      <c r="M3" s="66"/>
      <c r="N3" s="66"/>
      <c r="O3" s="66"/>
      <c r="P3" s="202">
        <v>42005</v>
      </c>
      <c r="Q3" s="66"/>
    </row>
    <row r="4" spans="2:45" customFormat="1" ht="15.75" customHeight="1" x14ac:dyDescent="0.25">
      <c r="B4" s="355" t="s">
        <v>515</v>
      </c>
      <c r="C4" s="356"/>
      <c r="D4" s="356"/>
      <c r="E4" s="356"/>
      <c r="F4" s="199"/>
      <c r="G4" s="200"/>
      <c r="H4" s="201"/>
      <c r="I4" s="66"/>
      <c r="J4" s="66"/>
      <c r="K4" s="66"/>
      <c r="L4" s="66"/>
      <c r="M4" s="66"/>
      <c r="N4" s="66"/>
      <c r="O4" s="66"/>
      <c r="P4" s="202"/>
      <c r="Q4" s="66"/>
    </row>
    <row r="5" spans="2:45" customFormat="1" ht="11.25" customHeight="1" x14ac:dyDescent="0.25">
      <c r="B5" s="357" t="s">
        <v>151</v>
      </c>
      <c r="C5" s="358"/>
      <c r="D5" s="358"/>
      <c r="E5" s="358"/>
      <c r="F5" s="199"/>
      <c r="G5" s="200"/>
      <c r="H5" s="201"/>
      <c r="I5" s="66"/>
      <c r="J5" s="66"/>
      <c r="K5" s="66"/>
      <c r="L5" s="66"/>
      <c r="M5" s="66"/>
      <c r="N5" s="66"/>
      <c r="O5" s="66"/>
      <c r="P5" s="66"/>
      <c r="Q5" s="66"/>
    </row>
    <row r="6" spans="2:45" customFormat="1" ht="12.75" customHeight="1" x14ac:dyDescent="0.25">
      <c r="B6" s="357" t="s">
        <v>152</v>
      </c>
      <c r="C6" s="358"/>
      <c r="D6" s="358"/>
      <c r="E6" s="358"/>
      <c r="F6" s="199"/>
      <c r="G6" s="200"/>
      <c r="H6" s="201"/>
      <c r="I6" s="66"/>
      <c r="J6" s="66"/>
      <c r="K6" s="66"/>
      <c r="L6" s="66"/>
      <c r="M6" s="66"/>
      <c r="N6" s="66"/>
      <c r="O6" s="66"/>
      <c r="P6" s="66"/>
      <c r="Q6" s="66"/>
    </row>
    <row r="7" spans="2:45" customFormat="1" ht="15" x14ac:dyDescent="0.25">
      <c r="B7" s="359" t="s">
        <v>60</v>
      </c>
      <c r="C7" s="360"/>
      <c r="D7" s="360"/>
      <c r="E7" s="360"/>
      <c r="F7" s="199"/>
      <c r="G7" s="200"/>
      <c r="H7" s="201" t="s">
        <v>237</v>
      </c>
      <c r="I7" s="66"/>
      <c r="J7" s="66"/>
      <c r="K7" s="66"/>
      <c r="L7" s="66"/>
      <c r="M7" s="66"/>
      <c r="N7" s="66"/>
      <c r="O7" s="66"/>
      <c r="P7" s="66"/>
      <c r="Q7" s="66"/>
      <c r="AS7" t="s">
        <v>235</v>
      </c>
    </row>
    <row r="8" spans="2:45" customFormat="1" ht="18" x14ac:dyDescent="0.25">
      <c r="B8" s="334" t="s">
        <v>140</v>
      </c>
      <c r="C8" s="335"/>
      <c r="D8" s="335"/>
      <c r="E8" s="335"/>
      <c r="F8" s="199"/>
      <c r="G8" s="200"/>
      <c r="H8" s="201" t="s">
        <v>238</v>
      </c>
      <c r="I8" s="66"/>
      <c r="J8" s="66"/>
      <c r="K8" s="66"/>
      <c r="L8" s="66"/>
      <c r="M8" s="66"/>
      <c r="N8" s="66"/>
      <c r="O8" s="66"/>
      <c r="P8" s="66"/>
      <c r="Q8" s="66"/>
      <c r="AA8" s="203" t="s">
        <v>140</v>
      </c>
    </row>
    <row r="9" spans="2:45" customFormat="1" ht="45.6" x14ac:dyDescent="0.3">
      <c r="B9" s="336" t="s">
        <v>505</v>
      </c>
      <c r="C9" s="335"/>
      <c r="D9" s="335"/>
      <c r="E9" s="335"/>
      <c r="F9" s="199"/>
      <c r="G9" s="200"/>
      <c r="H9" s="201" t="s">
        <v>238</v>
      </c>
      <c r="I9" s="66"/>
      <c r="J9" s="66"/>
      <c r="K9" s="66"/>
      <c r="L9" s="66"/>
      <c r="M9" s="66"/>
      <c r="N9" s="66"/>
      <c r="O9" s="66"/>
      <c r="P9" s="66"/>
      <c r="Q9" s="66"/>
      <c r="AA9" s="124" t="s">
        <v>153</v>
      </c>
    </row>
    <row r="10" spans="2:45" customFormat="1" ht="15" x14ac:dyDescent="0.25">
      <c r="B10" s="125"/>
      <c r="C10" s="204"/>
      <c r="D10" s="204"/>
      <c r="E10" s="204"/>
      <c r="F10" s="199"/>
      <c r="G10" s="200"/>
      <c r="H10" s="201"/>
      <c r="I10" s="66"/>
      <c r="J10" s="66"/>
      <c r="K10" s="66"/>
      <c r="L10" s="66"/>
      <c r="M10" s="66"/>
      <c r="N10" s="66"/>
      <c r="O10" s="66"/>
      <c r="P10" s="66"/>
      <c r="Q10" s="66"/>
    </row>
    <row r="11" spans="2:45" customFormat="1" ht="15" x14ac:dyDescent="0.25">
      <c r="B11" s="338" t="s">
        <v>108</v>
      </c>
      <c r="C11" s="335"/>
      <c r="D11" s="335"/>
      <c r="E11" s="335"/>
      <c r="F11" s="199"/>
      <c r="G11" s="200"/>
      <c r="H11" s="201" t="s">
        <v>239</v>
      </c>
      <c r="I11" s="66"/>
      <c r="J11" s="66"/>
      <c r="K11" s="66"/>
      <c r="L11" s="66"/>
      <c r="M11" s="66"/>
      <c r="N11" s="66"/>
      <c r="O11" s="66"/>
      <c r="P11" s="66"/>
      <c r="Q11" s="66"/>
      <c r="AA11" s="205" t="s">
        <v>108</v>
      </c>
    </row>
    <row r="12" spans="2:45" customFormat="1" ht="15" x14ac:dyDescent="0.25">
      <c r="B12" s="206"/>
      <c r="C12" s="204"/>
      <c r="D12" s="204"/>
      <c r="E12" s="204"/>
      <c r="F12" s="199"/>
      <c r="G12" s="200"/>
      <c r="H12" s="201"/>
      <c r="I12" s="66"/>
      <c r="J12" s="66"/>
      <c r="K12" s="66"/>
      <c r="L12" s="66"/>
      <c r="M12" s="66"/>
      <c r="N12" s="66"/>
      <c r="O12" s="66"/>
      <c r="P12" s="66"/>
      <c r="Q12" s="66"/>
    </row>
    <row r="13" spans="2:45" customFormat="1" ht="36" x14ac:dyDescent="0.25">
      <c r="B13" s="336" t="s">
        <v>109</v>
      </c>
      <c r="C13" s="335"/>
      <c r="D13" s="335"/>
      <c r="E13" s="335"/>
      <c r="F13" s="199"/>
      <c r="G13" s="200"/>
      <c r="H13" s="201" t="s">
        <v>238</v>
      </c>
      <c r="I13" s="66"/>
      <c r="J13" s="66"/>
      <c r="K13" s="66"/>
      <c r="L13" s="66"/>
      <c r="M13" s="66"/>
      <c r="N13" s="66"/>
      <c r="O13" s="66"/>
      <c r="P13" s="66"/>
      <c r="Q13" s="66"/>
      <c r="AA13" s="124" t="s">
        <v>109</v>
      </c>
    </row>
    <row r="14" spans="2:45" customFormat="1" ht="15" x14ac:dyDescent="0.25">
      <c r="B14" s="125"/>
      <c r="C14" s="204"/>
      <c r="D14" s="204"/>
      <c r="E14" s="204"/>
      <c r="F14" s="199"/>
      <c r="G14" s="200"/>
      <c r="H14" s="201"/>
      <c r="I14" s="66"/>
      <c r="J14" s="66"/>
      <c r="K14" s="66"/>
      <c r="L14" s="66"/>
      <c r="M14" s="66"/>
      <c r="N14" s="66"/>
      <c r="O14" s="66"/>
      <c r="P14" s="66"/>
      <c r="Q14" s="66"/>
    </row>
    <row r="15" spans="2:45" customFormat="1" ht="45.6" x14ac:dyDescent="0.3">
      <c r="B15" s="336" t="s">
        <v>154</v>
      </c>
      <c r="C15" s="335"/>
      <c r="D15" s="335"/>
      <c r="E15" s="335"/>
      <c r="F15" s="199"/>
      <c r="G15" s="200"/>
      <c r="H15" s="201" t="s">
        <v>238</v>
      </c>
      <c r="I15" s="66"/>
      <c r="J15" s="66"/>
      <c r="K15" s="66"/>
      <c r="L15" s="66"/>
      <c r="M15" s="66"/>
      <c r="N15" s="66"/>
      <c r="O15" s="66"/>
      <c r="P15" s="66"/>
      <c r="Q15" s="66"/>
      <c r="AA15" s="124" t="s">
        <v>154</v>
      </c>
    </row>
    <row r="16" spans="2:45" customFormat="1" ht="15" x14ac:dyDescent="0.25">
      <c r="B16" s="125"/>
      <c r="C16" s="204"/>
      <c r="D16" s="204"/>
      <c r="E16" s="204"/>
      <c r="F16" s="199"/>
      <c r="G16" s="200"/>
      <c r="H16" s="201"/>
      <c r="I16" s="66"/>
      <c r="J16" s="66"/>
      <c r="K16" s="66"/>
      <c r="L16" s="66"/>
      <c r="M16" s="66"/>
      <c r="N16" s="66"/>
      <c r="O16" s="66"/>
      <c r="P16" s="66"/>
      <c r="Q16" s="66"/>
    </row>
    <row r="17" spans="2:52" customFormat="1" ht="60" x14ac:dyDescent="0.25">
      <c r="B17" s="336" t="s">
        <v>240</v>
      </c>
      <c r="C17" s="335"/>
      <c r="D17" s="335"/>
      <c r="E17" s="335"/>
      <c r="F17" s="199"/>
      <c r="G17" s="200"/>
      <c r="H17" s="201" t="s">
        <v>238</v>
      </c>
      <c r="I17" s="66"/>
      <c r="J17" s="66"/>
      <c r="K17" s="66"/>
      <c r="L17" s="66"/>
      <c r="M17" s="66"/>
      <c r="N17" s="66"/>
      <c r="O17" s="66"/>
      <c r="P17" s="66"/>
      <c r="Q17" s="66"/>
      <c r="AA17" s="124" t="s">
        <v>240</v>
      </c>
    </row>
    <row r="18" spans="2:52" customFormat="1" ht="15" x14ac:dyDescent="0.25">
      <c r="B18" s="125"/>
      <c r="C18" s="204"/>
      <c r="D18" s="204"/>
      <c r="E18" s="204"/>
      <c r="F18" s="199"/>
      <c r="G18" s="200"/>
      <c r="H18" s="201"/>
      <c r="I18" s="66"/>
      <c r="J18" s="66"/>
      <c r="K18" s="66"/>
      <c r="L18" s="66"/>
      <c r="M18" s="66"/>
      <c r="N18" s="66"/>
      <c r="O18" s="66"/>
      <c r="P18" s="66"/>
      <c r="Q18" s="66"/>
    </row>
    <row r="19" spans="2:52" customFormat="1" ht="36" x14ac:dyDescent="0.25">
      <c r="B19" s="336" t="s">
        <v>506</v>
      </c>
      <c r="C19" s="350"/>
      <c r="D19" s="350"/>
      <c r="E19" s="350"/>
      <c r="F19" s="199"/>
      <c r="G19" s="200"/>
      <c r="H19" s="201" t="s">
        <v>238</v>
      </c>
      <c r="I19" s="66"/>
      <c r="J19" s="66"/>
      <c r="K19" s="66"/>
      <c r="L19" s="66"/>
      <c r="M19" s="66"/>
      <c r="N19" s="66"/>
      <c r="O19" s="66"/>
      <c r="P19" s="66"/>
      <c r="Q19" s="66"/>
      <c r="AA19" s="124" t="s">
        <v>171</v>
      </c>
    </row>
    <row r="20" spans="2:52" customFormat="1" ht="15" x14ac:dyDescent="0.25">
      <c r="B20" s="125"/>
      <c r="C20" s="204"/>
      <c r="D20" s="204"/>
      <c r="E20" s="204"/>
      <c r="F20" s="199"/>
      <c r="G20" s="200"/>
      <c r="H20" s="201"/>
      <c r="I20" s="66"/>
      <c r="J20" s="66"/>
      <c r="K20" s="66"/>
      <c r="L20" s="66"/>
      <c r="M20" s="66"/>
      <c r="N20" s="66"/>
      <c r="O20" s="66"/>
      <c r="P20" s="66"/>
      <c r="Q20" s="66"/>
    </row>
    <row r="21" spans="2:52" customFormat="1" ht="15" x14ac:dyDescent="0.25">
      <c r="B21" s="339" t="s">
        <v>155</v>
      </c>
      <c r="C21" s="340"/>
      <c r="D21" s="340"/>
      <c r="E21" s="340"/>
      <c r="F21" s="199"/>
      <c r="G21" s="200"/>
      <c r="H21" s="201" t="s">
        <v>241</v>
      </c>
      <c r="I21" s="66"/>
      <c r="J21" s="66"/>
      <c r="K21" s="66"/>
      <c r="L21" s="66"/>
      <c r="M21" s="66"/>
      <c r="N21" s="66"/>
      <c r="O21" s="66"/>
      <c r="P21" s="66"/>
      <c r="Q21" s="66"/>
      <c r="AA21" s="205" t="s">
        <v>155</v>
      </c>
    </row>
    <row r="22" spans="2:52" customFormat="1" ht="15" x14ac:dyDescent="0.25">
      <c r="B22" s="207"/>
      <c r="C22" s="208"/>
      <c r="D22" s="208"/>
      <c r="E22" s="236"/>
      <c r="F22" s="199"/>
      <c r="G22" s="200"/>
      <c r="H22" s="201"/>
      <c r="I22" s="66"/>
      <c r="J22" s="66"/>
      <c r="K22" s="66"/>
      <c r="L22" s="66"/>
      <c r="M22" s="66"/>
      <c r="N22" s="66"/>
      <c r="O22" s="66"/>
      <c r="P22" s="66"/>
      <c r="Q22" s="66"/>
    </row>
    <row r="23" spans="2:52" customFormat="1" ht="15" x14ac:dyDescent="0.25">
      <c r="B23" s="332" t="s">
        <v>156</v>
      </c>
      <c r="C23" s="337"/>
      <c r="D23" s="209" t="s">
        <v>89</v>
      </c>
      <c r="E23" s="237">
        <f>'6. Rev2Cost_GDPIPI'!$G$17</f>
        <v>15.751275</v>
      </c>
      <c r="F23" s="199"/>
      <c r="G23" s="200"/>
      <c r="H23" s="201" t="s">
        <v>238</v>
      </c>
      <c r="I23" s="66"/>
      <c r="J23" s="66"/>
      <c r="K23" s="66"/>
      <c r="L23" s="66"/>
      <c r="M23" s="66" t="s">
        <v>242</v>
      </c>
      <c r="N23" s="66"/>
      <c r="O23" s="66"/>
      <c r="P23" s="66"/>
      <c r="Q23" s="66"/>
      <c r="Z23" s="126" t="s">
        <v>242</v>
      </c>
    </row>
    <row r="24" spans="2:52" customFormat="1" x14ac:dyDescent="0.3">
      <c r="B24" s="332" t="s">
        <v>157</v>
      </c>
      <c r="C24" s="337"/>
      <c r="D24" s="209" t="s">
        <v>89</v>
      </c>
      <c r="E24" s="211">
        <v>0.79</v>
      </c>
      <c r="F24" s="199"/>
      <c r="G24" s="200"/>
      <c r="H24" s="201" t="s">
        <v>238</v>
      </c>
      <c r="I24" s="66"/>
      <c r="J24" s="66"/>
      <c r="K24" s="66"/>
      <c r="L24" s="66"/>
      <c r="M24" s="66" t="s">
        <v>243</v>
      </c>
      <c r="N24" s="66"/>
      <c r="O24" s="66"/>
      <c r="P24" s="66"/>
      <c r="Q24" s="202">
        <v>43404</v>
      </c>
      <c r="Z24" s="126" t="s">
        <v>243</v>
      </c>
    </row>
    <row r="25" spans="2:52" customFormat="1" x14ac:dyDescent="0.3">
      <c r="B25" s="332" t="s">
        <v>462</v>
      </c>
      <c r="C25" s="344"/>
      <c r="D25" s="209" t="s">
        <v>89</v>
      </c>
      <c r="E25" s="211">
        <f>'[8]2016 IRM Foregone Rev (Base)'!$O$7</f>
        <v>0.06</v>
      </c>
      <c r="F25" s="199"/>
      <c r="G25" s="200"/>
      <c r="H25" s="201"/>
      <c r="I25" s="66"/>
      <c r="J25" s="66"/>
      <c r="K25" s="66"/>
      <c r="L25" s="66"/>
      <c r="M25" s="66"/>
      <c r="N25" s="66"/>
      <c r="O25" s="66"/>
      <c r="P25" s="66"/>
      <c r="Q25" s="66"/>
      <c r="Z25" s="126"/>
    </row>
    <row r="26" spans="2:52" customFormat="1" x14ac:dyDescent="0.3">
      <c r="B26" s="332" t="s">
        <v>158</v>
      </c>
      <c r="C26" s="337"/>
      <c r="D26" s="209" t="s">
        <v>13</v>
      </c>
      <c r="E26" s="238">
        <f>'6. Rev2Cost_GDPIPI'!$H$17</f>
        <v>1.0195000000000001E-2</v>
      </c>
      <c r="F26" s="199"/>
      <c r="G26" s="200"/>
      <c r="H26" s="201" t="s">
        <v>238</v>
      </c>
      <c r="I26" s="66"/>
      <c r="J26" s="66"/>
      <c r="K26" s="66"/>
      <c r="L26" s="66"/>
      <c r="M26" s="66" t="s">
        <v>244</v>
      </c>
      <c r="N26" s="66"/>
      <c r="O26" s="66"/>
      <c r="P26" s="66"/>
      <c r="Q26" s="66"/>
      <c r="Z26" s="126" t="s">
        <v>244</v>
      </c>
    </row>
    <row r="27" spans="2:52" customFormat="1" ht="15" customHeight="1" x14ac:dyDescent="0.3">
      <c r="B27" s="332" t="s">
        <v>449</v>
      </c>
      <c r="C27" s="333"/>
      <c r="D27" s="209" t="s">
        <v>13</v>
      </c>
      <c r="E27" s="213">
        <f>'5. Summary of Def-Var RR'!E8</f>
        <v>3.3779802421608253E-4</v>
      </c>
      <c r="F27" s="199"/>
      <c r="G27" s="200"/>
      <c r="H27" s="201" t="s">
        <v>238</v>
      </c>
      <c r="I27" s="66"/>
      <c r="J27" s="66"/>
      <c r="K27" s="66"/>
      <c r="L27" s="66"/>
      <c r="M27" s="66" t="s">
        <v>245</v>
      </c>
      <c r="N27" s="66"/>
      <c r="O27" s="66"/>
      <c r="P27" s="66"/>
      <c r="Q27" s="66"/>
      <c r="Z27" s="126" t="s">
        <v>246</v>
      </c>
    </row>
    <row r="28" spans="2:52" customFormat="1" ht="23.25" customHeight="1" x14ac:dyDescent="0.3">
      <c r="B28" s="332" t="s">
        <v>451</v>
      </c>
      <c r="C28" s="333"/>
      <c r="D28" s="209" t="s">
        <v>13</v>
      </c>
      <c r="E28" s="213">
        <f>'5. Summary of Def-Var RR'!F22</f>
        <v>1.7232448694954414E-3</v>
      </c>
      <c r="F28" s="199"/>
      <c r="G28" s="200"/>
      <c r="H28" s="201" t="s">
        <v>238</v>
      </c>
      <c r="I28" s="66"/>
      <c r="J28" s="66"/>
      <c r="K28" s="66"/>
      <c r="L28" s="66"/>
      <c r="M28" s="66" t="s">
        <v>247</v>
      </c>
      <c r="N28" s="66"/>
      <c r="O28" s="66"/>
      <c r="P28" s="66"/>
      <c r="Q28" s="66"/>
      <c r="Z28" s="126" t="s">
        <v>159</v>
      </c>
    </row>
    <row r="29" spans="2:52" customFormat="1" ht="15" customHeight="1" x14ac:dyDescent="0.3">
      <c r="B29" s="332" t="s">
        <v>159</v>
      </c>
      <c r="C29" s="337"/>
      <c r="D29" s="209" t="s">
        <v>13</v>
      </c>
      <c r="E29" s="213">
        <v>2.0000000000000001E-4</v>
      </c>
      <c r="F29" s="199"/>
      <c r="G29" s="200"/>
      <c r="H29" s="201" t="s">
        <v>238</v>
      </c>
      <c r="I29" s="66"/>
      <c r="J29" s="66"/>
      <c r="K29" s="66"/>
      <c r="L29" s="66"/>
      <c r="M29" s="66" t="s">
        <v>248</v>
      </c>
      <c r="N29" s="66"/>
      <c r="O29" s="66"/>
      <c r="P29" s="66"/>
      <c r="Q29" s="66"/>
      <c r="Z29" s="126" t="s">
        <v>249</v>
      </c>
    </row>
    <row r="30" spans="2:52" customFormat="1" ht="15" customHeight="1" x14ac:dyDescent="0.3">
      <c r="B30" s="332" t="s">
        <v>456</v>
      </c>
      <c r="C30" s="333"/>
      <c r="D30" s="209" t="s">
        <v>89</v>
      </c>
      <c r="E30" s="211">
        <f>'8. Shared Tax - Rate Rider'!F29</f>
        <v>7.5000000000000006E-3</v>
      </c>
      <c r="F30" s="199"/>
      <c r="G30" s="200"/>
      <c r="H30" s="201"/>
      <c r="I30" s="66"/>
      <c r="J30" s="66"/>
      <c r="K30" s="66"/>
      <c r="L30" s="66"/>
      <c r="M30" s="66"/>
      <c r="N30" s="66"/>
      <c r="O30" s="66"/>
      <c r="P30" s="66"/>
      <c r="Q30" s="66"/>
      <c r="Z30" s="126"/>
    </row>
    <row r="31" spans="2:52" customFormat="1" x14ac:dyDescent="0.3">
      <c r="B31" s="332" t="s">
        <v>86</v>
      </c>
      <c r="C31" s="337"/>
      <c r="D31" s="209" t="s">
        <v>13</v>
      </c>
      <c r="E31" s="212">
        <f>'[9]14. RTSR Rates to Forecast'!$J$41</f>
        <v>7.6979795285856117E-3</v>
      </c>
      <c r="F31" s="199"/>
      <c r="G31" s="200"/>
      <c r="H31" s="201" t="s">
        <v>238</v>
      </c>
      <c r="I31" s="66"/>
      <c r="J31" s="66"/>
      <c r="K31" s="66"/>
      <c r="L31" s="66"/>
      <c r="M31" s="66" t="s">
        <v>250</v>
      </c>
      <c r="N31" s="66"/>
      <c r="O31" s="66"/>
      <c r="P31" s="66"/>
      <c r="Q31" s="66"/>
      <c r="Z31" s="126" t="s">
        <v>250</v>
      </c>
      <c r="AZ31" t="s">
        <v>251</v>
      </c>
    </row>
    <row r="32" spans="2:52" customFormat="1" x14ac:dyDescent="0.3">
      <c r="B32" s="332" t="s">
        <v>87</v>
      </c>
      <c r="C32" s="337"/>
      <c r="D32" s="209" t="s">
        <v>13</v>
      </c>
      <c r="E32" s="212">
        <f>'[9]14. RTSR Rates to Forecast'!$J$53</f>
        <v>6.4253618534697602E-3</v>
      </c>
      <c r="F32" s="199"/>
      <c r="G32" s="200"/>
      <c r="H32" s="201" t="s">
        <v>238</v>
      </c>
      <c r="I32" s="66"/>
      <c r="J32" s="66"/>
      <c r="K32" s="66"/>
      <c r="L32" s="66"/>
      <c r="M32" s="66" t="s">
        <v>252</v>
      </c>
      <c r="N32" s="66"/>
      <c r="O32" s="66"/>
      <c r="P32" s="66"/>
      <c r="Q32" s="66"/>
      <c r="Z32" s="126" t="s">
        <v>252</v>
      </c>
      <c r="AZ32" t="s">
        <v>253</v>
      </c>
    </row>
    <row r="33" spans="2:45" customFormat="1" x14ac:dyDescent="0.3">
      <c r="B33" s="214"/>
      <c r="C33" s="215"/>
      <c r="D33" s="209"/>
      <c r="E33" s="213"/>
      <c r="F33" s="199"/>
      <c r="G33" s="200"/>
      <c r="H33" s="201"/>
      <c r="I33" s="66"/>
      <c r="J33" s="66"/>
      <c r="K33" s="66"/>
      <c r="L33" s="66"/>
      <c r="M33" s="66"/>
      <c r="N33" s="66"/>
      <c r="O33" s="66"/>
      <c r="P33" s="66"/>
      <c r="Q33" s="66"/>
    </row>
    <row r="34" spans="2:45" customFormat="1" x14ac:dyDescent="0.3">
      <c r="B34" s="339" t="s">
        <v>160</v>
      </c>
      <c r="C34" s="337"/>
      <c r="D34" s="209"/>
      <c r="E34" s="216"/>
      <c r="F34" s="199"/>
      <c r="G34" s="200"/>
      <c r="H34" s="201" t="s">
        <v>254</v>
      </c>
      <c r="I34" s="66"/>
      <c r="J34" s="66"/>
      <c r="K34" s="66"/>
      <c r="L34" s="66"/>
      <c r="M34" s="66"/>
      <c r="N34" s="66"/>
      <c r="O34" s="66"/>
      <c r="P34" s="66"/>
      <c r="Q34" s="66"/>
      <c r="Z34" s="205" t="s">
        <v>160</v>
      </c>
    </row>
    <row r="35" spans="2:45" customFormat="1" x14ac:dyDescent="0.3">
      <c r="B35" s="207"/>
      <c r="C35" s="215"/>
      <c r="D35" s="209"/>
      <c r="E35" s="216"/>
      <c r="F35" s="199"/>
      <c r="G35" s="200"/>
      <c r="H35" s="201"/>
      <c r="I35" s="66"/>
      <c r="J35" s="66"/>
      <c r="K35" s="66"/>
      <c r="L35" s="66"/>
      <c r="M35" s="66"/>
      <c r="N35" s="66"/>
      <c r="O35" s="66"/>
      <c r="P35" s="66"/>
      <c r="Q35" s="66"/>
    </row>
    <row r="36" spans="2:45" customFormat="1" x14ac:dyDescent="0.3">
      <c r="B36" s="332" t="s">
        <v>147</v>
      </c>
      <c r="C36" s="337"/>
      <c r="D36" s="209" t="s">
        <v>13</v>
      </c>
      <c r="E36" s="216">
        <v>3.5999999999999999E-3</v>
      </c>
      <c r="F36" s="199"/>
      <c r="G36" s="200"/>
      <c r="H36" s="201" t="s">
        <v>238</v>
      </c>
      <c r="I36" s="66"/>
      <c r="J36" s="66"/>
      <c r="K36" s="66"/>
      <c r="L36" s="66"/>
      <c r="M36" s="66" t="s">
        <v>255</v>
      </c>
      <c r="N36" s="66"/>
      <c r="O36" s="66"/>
      <c r="P36" s="66"/>
      <c r="Q36" s="66"/>
      <c r="Z36" s="126" t="s">
        <v>147</v>
      </c>
    </row>
    <row r="37" spans="2:45" customFormat="1" x14ac:dyDescent="0.3">
      <c r="B37" s="332" t="s">
        <v>148</v>
      </c>
      <c r="C37" s="337"/>
      <c r="D37" s="209" t="s">
        <v>13</v>
      </c>
      <c r="E37" s="216">
        <v>1.2999999999999999E-3</v>
      </c>
      <c r="F37" s="199"/>
      <c r="G37" s="200"/>
      <c r="H37" s="201" t="s">
        <v>238</v>
      </c>
      <c r="I37" s="66"/>
      <c r="J37" s="66"/>
      <c r="K37" s="66"/>
      <c r="L37" s="66"/>
      <c r="M37" s="66" t="s">
        <v>256</v>
      </c>
      <c r="N37" s="66"/>
      <c r="O37" s="66"/>
      <c r="P37" s="66"/>
      <c r="Q37" s="66"/>
      <c r="Z37" s="126" t="s">
        <v>148</v>
      </c>
    </row>
    <row r="38" spans="2:45" customFormat="1" x14ac:dyDescent="0.3">
      <c r="B38" s="332" t="s">
        <v>463</v>
      </c>
      <c r="C38" s="337"/>
      <c r="D38" s="209" t="s">
        <v>13</v>
      </c>
      <c r="E38" s="216">
        <v>1.1000000000000001E-3</v>
      </c>
      <c r="F38" s="199"/>
      <c r="G38" s="200"/>
      <c r="H38" s="201"/>
      <c r="I38" s="66"/>
      <c r="J38" s="66"/>
      <c r="K38" s="66"/>
      <c r="L38" s="66"/>
      <c r="M38" s="66"/>
      <c r="N38" s="66"/>
      <c r="O38" s="66"/>
      <c r="P38" s="66"/>
      <c r="Q38" s="66"/>
      <c r="Z38" s="126"/>
    </row>
    <row r="39" spans="2:45" customFormat="1" x14ac:dyDescent="0.3">
      <c r="B39" s="332" t="s">
        <v>149</v>
      </c>
      <c r="C39" s="337"/>
      <c r="D39" s="209" t="s">
        <v>89</v>
      </c>
      <c r="E39" s="216">
        <v>0.25</v>
      </c>
      <c r="F39" s="199"/>
      <c r="G39" s="200"/>
      <c r="H39" s="201" t="s">
        <v>238</v>
      </c>
      <c r="I39" s="66"/>
      <c r="J39" s="66"/>
      <c r="K39" s="66"/>
      <c r="L39" s="66"/>
      <c r="M39" s="66" t="s">
        <v>257</v>
      </c>
      <c r="N39" s="66"/>
      <c r="O39" s="66"/>
      <c r="P39" s="66"/>
      <c r="Q39" s="66"/>
      <c r="Z39" s="126" t="s">
        <v>149</v>
      </c>
      <c r="AS39" t="s">
        <v>235</v>
      </c>
    </row>
    <row r="40" spans="2:45" customFormat="1" x14ac:dyDescent="0.3">
      <c r="B40" s="297"/>
      <c r="C40" s="298"/>
      <c r="D40" s="209"/>
      <c r="E40" s="216"/>
      <c r="F40" s="199"/>
      <c r="G40" s="200"/>
      <c r="H40" s="201"/>
      <c r="I40" s="66"/>
      <c r="J40" s="66"/>
      <c r="K40" s="66"/>
      <c r="L40" s="66"/>
      <c r="M40" s="66"/>
      <c r="N40" s="66"/>
      <c r="O40" s="66"/>
      <c r="P40" s="66"/>
      <c r="Q40" s="66"/>
      <c r="Z40" s="126"/>
    </row>
    <row r="41" spans="2:45" customFormat="1" x14ac:dyDescent="0.3">
      <c r="B41" s="297"/>
      <c r="C41" s="298"/>
      <c r="D41" s="209"/>
      <c r="E41" s="216"/>
      <c r="F41" s="199"/>
      <c r="G41" s="200"/>
      <c r="H41" s="201"/>
      <c r="I41" s="66"/>
      <c r="J41" s="66"/>
      <c r="K41" s="66"/>
      <c r="L41" s="66"/>
      <c r="M41" s="66"/>
      <c r="N41" s="66"/>
      <c r="O41" s="66"/>
      <c r="P41" s="66"/>
      <c r="Q41" s="66"/>
      <c r="Z41" s="126"/>
    </row>
    <row r="42" spans="2:45" customFormat="1" ht="18" customHeight="1" x14ac:dyDescent="0.3">
      <c r="B42" s="334" t="s">
        <v>464</v>
      </c>
      <c r="C42" s="335"/>
      <c r="D42" s="335"/>
      <c r="E42" s="335"/>
      <c r="F42" s="199"/>
      <c r="G42" s="200"/>
      <c r="H42" s="201"/>
      <c r="I42" s="66"/>
      <c r="J42" s="66"/>
      <c r="K42" s="66"/>
      <c r="L42" s="66"/>
      <c r="M42" s="66"/>
      <c r="N42" s="66"/>
      <c r="O42" s="66"/>
      <c r="P42" s="66"/>
      <c r="Q42" s="66"/>
      <c r="Z42" s="126"/>
    </row>
    <row r="43" spans="2:45" customFormat="1" ht="17.399999999999999" x14ac:dyDescent="0.3">
      <c r="B43" s="217"/>
      <c r="C43" s="217"/>
      <c r="D43" s="217"/>
      <c r="E43" s="217"/>
      <c r="F43" s="199"/>
      <c r="G43" s="200"/>
      <c r="H43" s="201"/>
      <c r="I43" s="66"/>
      <c r="J43" s="66"/>
      <c r="K43" s="66"/>
      <c r="L43" s="66"/>
      <c r="M43" s="66"/>
      <c r="N43" s="66"/>
      <c r="O43" s="66"/>
      <c r="P43" s="66"/>
      <c r="Q43" s="66"/>
      <c r="Z43" s="126"/>
    </row>
    <row r="44" spans="2:45" customFormat="1" ht="29.25" customHeight="1" x14ac:dyDescent="0.3">
      <c r="B44" s="336" t="s">
        <v>465</v>
      </c>
      <c r="C44" s="343"/>
      <c r="D44" s="343"/>
      <c r="E44" s="343"/>
      <c r="F44" s="199"/>
      <c r="G44" s="200"/>
      <c r="H44" s="201"/>
      <c r="I44" s="66"/>
      <c r="J44" s="66"/>
      <c r="K44" s="66"/>
      <c r="L44" s="66"/>
      <c r="M44" s="66"/>
      <c r="N44" s="66"/>
      <c r="O44" s="66"/>
      <c r="P44" s="66"/>
      <c r="Q44" s="66"/>
      <c r="Z44" s="126"/>
    </row>
    <row r="45" spans="2:45" customFormat="1" x14ac:dyDescent="0.3">
      <c r="B45" s="332"/>
      <c r="C45" s="337"/>
      <c r="D45" s="209"/>
      <c r="E45" s="213"/>
      <c r="F45" s="199"/>
      <c r="G45" s="200"/>
      <c r="H45" s="201"/>
      <c r="I45" s="66"/>
      <c r="J45" s="66"/>
      <c r="K45" s="66"/>
      <c r="L45" s="66"/>
      <c r="M45" s="66"/>
      <c r="N45" s="66"/>
      <c r="O45" s="66"/>
      <c r="P45" s="66"/>
      <c r="Q45" s="66"/>
      <c r="Z45" s="126"/>
    </row>
    <row r="46" spans="2:45" customFormat="1" x14ac:dyDescent="0.3">
      <c r="B46" s="361" t="s">
        <v>108</v>
      </c>
      <c r="C46" s="362"/>
      <c r="D46" s="209"/>
      <c r="E46" s="213"/>
      <c r="F46" s="199"/>
      <c r="G46" s="200"/>
      <c r="H46" s="201"/>
      <c r="I46" s="66"/>
      <c r="J46" s="66"/>
      <c r="K46" s="66"/>
      <c r="L46" s="66"/>
      <c r="M46" s="66"/>
      <c r="N46" s="66"/>
      <c r="O46" s="66"/>
      <c r="P46" s="66"/>
      <c r="Q46" s="66"/>
      <c r="Z46" s="126"/>
    </row>
    <row r="47" spans="2:45" customFormat="1" x14ac:dyDescent="0.3">
      <c r="B47" s="332"/>
      <c r="C47" s="337"/>
      <c r="D47" s="209"/>
      <c r="E47" s="213"/>
      <c r="F47" s="199"/>
      <c r="G47" s="200"/>
      <c r="H47" s="201"/>
      <c r="I47" s="66"/>
      <c r="J47" s="66"/>
      <c r="K47" s="66"/>
      <c r="L47" s="66"/>
      <c r="M47" s="66"/>
      <c r="N47" s="66"/>
      <c r="O47" s="66"/>
      <c r="P47" s="66"/>
      <c r="Q47" s="66"/>
      <c r="Z47" s="126"/>
    </row>
    <row r="48" spans="2:45" customFormat="1" ht="189" customHeight="1" x14ac:dyDescent="0.3">
      <c r="B48" s="336" t="s">
        <v>466</v>
      </c>
      <c r="C48" s="343"/>
      <c r="D48" s="343"/>
      <c r="E48" s="343"/>
      <c r="F48" s="199"/>
      <c r="G48" s="200"/>
      <c r="H48" s="201"/>
      <c r="I48" s="66"/>
      <c r="J48" s="66"/>
      <c r="K48" s="66"/>
      <c r="L48" s="66"/>
      <c r="M48" s="66"/>
      <c r="N48" s="66"/>
      <c r="O48" s="66"/>
      <c r="P48" s="66"/>
      <c r="Q48" s="66"/>
      <c r="Z48" s="126"/>
    </row>
    <row r="49" spans="2:26" customFormat="1" ht="15" hidden="1" x14ac:dyDescent="0.25">
      <c r="B49" s="332"/>
      <c r="C49" s="337"/>
      <c r="D49" s="209"/>
      <c r="E49" s="213"/>
      <c r="F49" s="199"/>
      <c r="G49" s="200"/>
      <c r="H49" s="201"/>
      <c r="I49" s="66"/>
      <c r="J49" s="66"/>
      <c r="K49" s="66"/>
      <c r="L49" s="66"/>
      <c r="M49" s="66"/>
      <c r="N49" s="66"/>
      <c r="O49" s="66"/>
      <c r="P49" s="66"/>
      <c r="Q49" s="66"/>
      <c r="Z49" s="126"/>
    </row>
    <row r="50" spans="2:26" customFormat="1" x14ac:dyDescent="0.3">
      <c r="B50" s="361" t="s">
        <v>467</v>
      </c>
      <c r="C50" s="362"/>
      <c r="D50" s="209"/>
      <c r="E50" s="213"/>
      <c r="F50" s="199"/>
      <c r="G50" s="200"/>
      <c r="H50" s="201"/>
      <c r="I50" s="66"/>
      <c r="J50" s="66"/>
      <c r="K50" s="66"/>
      <c r="L50" s="66"/>
      <c r="M50" s="66"/>
      <c r="N50" s="66"/>
      <c r="O50" s="66"/>
      <c r="P50" s="66"/>
      <c r="Q50" s="66"/>
      <c r="Z50" s="126"/>
    </row>
    <row r="51" spans="2:26" customFormat="1" x14ac:dyDescent="0.3">
      <c r="B51" s="332"/>
      <c r="C51" s="337"/>
      <c r="D51" s="209"/>
      <c r="E51" s="213"/>
      <c r="F51" s="199"/>
      <c r="G51" s="200"/>
      <c r="H51" s="201"/>
      <c r="I51" s="66"/>
      <c r="J51" s="66"/>
      <c r="K51" s="66"/>
      <c r="L51" s="66"/>
      <c r="M51" s="66"/>
      <c r="N51" s="66"/>
      <c r="O51" s="66"/>
      <c r="P51" s="66"/>
      <c r="Q51" s="66"/>
      <c r="Z51" s="126"/>
    </row>
    <row r="52" spans="2:26" customFormat="1" x14ac:dyDescent="0.3">
      <c r="B52" s="361" t="s">
        <v>468</v>
      </c>
      <c r="C52" s="362"/>
      <c r="D52" s="295" t="s">
        <v>89</v>
      </c>
      <c r="E52" s="296">
        <v>-30</v>
      </c>
      <c r="F52" s="199"/>
      <c r="G52" s="200"/>
      <c r="H52" s="201"/>
      <c r="I52" s="66"/>
      <c r="J52" s="66"/>
      <c r="K52" s="66"/>
      <c r="L52" s="66"/>
      <c r="M52" s="66"/>
      <c r="N52" s="66"/>
      <c r="O52" s="66"/>
      <c r="P52" s="66"/>
      <c r="Q52" s="66"/>
      <c r="Z52" s="126"/>
    </row>
    <row r="53" spans="2:26" customFormat="1" ht="15" customHeight="1" x14ac:dyDescent="0.3">
      <c r="B53" s="332" t="s">
        <v>469</v>
      </c>
      <c r="C53" s="332"/>
      <c r="D53" s="332"/>
      <c r="E53" s="332"/>
      <c r="F53" s="199"/>
      <c r="G53" s="200"/>
      <c r="H53" s="201"/>
      <c r="I53" s="66"/>
      <c r="J53" s="66"/>
      <c r="K53" s="66"/>
      <c r="L53" s="66"/>
      <c r="M53" s="66"/>
      <c r="N53" s="66"/>
      <c r="O53" s="66"/>
      <c r="P53" s="66"/>
      <c r="Q53" s="66"/>
      <c r="Z53" s="126"/>
    </row>
    <row r="54" spans="2:26" customFormat="1" ht="15" customHeight="1" x14ac:dyDescent="0.3">
      <c r="B54" s="332" t="s">
        <v>470</v>
      </c>
      <c r="C54" s="332"/>
      <c r="D54" s="332"/>
      <c r="E54" s="332"/>
      <c r="F54" s="199"/>
      <c r="G54" s="200"/>
      <c r="H54" s="201"/>
      <c r="I54" s="66"/>
      <c r="J54" s="66"/>
      <c r="K54" s="66"/>
      <c r="L54" s="66"/>
      <c r="M54" s="66"/>
      <c r="N54" s="66"/>
      <c r="O54" s="66"/>
      <c r="P54" s="66"/>
      <c r="Q54" s="66"/>
      <c r="Z54" s="126"/>
    </row>
    <row r="55" spans="2:26" customFormat="1" ht="15" customHeight="1" x14ac:dyDescent="0.3">
      <c r="B55" s="332" t="s">
        <v>471</v>
      </c>
      <c r="C55" s="332"/>
      <c r="D55" s="332"/>
      <c r="E55" s="332"/>
      <c r="F55" s="199"/>
      <c r="G55" s="200"/>
      <c r="H55" s="201"/>
      <c r="I55" s="66"/>
      <c r="J55" s="66"/>
      <c r="K55" s="66"/>
      <c r="L55" s="66"/>
      <c r="M55" s="66"/>
      <c r="N55" s="66"/>
      <c r="O55" s="66"/>
      <c r="P55" s="66"/>
      <c r="Q55" s="66"/>
      <c r="Z55" s="126"/>
    </row>
    <row r="56" spans="2:26" customFormat="1" ht="27.75" customHeight="1" x14ac:dyDescent="0.3">
      <c r="B56" s="332" t="s">
        <v>476</v>
      </c>
      <c r="C56" s="332"/>
      <c r="D56" s="332"/>
      <c r="E56" s="332"/>
      <c r="F56" s="199"/>
      <c r="G56" s="200"/>
      <c r="H56" s="201"/>
      <c r="I56" s="66"/>
      <c r="J56" s="66"/>
      <c r="K56" s="66"/>
      <c r="L56" s="66"/>
      <c r="M56" s="66"/>
      <c r="N56" s="66"/>
      <c r="O56" s="66"/>
      <c r="P56" s="66"/>
      <c r="Q56" s="66"/>
      <c r="Z56" s="126"/>
    </row>
    <row r="57" spans="2:26" customFormat="1" x14ac:dyDescent="0.3">
      <c r="B57" s="332"/>
      <c r="C57" s="337"/>
      <c r="D57" s="209"/>
      <c r="E57" s="213"/>
      <c r="F57" s="199"/>
      <c r="G57" s="200"/>
      <c r="H57" s="201"/>
      <c r="I57" s="66"/>
      <c r="J57" s="66"/>
      <c r="K57" s="66"/>
      <c r="L57" s="66"/>
      <c r="M57" s="66"/>
      <c r="N57" s="66"/>
      <c r="O57" s="66"/>
      <c r="P57" s="66"/>
      <c r="Q57" s="66"/>
      <c r="Z57" s="126"/>
    </row>
    <row r="58" spans="2:26" customFormat="1" ht="10.5" customHeight="1" x14ac:dyDescent="0.3">
      <c r="B58" s="332"/>
      <c r="C58" s="337"/>
      <c r="D58" s="209"/>
      <c r="E58" s="213"/>
      <c r="F58" s="199"/>
      <c r="G58" s="200"/>
      <c r="H58" s="201"/>
      <c r="I58" s="66"/>
      <c r="J58" s="66"/>
      <c r="K58" s="66"/>
      <c r="L58" s="66"/>
      <c r="M58" s="66"/>
      <c r="N58" s="66"/>
      <c r="O58" s="66"/>
      <c r="P58" s="66"/>
      <c r="Q58" s="66"/>
      <c r="Z58" s="126"/>
    </row>
    <row r="59" spans="2:26" customFormat="1" x14ac:dyDescent="0.3">
      <c r="B59" s="361" t="s">
        <v>472</v>
      </c>
      <c r="C59" s="362"/>
      <c r="D59" s="295" t="s">
        <v>89</v>
      </c>
      <c r="E59" s="296">
        <v>-34</v>
      </c>
      <c r="F59" s="199"/>
      <c r="G59" s="200"/>
      <c r="H59" s="201"/>
      <c r="I59" s="66"/>
      <c r="J59" s="66"/>
      <c r="K59" s="66"/>
      <c r="L59" s="66"/>
      <c r="M59" s="66"/>
      <c r="N59" s="66"/>
      <c r="O59" s="66"/>
      <c r="P59" s="66"/>
      <c r="Q59" s="66"/>
      <c r="Z59" s="126"/>
    </row>
    <row r="60" spans="2:26" customFormat="1" x14ac:dyDescent="0.3">
      <c r="B60" s="332" t="s">
        <v>473</v>
      </c>
      <c r="C60" s="332"/>
      <c r="D60" s="332"/>
      <c r="E60" s="332"/>
      <c r="F60" s="199"/>
      <c r="G60" s="200"/>
      <c r="H60" s="201"/>
      <c r="I60" s="66"/>
      <c r="J60" s="66"/>
      <c r="K60" s="66"/>
      <c r="L60" s="66"/>
      <c r="M60" s="66"/>
      <c r="N60" s="66"/>
      <c r="O60" s="66"/>
      <c r="P60" s="66"/>
      <c r="Q60" s="66"/>
      <c r="Z60" s="126"/>
    </row>
    <row r="61" spans="2:26" customFormat="1" x14ac:dyDescent="0.3">
      <c r="B61" s="332" t="s">
        <v>474</v>
      </c>
      <c r="C61" s="332"/>
      <c r="D61" s="332"/>
      <c r="E61" s="332"/>
      <c r="F61" s="199"/>
      <c r="G61" s="200"/>
      <c r="H61" s="201"/>
      <c r="I61" s="66"/>
      <c r="J61" s="66"/>
      <c r="K61" s="66"/>
      <c r="L61" s="66"/>
      <c r="M61" s="66"/>
      <c r="N61" s="66"/>
      <c r="O61" s="66"/>
      <c r="P61" s="66"/>
      <c r="Q61" s="66"/>
      <c r="Z61" s="126"/>
    </row>
    <row r="62" spans="2:26" customFormat="1" ht="25.5" customHeight="1" x14ac:dyDescent="0.3">
      <c r="B62" s="332" t="s">
        <v>475</v>
      </c>
      <c r="C62" s="332"/>
      <c r="D62" s="332"/>
      <c r="E62" s="332"/>
      <c r="F62" s="199"/>
      <c r="G62" s="200"/>
      <c r="H62" s="201"/>
      <c r="I62" s="66"/>
      <c r="J62" s="66"/>
      <c r="K62" s="66"/>
      <c r="L62" s="66"/>
      <c r="M62" s="66"/>
      <c r="N62" s="66"/>
      <c r="O62" s="66"/>
      <c r="P62" s="66"/>
      <c r="Q62" s="66"/>
      <c r="Z62" s="126"/>
    </row>
    <row r="63" spans="2:26" customFormat="1" x14ac:dyDescent="0.3">
      <c r="B63" s="332"/>
      <c r="C63" s="337"/>
      <c r="D63" s="209"/>
      <c r="E63" s="213"/>
      <c r="F63" s="199"/>
      <c r="G63" s="200"/>
      <c r="H63" s="201"/>
      <c r="I63" s="66"/>
      <c r="J63" s="66"/>
      <c r="K63" s="66"/>
      <c r="L63" s="66"/>
      <c r="M63" s="66"/>
      <c r="N63" s="66"/>
      <c r="O63" s="66"/>
      <c r="P63" s="66"/>
      <c r="Q63" s="66"/>
      <c r="Z63" s="126"/>
    </row>
    <row r="64" spans="2:26" customFormat="1" ht="13.5" customHeight="1" x14ac:dyDescent="0.3">
      <c r="B64" s="332"/>
      <c r="C64" s="337"/>
      <c r="D64" s="209"/>
      <c r="E64" s="213"/>
      <c r="F64" s="199"/>
      <c r="G64" s="200"/>
      <c r="H64" s="201"/>
      <c r="I64" s="66"/>
      <c r="J64" s="66"/>
      <c r="K64" s="66"/>
      <c r="L64" s="66"/>
      <c r="M64" s="66"/>
      <c r="N64" s="66"/>
      <c r="O64" s="66"/>
      <c r="P64" s="66"/>
      <c r="Q64" s="66"/>
      <c r="Z64" s="126"/>
    </row>
    <row r="65" spans="2:26" customFormat="1" x14ac:dyDescent="0.3">
      <c r="B65" s="361" t="s">
        <v>477</v>
      </c>
      <c r="C65" s="362"/>
      <c r="D65" s="295" t="s">
        <v>89</v>
      </c>
      <c r="E65" s="296">
        <v>-38</v>
      </c>
      <c r="F65" s="199"/>
      <c r="G65" s="200"/>
      <c r="H65" s="201"/>
      <c r="I65" s="66"/>
      <c r="J65" s="66"/>
      <c r="K65" s="66"/>
      <c r="L65" s="66"/>
      <c r="M65" s="66"/>
      <c r="N65" s="66"/>
      <c r="O65" s="66"/>
      <c r="P65" s="66"/>
      <c r="Q65" s="66"/>
      <c r="Z65" s="126"/>
    </row>
    <row r="66" spans="2:26" customFormat="1" x14ac:dyDescent="0.3">
      <c r="B66" s="332" t="s">
        <v>478</v>
      </c>
      <c r="C66" s="332"/>
      <c r="D66" s="332"/>
      <c r="E66" s="332"/>
      <c r="F66" s="199"/>
      <c r="G66" s="200"/>
      <c r="H66" s="201"/>
      <c r="I66" s="66"/>
      <c r="J66" s="66"/>
      <c r="K66" s="66"/>
      <c r="L66" s="66"/>
      <c r="M66" s="66"/>
      <c r="N66" s="66"/>
      <c r="O66" s="66"/>
      <c r="P66" s="66"/>
      <c r="Q66" s="66"/>
      <c r="Z66" s="126"/>
    </row>
    <row r="67" spans="2:26" customFormat="1" x14ac:dyDescent="0.3">
      <c r="B67" s="332" t="s">
        <v>479</v>
      </c>
      <c r="C67" s="332"/>
      <c r="D67" s="332"/>
      <c r="E67" s="332"/>
      <c r="F67" s="199"/>
      <c r="G67" s="200"/>
      <c r="H67" s="201"/>
      <c r="I67" s="66"/>
      <c r="J67" s="66"/>
      <c r="K67" s="66"/>
      <c r="L67" s="66"/>
      <c r="M67" s="66"/>
      <c r="N67" s="66"/>
      <c r="O67" s="66"/>
      <c r="P67" s="66"/>
      <c r="Q67" s="66"/>
      <c r="Z67" s="126"/>
    </row>
    <row r="68" spans="2:26" customFormat="1" ht="22.5" customHeight="1" x14ac:dyDescent="0.3">
      <c r="B68" s="332" t="s">
        <v>480</v>
      </c>
      <c r="C68" s="332"/>
      <c r="D68" s="332"/>
      <c r="E68" s="332"/>
      <c r="F68" s="199"/>
      <c r="G68" s="200"/>
      <c r="H68" s="201"/>
      <c r="I68" s="66"/>
      <c r="J68" s="66"/>
      <c r="K68" s="66"/>
      <c r="L68" s="66"/>
      <c r="M68" s="66"/>
      <c r="N68" s="66"/>
      <c r="O68" s="66"/>
      <c r="P68" s="66"/>
      <c r="Q68" s="66"/>
      <c r="Z68" s="126"/>
    </row>
    <row r="69" spans="2:26" customFormat="1" x14ac:dyDescent="0.3">
      <c r="B69" s="332"/>
      <c r="C69" s="337"/>
      <c r="D69" s="209"/>
      <c r="E69" s="213"/>
      <c r="F69" s="199"/>
      <c r="G69" s="200"/>
      <c r="H69" s="201"/>
      <c r="I69" s="66"/>
      <c r="J69" s="66"/>
      <c r="K69" s="66"/>
      <c r="L69" s="66"/>
      <c r="M69" s="66"/>
      <c r="N69" s="66"/>
      <c r="O69" s="66"/>
      <c r="P69" s="66"/>
      <c r="Q69" s="66"/>
      <c r="Z69" s="126"/>
    </row>
    <row r="70" spans="2:26" customFormat="1" ht="12" customHeight="1" x14ac:dyDescent="0.3">
      <c r="B70" s="332"/>
      <c r="C70" s="337"/>
      <c r="D70" s="209"/>
      <c r="E70" s="213"/>
      <c r="F70" s="199"/>
      <c r="G70" s="200"/>
      <c r="H70" s="201"/>
      <c r="I70" s="66"/>
      <c r="J70" s="66"/>
      <c r="K70" s="66"/>
      <c r="L70" s="66"/>
      <c r="M70" s="66"/>
      <c r="N70" s="66"/>
      <c r="O70" s="66"/>
      <c r="P70" s="66"/>
      <c r="Q70" s="66"/>
      <c r="Z70" s="126"/>
    </row>
    <row r="71" spans="2:26" customFormat="1" x14ac:dyDescent="0.3">
      <c r="B71" s="361" t="s">
        <v>481</v>
      </c>
      <c r="C71" s="362"/>
      <c r="D71" s="295" t="s">
        <v>89</v>
      </c>
      <c r="E71" s="296">
        <v>-42</v>
      </c>
      <c r="F71" s="199"/>
      <c r="G71" s="200"/>
      <c r="H71" s="201"/>
      <c r="I71" s="66"/>
      <c r="J71" s="66"/>
      <c r="K71" s="66"/>
      <c r="L71" s="66"/>
      <c r="M71" s="66"/>
      <c r="N71" s="66"/>
      <c r="O71" s="66"/>
      <c r="P71" s="66"/>
      <c r="Q71" s="66"/>
      <c r="Z71" s="126"/>
    </row>
    <row r="72" spans="2:26" customFormat="1" x14ac:dyDescent="0.3">
      <c r="B72" s="332" t="s">
        <v>482</v>
      </c>
      <c r="C72" s="332"/>
      <c r="D72" s="332"/>
      <c r="E72" s="332"/>
      <c r="F72" s="199"/>
      <c r="G72" s="200"/>
      <c r="H72" s="201"/>
      <c r="I72" s="66"/>
      <c r="J72" s="66"/>
      <c r="K72" s="66"/>
      <c r="L72" s="66"/>
      <c r="M72" s="66"/>
      <c r="N72" s="66"/>
      <c r="O72" s="66"/>
      <c r="P72" s="66"/>
      <c r="Q72" s="66"/>
      <c r="Z72" s="126"/>
    </row>
    <row r="73" spans="2:26" customFormat="1" ht="24.75" customHeight="1" x14ac:dyDescent="0.3">
      <c r="B73" s="332" t="s">
        <v>483</v>
      </c>
      <c r="C73" s="332"/>
      <c r="D73" s="332"/>
      <c r="E73" s="332"/>
      <c r="F73" s="199"/>
      <c r="G73" s="200"/>
      <c r="H73" s="201"/>
      <c r="I73" s="66"/>
      <c r="J73" s="66"/>
      <c r="K73" s="66"/>
      <c r="L73" s="66"/>
      <c r="M73" s="66"/>
      <c r="N73" s="66"/>
      <c r="O73" s="66"/>
      <c r="P73" s="66"/>
      <c r="Q73" s="66"/>
      <c r="Z73" s="126"/>
    </row>
    <row r="74" spans="2:26" customFormat="1" ht="15" hidden="1" x14ac:dyDescent="0.25">
      <c r="B74" s="332"/>
      <c r="C74" s="337"/>
      <c r="D74" s="209"/>
      <c r="E74" s="213"/>
      <c r="F74" s="199"/>
      <c r="G74" s="200"/>
      <c r="H74" s="201"/>
      <c r="I74" s="66"/>
      <c r="J74" s="66"/>
      <c r="K74" s="66"/>
      <c r="L74" s="66"/>
      <c r="M74" s="66"/>
      <c r="N74" s="66"/>
      <c r="O74" s="66"/>
      <c r="P74" s="66"/>
      <c r="Q74" s="66"/>
      <c r="Z74" s="126"/>
    </row>
    <row r="75" spans="2:26" customFormat="1" x14ac:dyDescent="0.3">
      <c r="B75" s="332"/>
      <c r="C75" s="337"/>
      <c r="D75" s="209"/>
      <c r="E75" s="213"/>
      <c r="F75" s="199"/>
      <c r="G75" s="200"/>
      <c r="H75" s="201"/>
      <c r="I75" s="66"/>
      <c r="J75" s="66"/>
      <c r="K75" s="66"/>
      <c r="L75" s="66"/>
      <c r="M75" s="66"/>
      <c r="N75" s="66"/>
      <c r="O75" s="66"/>
      <c r="P75" s="66"/>
      <c r="Q75" s="66"/>
      <c r="Z75" s="126"/>
    </row>
    <row r="76" spans="2:26" customFormat="1" x14ac:dyDescent="0.3">
      <c r="B76" s="361" t="s">
        <v>484</v>
      </c>
      <c r="C76" s="362"/>
      <c r="D76" s="295" t="s">
        <v>89</v>
      </c>
      <c r="E76" s="296">
        <v>-45</v>
      </c>
      <c r="F76" s="199"/>
      <c r="G76" s="200"/>
      <c r="H76" s="201"/>
      <c r="I76" s="66"/>
      <c r="J76" s="66"/>
      <c r="K76" s="66"/>
      <c r="L76" s="66"/>
      <c r="M76" s="66"/>
      <c r="N76" s="66"/>
      <c r="O76" s="66"/>
      <c r="P76" s="66"/>
      <c r="Q76" s="66"/>
      <c r="Z76" s="126"/>
    </row>
    <row r="77" spans="2:26" customFormat="1" ht="26.25" customHeight="1" x14ac:dyDescent="0.3">
      <c r="B77" s="332" t="s">
        <v>485</v>
      </c>
      <c r="C77" s="332"/>
      <c r="D77" s="332"/>
      <c r="E77" s="332"/>
      <c r="F77" s="199"/>
      <c r="G77" s="200"/>
      <c r="H77" s="201"/>
      <c r="I77" s="66"/>
      <c r="J77" s="66"/>
      <c r="K77" s="66"/>
      <c r="L77" s="66"/>
      <c r="M77" s="66"/>
      <c r="N77" s="66"/>
      <c r="O77" s="66"/>
      <c r="P77" s="66"/>
      <c r="Q77" s="66"/>
      <c r="Z77" s="126"/>
    </row>
    <row r="78" spans="2:26" customFormat="1" x14ac:dyDescent="0.3">
      <c r="B78" s="332" t="s">
        <v>486</v>
      </c>
      <c r="C78" s="332"/>
      <c r="D78" s="332"/>
      <c r="E78" s="332"/>
      <c r="F78" s="199"/>
      <c r="G78" s="200"/>
      <c r="H78" s="201"/>
      <c r="I78" s="66"/>
      <c r="J78" s="66"/>
      <c r="K78" s="66"/>
      <c r="L78" s="66"/>
      <c r="M78" s="66"/>
      <c r="N78" s="66"/>
      <c r="O78" s="66"/>
      <c r="P78" s="66"/>
      <c r="Q78" s="66"/>
      <c r="Z78" s="126"/>
    </row>
    <row r="79" spans="2:26" customFormat="1" x14ac:dyDescent="0.3">
      <c r="B79" s="332" t="s">
        <v>487</v>
      </c>
      <c r="C79" s="332"/>
      <c r="D79" s="332"/>
      <c r="E79" s="332"/>
      <c r="F79" s="199"/>
      <c r="G79" s="200"/>
      <c r="H79" s="201"/>
      <c r="I79" s="66"/>
      <c r="J79" s="66"/>
      <c r="K79" s="66"/>
      <c r="L79" s="66"/>
      <c r="M79" s="66"/>
      <c r="N79" s="66"/>
      <c r="O79" s="66"/>
      <c r="P79" s="66"/>
      <c r="Q79" s="66"/>
      <c r="Z79" s="126"/>
    </row>
    <row r="80" spans="2:26" customFormat="1" ht="24.75" customHeight="1" x14ac:dyDescent="0.3">
      <c r="B80" s="332" t="s">
        <v>488</v>
      </c>
      <c r="C80" s="332"/>
      <c r="D80" s="332"/>
      <c r="E80" s="332"/>
      <c r="F80" s="199"/>
      <c r="G80" s="200"/>
      <c r="H80" s="201"/>
      <c r="I80" s="66"/>
      <c r="J80" s="66"/>
      <c r="K80" s="66"/>
      <c r="L80" s="66"/>
      <c r="M80" s="66"/>
      <c r="N80" s="66"/>
      <c r="O80" s="66"/>
      <c r="P80" s="66"/>
      <c r="Q80" s="66"/>
      <c r="Z80" s="126"/>
    </row>
    <row r="81" spans="2:26" customFormat="1" x14ac:dyDescent="0.3">
      <c r="B81" s="332"/>
      <c r="C81" s="337"/>
      <c r="D81" s="209"/>
      <c r="E81" s="213"/>
      <c r="F81" s="199"/>
      <c r="G81" s="200"/>
      <c r="H81" s="201"/>
      <c r="I81" s="66"/>
      <c r="J81" s="66"/>
      <c r="K81" s="66"/>
      <c r="L81" s="66"/>
      <c r="M81" s="66"/>
      <c r="N81" s="66"/>
      <c r="O81" s="66"/>
      <c r="P81" s="66"/>
      <c r="Q81" s="66"/>
      <c r="Z81" s="126"/>
    </row>
    <row r="82" spans="2:26" customFormat="1" x14ac:dyDescent="0.3">
      <c r="B82" s="332"/>
      <c r="C82" s="337"/>
      <c r="D82" s="209"/>
      <c r="E82" s="213"/>
      <c r="F82" s="199"/>
      <c r="G82" s="200"/>
      <c r="H82" s="201"/>
      <c r="I82" s="66"/>
      <c r="J82" s="66"/>
      <c r="K82" s="66"/>
      <c r="L82" s="66"/>
      <c r="M82" s="66"/>
      <c r="N82" s="66"/>
      <c r="O82" s="66"/>
      <c r="P82" s="66"/>
      <c r="Q82" s="66"/>
      <c r="Z82" s="126"/>
    </row>
    <row r="83" spans="2:26" customFormat="1" x14ac:dyDescent="0.3">
      <c r="B83" s="361" t="s">
        <v>489</v>
      </c>
      <c r="C83" s="362"/>
      <c r="D83" s="295" t="s">
        <v>89</v>
      </c>
      <c r="E83" s="296">
        <v>-50</v>
      </c>
      <c r="F83" s="199"/>
      <c r="G83" s="200"/>
      <c r="H83" s="201"/>
      <c r="I83" s="66"/>
      <c r="J83" s="66"/>
      <c r="K83" s="66"/>
      <c r="L83" s="66"/>
      <c r="M83" s="66"/>
      <c r="N83" s="66"/>
      <c r="O83" s="66"/>
      <c r="P83" s="66"/>
      <c r="Q83" s="66"/>
      <c r="Z83" s="126"/>
    </row>
    <row r="84" spans="2:26" customFormat="1" x14ac:dyDescent="0.3">
      <c r="B84" s="332" t="s">
        <v>490</v>
      </c>
      <c r="C84" s="332"/>
      <c r="D84" s="332"/>
      <c r="E84" s="332"/>
      <c r="F84" s="199"/>
      <c r="G84" s="200"/>
      <c r="H84" s="201"/>
      <c r="I84" s="66"/>
      <c r="J84" s="66"/>
      <c r="K84" s="66"/>
      <c r="L84" s="66"/>
      <c r="M84" s="66"/>
      <c r="N84" s="66"/>
      <c r="O84" s="66"/>
      <c r="P84" s="66"/>
      <c r="Q84" s="66"/>
      <c r="Z84" s="126"/>
    </row>
    <row r="85" spans="2:26" customFormat="1" ht="26.25" customHeight="1" x14ac:dyDescent="0.3">
      <c r="B85" s="332" t="s">
        <v>491</v>
      </c>
      <c r="C85" s="332"/>
      <c r="D85" s="332"/>
      <c r="E85" s="332"/>
      <c r="F85" s="199"/>
      <c r="G85" s="200"/>
      <c r="H85" s="201"/>
      <c r="I85" s="66"/>
      <c r="J85" s="66"/>
      <c r="K85" s="66"/>
      <c r="L85" s="66"/>
      <c r="M85" s="66"/>
      <c r="N85" s="66"/>
      <c r="O85" s="66"/>
      <c r="P85" s="66"/>
      <c r="Q85" s="66"/>
      <c r="Z85" s="126"/>
    </row>
    <row r="86" spans="2:26" customFormat="1" ht="24.75" customHeight="1" x14ac:dyDescent="0.3">
      <c r="B86" s="332" t="s">
        <v>492</v>
      </c>
      <c r="C86" s="332"/>
      <c r="D86" s="332"/>
      <c r="E86" s="332"/>
      <c r="F86" s="199"/>
      <c r="G86" s="200"/>
      <c r="H86" s="201"/>
      <c r="I86" s="66"/>
      <c r="J86" s="66"/>
      <c r="K86" s="66"/>
      <c r="L86" s="66"/>
      <c r="M86" s="66"/>
      <c r="N86" s="66"/>
      <c r="O86" s="66"/>
      <c r="P86" s="66"/>
      <c r="Q86" s="66"/>
      <c r="Z86" s="126"/>
    </row>
    <row r="87" spans="2:26" customFormat="1" x14ac:dyDescent="0.3">
      <c r="B87" s="363" t="s">
        <v>493</v>
      </c>
      <c r="C87" s="363"/>
      <c r="D87" s="363"/>
      <c r="E87" s="363"/>
      <c r="F87" s="199"/>
      <c r="G87" s="200"/>
      <c r="H87" s="201"/>
      <c r="I87" s="66"/>
      <c r="J87" s="66"/>
      <c r="K87" s="66"/>
      <c r="L87" s="66"/>
      <c r="M87" s="66"/>
      <c r="N87" s="66"/>
      <c r="O87" s="66"/>
      <c r="P87" s="66"/>
      <c r="Q87" s="66"/>
      <c r="Z87" s="126"/>
    </row>
    <row r="88" spans="2:26" customFormat="1" ht="15" customHeight="1" x14ac:dyDescent="0.3">
      <c r="B88" s="363" t="s">
        <v>494</v>
      </c>
      <c r="C88" s="363"/>
      <c r="D88" s="363"/>
      <c r="E88" s="363"/>
      <c r="F88" s="199"/>
      <c r="G88" s="200"/>
      <c r="H88" s="201"/>
      <c r="I88" s="66"/>
      <c r="J88" s="66"/>
      <c r="K88" s="66"/>
      <c r="L88" s="66"/>
      <c r="M88" s="66"/>
      <c r="N88" s="66"/>
      <c r="O88" s="66"/>
      <c r="P88" s="66"/>
      <c r="Q88" s="66"/>
      <c r="Z88" s="126"/>
    </row>
    <row r="89" spans="2:26" customFormat="1" ht="23.25" customHeight="1" x14ac:dyDescent="0.3">
      <c r="B89" s="363" t="s">
        <v>495</v>
      </c>
      <c r="C89" s="363"/>
      <c r="D89" s="363"/>
      <c r="E89" s="363"/>
      <c r="F89" s="199"/>
      <c r="G89" s="200"/>
      <c r="H89" s="201"/>
      <c r="I89" s="66"/>
      <c r="J89" s="66"/>
      <c r="K89" s="66"/>
      <c r="L89" s="66"/>
      <c r="M89" s="66"/>
      <c r="N89" s="66"/>
      <c r="O89" s="66"/>
      <c r="P89" s="66"/>
      <c r="Q89" s="66"/>
      <c r="Z89" s="126"/>
    </row>
    <row r="90" spans="2:26" customFormat="1" x14ac:dyDescent="0.3">
      <c r="B90" s="332"/>
      <c r="C90" s="337"/>
      <c r="D90" s="209"/>
      <c r="E90" s="213"/>
      <c r="F90" s="199"/>
      <c r="G90" s="200"/>
      <c r="H90" s="201"/>
      <c r="I90" s="66"/>
      <c r="J90" s="66"/>
      <c r="K90" s="66"/>
      <c r="L90" s="66"/>
      <c r="M90" s="66"/>
      <c r="N90" s="66"/>
      <c r="O90" s="66"/>
      <c r="P90" s="66"/>
      <c r="Q90" s="66"/>
      <c r="Z90" s="126"/>
    </row>
    <row r="91" spans="2:26" customFormat="1" x14ac:dyDescent="0.3">
      <c r="B91" s="332"/>
      <c r="C91" s="337"/>
      <c r="D91" s="295"/>
      <c r="E91" s="296"/>
      <c r="F91" s="199"/>
      <c r="G91" s="200"/>
      <c r="H91" s="201"/>
      <c r="I91" s="66"/>
      <c r="J91" s="66"/>
      <c r="K91" s="66"/>
      <c r="L91" s="66"/>
      <c r="M91" s="66"/>
      <c r="N91" s="66"/>
      <c r="O91" s="66"/>
      <c r="P91" s="66"/>
      <c r="Q91" s="66"/>
      <c r="Z91" s="126"/>
    </row>
    <row r="92" spans="2:26" customFormat="1" x14ac:dyDescent="0.3">
      <c r="B92" s="361" t="s">
        <v>496</v>
      </c>
      <c r="C92" s="362"/>
      <c r="D92" s="295" t="s">
        <v>89</v>
      </c>
      <c r="E92" s="296">
        <v>-55</v>
      </c>
      <c r="F92" s="199"/>
      <c r="G92" s="200"/>
      <c r="H92" s="201"/>
      <c r="I92" s="66"/>
      <c r="J92" s="66"/>
      <c r="K92" s="66"/>
      <c r="L92" s="66"/>
      <c r="M92" s="66"/>
      <c r="N92" s="66"/>
      <c r="O92" s="66"/>
      <c r="P92" s="66"/>
      <c r="Q92" s="66"/>
      <c r="Z92" s="126"/>
    </row>
    <row r="93" spans="2:26" customFormat="1" ht="27.75" customHeight="1" x14ac:dyDescent="0.3">
      <c r="B93" s="332" t="s">
        <v>497</v>
      </c>
      <c r="C93" s="332"/>
      <c r="D93" s="332"/>
      <c r="E93" s="332"/>
      <c r="F93" s="199"/>
      <c r="G93" s="200"/>
      <c r="H93" s="201"/>
      <c r="I93" s="66"/>
      <c r="J93" s="66"/>
      <c r="K93" s="66"/>
      <c r="L93" s="66"/>
      <c r="M93" s="66"/>
      <c r="N93" s="66"/>
      <c r="O93" s="66"/>
      <c r="P93" s="66"/>
      <c r="Q93" s="66"/>
      <c r="Z93" s="126"/>
    </row>
    <row r="94" spans="2:26" customFormat="1" x14ac:dyDescent="0.3">
      <c r="B94" s="332" t="s">
        <v>486</v>
      </c>
      <c r="C94" s="332"/>
      <c r="D94" s="332"/>
      <c r="E94" s="332"/>
      <c r="F94" s="199"/>
      <c r="G94" s="200"/>
      <c r="H94" s="201"/>
      <c r="I94" s="66"/>
      <c r="J94" s="66"/>
      <c r="K94" s="66"/>
      <c r="L94" s="66"/>
      <c r="M94" s="66"/>
      <c r="N94" s="66"/>
      <c r="O94" s="66"/>
      <c r="P94" s="66"/>
      <c r="Q94" s="66"/>
      <c r="Z94" s="126"/>
    </row>
    <row r="95" spans="2:26" customFormat="1" x14ac:dyDescent="0.3">
      <c r="B95" s="332" t="s">
        <v>487</v>
      </c>
      <c r="C95" s="332"/>
      <c r="D95" s="332"/>
      <c r="E95" s="332"/>
      <c r="F95" s="199"/>
      <c r="G95" s="200"/>
      <c r="H95" s="201"/>
      <c r="I95" s="66"/>
      <c r="J95" s="66"/>
      <c r="K95" s="66"/>
      <c r="L95" s="66"/>
      <c r="M95" s="66"/>
      <c r="N95" s="66"/>
      <c r="O95" s="66"/>
      <c r="P95" s="66"/>
      <c r="Q95" s="66"/>
      <c r="Z95" s="126"/>
    </row>
    <row r="96" spans="2:26" customFormat="1" ht="24.75" customHeight="1" x14ac:dyDescent="0.3">
      <c r="B96" s="332" t="s">
        <v>488</v>
      </c>
      <c r="C96" s="332"/>
      <c r="D96" s="332"/>
      <c r="E96" s="332"/>
      <c r="F96" s="199"/>
      <c r="G96" s="200"/>
      <c r="H96" s="201"/>
      <c r="I96" s="66"/>
      <c r="J96" s="66"/>
      <c r="K96" s="66"/>
      <c r="L96" s="66"/>
      <c r="M96" s="66"/>
      <c r="N96" s="66"/>
      <c r="O96" s="66"/>
      <c r="P96" s="66"/>
      <c r="Q96" s="66"/>
      <c r="Z96" s="126"/>
    </row>
    <row r="97" spans="2:27" customFormat="1" x14ac:dyDescent="0.3">
      <c r="B97" s="332"/>
      <c r="C97" s="337"/>
      <c r="D97" s="209"/>
      <c r="E97" s="213"/>
      <c r="F97" s="199"/>
      <c r="G97" s="200"/>
      <c r="H97" s="201"/>
      <c r="I97" s="66"/>
      <c r="J97" s="66"/>
      <c r="K97" s="66"/>
      <c r="L97" s="66"/>
      <c r="M97" s="66"/>
      <c r="N97" s="66"/>
      <c r="O97" s="66"/>
      <c r="P97" s="66"/>
      <c r="Q97" s="66"/>
      <c r="Z97" s="126"/>
    </row>
    <row r="98" spans="2:27" customFormat="1" x14ac:dyDescent="0.3">
      <c r="B98" s="332"/>
      <c r="C98" s="337"/>
      <c r="D98" s="209"/>
      <c r="E98" s="213"/>
      <c r="F98" s="199"/>
      <c r="G98" s="200"/>
      <c r="H98" s="201"/>
      <c r="I98" s="66"/>
      <c r="J98" s="66"/>
      <c r="K98" s="66"/>
      <c r="L98" s="66"/>
      <c r="M98" s="66"/>
      <c r="N98" s="66"/>
      <c r="O98" s="66"/>
      <c r="P98" s="66"/>
      <c r="Q98" s="66"/>
      <c r="Z98" s="126"/>
    </row>
    <row r="99" spans="2:27" customFormat="1" x14ac:dyDescent="0.3">
      <c r="B99" s="361" t="s">
        <v>498</v>
      </c>
      <c r="C99" s="337"/>
      <c r="D99" s="295" t="s">
        <v>89</v>
      </c>
      <c r="E99" s="296">
        <v>-60</v>
      </c>
      <c r="F99" s="199"/>
      <c r="G99" s="200"/>
      <c r="H99" s="201"/>
      <c r="I99" s="66"/>
      <c r="J99" s="66"/>
      <c r="K99" s="66"/>
      <c r="L99" s="66"/>
      <c r="M99" s="66"/>
      <c r="N99" s="66"/>
      <c r="O99" s="66"/>
      <c r="P99" s="66"/>
      <c r="Q99" s="66"/>
      <c r="Z99" s="126"/>
    </row>
    <row r="100" spans="2:27" customFormat="1" ht="27" customHeight="1" x14ac:dyDescent="0.3">
      <c r="B100" s="332" t="s">
        <v>499</v>
      </c>
      <c r="C100" s="332"/>
      <c r="D100" s="332"/>
      <c r="E100" s="332"/>
      <c r="F100" s="199"/>
      <c r="G100" s="200"/>
      <c r="H100" s="201"/>
      <c r="I100" s="66"/>
      <c r="J100" s="66"/>
      <c r="K100" s="66"/>
      <c r="L100" s="66"/>
      <c r="M100" s="66"/>
      <c r="N100" s="66"/>
      <c r="O100" s="66"/>
      <c r="P100" s="66"/>
      <c r="Q100" s="66"/>
      <c r="Z100" s="126"/>
    </row>
    <row r="101" spans="2:27" customFormat="1" x14ac:dyDescent="0.3">
      <c r="B101" s="332" t="s">
        <v>486</v>
      </c>
      <c r="C101" s="332"/>
      <c r="D101" s="332"/>
      <c r="E101" s="332"/>
      <c r="F101" s="199"/>
      <c r="G101" s="200"/>
      <c r="H101" s="201"/>
      <c r="I101" s="66"/>
      <c r="J101" s="66"/>
      <c r="K101" s="66"/>
      <c r="L101" s="66"/>
      <c r="M101" s="66"/>
      <c r="N101" s="66"/>
      <c r="O101" s="66"/>
      <c r="P101" s="66"/>
      <c r="Q101" s="66"/>
      <c r="Z101" s="126"/>
    </row>
    <row r="102" spans="2:27" customFormat="1" x14ac:dyDescent="0.3">
      <c r="B102" s="332" t="s">
        <v>500</v>
      </c>
      <c r="C102" s="332"/>
      <c r="D102" s="332"/>
      <c r="E102" s="332"/>
      <c r="F102" s="199"/>
      <c r="G102" s="200"/>
      <c r="H102" s="201"/>
      <c r="I102" s="66"/>
      <c r="J102" s="66"/>
      <c r="K102" s="66"/>
      <c r="L102" s="66"/>
      <c r="M102" s="66"/>
      <c r="N102" s="66"/>
      <c r="O102" s="66"/>
      <c r="P102" s="66"/>
      <c r="Q102" s="66"/>
      <c r="Z102" s="126"/>
    </row>
    <row r="103" spans="2:27" customFormat="1" ht="25.5" customHeight="1" x14ac:dyDescent="0.3">
      <c r="B103" s="332" t="s">
        <v>488</v>
      </c>
      <c r="C103" s="332"/>
      <c r="D103" s="332"/>
      <c r="E103" s="332"/>
      <c r="F103" s="199"/>
      <c r="G103" s="200"/>
      <c r="H103" s="201"/>
      <c r="I103" s="66"/>
      <c r="J103" s="66"/>
      <c r="K103" s="66"/>
      <c r="L103" s="66"/>
      <c r="M103" s="66"/>
      <c r="N103" s="66"/>
      <c r="O103" s="66"/>
      <c r="P103" s="66"/>
      <c r="Q103" s="66"/>
      <c r="Z103" s="126"/>
    </row>
    <row r="104" spans="2:27" customFormat="1" x14ac:dyDescent="0.3">
      <c r="B104" s="332"/>
      <c r="C104" s="332"/>
      <c r="D104" s="332"/>
      <c r="E104" s="332"/>
      <c r="F104" s="199"/>
      <c r="G104" s="200"/>
      <c r="H104" s="201"/>
      <c r="I104" s="66"/>
      <c r="J104" s="66"/>
      <c r="K104" s="66"/>
      <c r="L104" s="66"/>
      <c r="M104" s="66"/>
      <c r="N104" s="66"/>
      <c r="O104" s="66"/>
      <c r="P104" s="66"/>
      <c r="Q104" s="66"/>
      <c r="Z104" s="126"/>
    </row>
    <row r="105" spans="2:27" customFormat="1" x14ac:dyDescent="0.3">
      <c r="B105" s="332"/>
      <c r="C105" s="337"/>
      <c r="D105" s="209"/>
      <c r="E105" s="213"/>
      <c r="F105" s="199"/>
      <c r="G105" s="200"/>
      <c r="H105" s="201"/>
      <c r="I105" s="66"/>
      <c r="J105" s="66"/>
      <c r="K105" s="66"/>
      <c r="L105" s="66"/>
      <c r="M105" s="66"/>
      <c r="N105" s="66"/>
      <c r="O105" s="66"/>
      <c r="P105" s="66"/>
      <c r="Q105" s="66"/>
      <c r="Z105" s="126"/>
    </row>
    <row r="106" spans="2:27" customFormat="1" x14ac:dyDescent="0.3">
      <c r="B106" s="361" t="s">
        <v>501</v>
      </c>
      <c r="C106" s="362"/>
      <c r="D106" s="295" t="s">
        <v>89</v>
      </c>
      <c r="E106" s="296">
        <v>-75</v>
      </c>
      <c r="F106" s="199"/>
      <c r="G106" s="200"/>
      <c r="H106" s="201"/>
      <c r="I106" s="66"/>
      <c r="J106" s="66"/>
      <c r="K106" s="66"/>
      <c r="L106" s="66"/>
      <c r="M106" s="66"/>
      <c r="N106" s="66"/>
      <c r="O106" s="66"/>
      <c r="P106" s="66"/>
      <c r="Q106" s="66"/>
      <c r="Z106" s="126"/>
    </row>
    <row r="107" spans="2:27" customFormat="1" ht="28.5" customHeight="1" x14ac:dyDescent="0.3">
      <c r="B107" s="332" t="s">
        <v>502</v>
      </c>
      <c r="C107" s="332"/>
      <c r="D107" s="332"/>
      <c r="E107" s="332"/>
      <c r="F107" s="199"/>
      <c r="G107" s="200"/>
      <c r="H107" s="201"/>
      <c r="I107" s="66"/>
      <c r="J107" s="66"/>
      <c r="K107" s="66"/>
      <c r="L107" s="66"/>
      <c r="M107" s="66"/>
      <c r="N107" s="66"/>
      <c r="O107" s="66"/>
      <c r="P107" s="66"/>
      <c r="Q107" s="66"/>
      <c r="Z107" s="126"/>
    </row>
    <row r="108" spans="2:27" customFormat="1" x14ac:dyDescent="0.3">
      <c r="B108" s="332" t="s">
        <v>486</v>
      </c>
      <c r="C108" s="332"/>
      <c r="D108" s="332"/>
      <c r="E108" s="332"/>
      <c r="F108" s="199"/>
      <c r="G108" s="200"/>
      <c r="H108" s="201"/>
      <c r="I108" s="66"/>
      <c r="J108" s="66"/>
      <c r="K108" s="66"/>
      <c r="L108" s="66"/>
      <c r="M108" s="66"/>
      <c r="N108" s="66"/>
      <c r="O108" s="66"/>
      <c r="P108" s="66"/>
      <c r="Q108" s="66"/>
      <c r="Z108" s="126"/>
    </row>
    <row r="109" spans="2:27" customFormat="1" x14ac:dyDescent="0.3">
      <c r="B109" s="332" t="s">
        <v>487</v>
      </c>
      <c r="C109" s="332"/>
      <c r="D109" s="332"/>
      <c r="E109" s="332"/>
      <c r="F109" s="199"/>
      <c r="G109" s="200"/>
      <c r="H109" s="201"/>
      <c r="I109" s="66"/>
      <c r="J109" s="66"/>
      <c r="K109" s="66"/>
      <c r="L109" s="66"/>
      <c r="M109" s="66"/>
      <c r="N109" s="66"/>
      <c r="O109" s="66"/>
      <c r="P109" s="66"/>
      <c r="Q109" s="66"/>
      <c r="Z109" s="126"/>
    </row>
    <row r="110" spans="2:27" customFormat="1" ht="26.25" customHeight="1" x14ac:dyDescent="0.3">
      <c r="B110" s="332" t="s">
        <v>488</v>
      </c>
      <c r="C110" s="332"/>
      <c r="D110" s="332"/>
      <c r="E110" s="332"/>
      <c r="F110" s="199"/>
      <c r="G110" s="200"/>
      <c r="H110" s="201"/>
      <c r="I110" s="66"/>
      <c r="J110" s="66"/>
      <c r="K110" s="66"/>
      <c r="L110" s="66"/>
      <c r="M110" s="66"/>
      <c r="N110" s="66"/>
      <c r="O110" s="66"/>
      <c r="P110" s="66"/>
      <c r="Q110" s="66"/>
      <c r="Z110" s="126"/>
    </row>
    <row r="111" spans="2:27" customFormat="1" ht="17.399999999999999" x14ac:dyDescent="0.3">
      <c r="B111" s="334" t="s">
        <v>141</v>
      </c>
      <c r="C111" s="335"/>
      <c r="D111" s="335"/>
      <c r="E111" s="335"/>
      <c r="F111" s="199"/>
      <c r="G111" s="200"/>
      <c r="H111" s="201" t="s">
        <v>258</v>
      </c>
      <c r="I111" s="66"/>
      <c r="J111" s="66"/>
      <c r="K111" s="66"/>
      <c r="L111" s="66"/>
      <c r="M111" s="66"/>
      <c r="N111" s="66"/>
      <c r="O111" s="66"/>
      <c r="P111" s="66"/>
      <c r="Q111" s="66"/>
      <c r="AA111" s="203" t="s">
        <v>141</v>
      </c>
    </row>
    <row r="112" spans="2:27" customFormat="1" ht="22.8" x14ac:dyDescent="0.3">
      <c r="B112" s="336" t="s">
        <v>161</v>
      </c>
      <c r="C112" s="335"/>
      <c r="D112" s="335"/>
      <c r="E112" s="335"/>
      <c r="F112" s="199"/>
      <c r="G112" s="200"/>
      <c r="H112" s="201" t="s">
        <v>258</v>
      </c>
      <c r="I112" s="66"/>
      <c r="J112" s="66"/>
      <c r="K112" s="66"/>
      <c r="L112" s="66"/>
      <c r="M112" s="66"/>
      <c r="N112" s="66"/>
      <c r="O112" s="66"/>
      <c r="P112" s="66"/>
      <c r="Q112" s="66"/>
      <c r="AA112" s="124" t="s">
        <v>161</v>
      </c>
    </row>
    <row r="113" spans="2:27" customFormat="1" x14ac:dyDescent="0.3">
      <c r="B113" s="125"/>
      <c r="C113" s="204"/>
      <c r="D113" s="204"/>
      <c r="E113" s="204"/>
      <c r="F113" s="199"/>
      <c r="G113" s="200"/>
      <c r="H113" s="201"/>
      <c r="I113" s="66"/>
      <c r="J113" s="66"/>
      <c r="K113" s="66"/>
      <c r="L113" s="66"/>
      <c r="M113" s="66"/>
      <c r="N113" s="66"/>
      <c r="O113" s="66"/>
      <c r="P113" s="66"/>
      <c r="Q113" s="66"/>
    </row>
    <row r="114" spans="2:27" customFormat="1" x14ac:dyDescent="0.3">
      <c r="B114" s="338" t="s">
        <v>108</v>
      </c>
      <c r="C114" s="335"/>
      <c r="D114" s="335"/>
      <c r="E114" s="335"/>
      <c r="F114" s="199"/>
      <c r="G114" s="200"/>
      <c r="H114" s="201" t="s">
        <v>259</v>
      </c>
      <c r="I114" s="66"/>
      <c r="J114" s="66"/>
      <c r="K114" s="66"/>
      <c r="L114" s="66"/>
      <c r="M114" s="66"/>
      <c r="N114" s="66"/>
      <c r="O114" s="66"/>
      <c r="P114" s="66"/>
      <c r="Q114" s="66"/>
      <c r="AA114" s="205" t="s">
        <v>108</v>
      </c>
    </row>
    <row r="115" spans="2:27" customFormat="1" x14ac:dyDescent="0.3">
      <c r="B115" s="206"/>
      <c r="C115" s="204"/>
      <c r="D115" s="204"/>
      <c r="E115" s="204"/>
      <c r="F115" s="199"/>
      <c r="G115" s="200"/>
      <c r="H115" s="201"/>
      <c r="I115" s="66"/>
      <c r="J115" s="66"/>
      <c r="K115" s="66"/>
      <c r="L115" s="66"/>
      <c r="M115" s="66"/>
      <c r="N115" s="66"/>
      <c r="O115" s="66"/>
      <c r="P115" s="66"/>
      <c r="Q115" s="66"/>
    </row>
    <row r="116" spans="2:27" customFormat="1" ht="34.200000000000003" x14ac:dyDescent="0.3">
      <c r="B116" s="336" t="s">
        <v>109</v>
      </c>
      <c r="C116" s="335"/>
      <c r="D116" s="335"/>
      <c r="E116" s="335"/>
      <c r="F116" s="199"/>
      <c r="G116" s="200"/>
      <c r="H116" s="201" t="s">
        <v>258</v>
      </c>
      <c r="I116" s="66"/>
      <c r="J116" s="66"/>
      <c r="K116" s="66"/>
      <c r="L116" s="66"/>
      <c r="M116" s="66"/>
      <c r="N116" s="66"/>
      <c r="O116" s="66"/>
      <c r="P116" s="66"/>
      <c r="Q116" s="66"/>
      <c r="AA116" s="124" t="s">
        <v>109</v>
      </c>
    </row>
    <row r="117" spans="2:27" customFormat="1" x14ac:dyDescent="0.3">
      <c r="B117" s="125"/>
      <c r="C117" s="204"/>
      <c r="D117" s="204"/>
      <c r="E117" s="204"/>
      <c r="F117" s="199"/>
      <c r="G117" s="200"/>
      <c r="H117" s="201"/>
      <c r="I117" s="66"/>
      <c r="J117" s="66"/>
      <c r="K117" s="66"/>
      <c r="L117" s="66"/>
      <c r="M117" s="66"/>
      <c r="N117" s="66"/>
      <c r="O117" s="66"/>
      <c r="P117" s="66"/>
      <c r="Q117" s="66"/>
    </row>
    <row r="118" spans="2:27" customFormat="1" ht="45.6" x14ac:dyDescent="0.3">
      <c r="B118" s="336" t="s">
        <v>154</v>
      </c>
      <c r="C118" s="335"/>
      <c r="D118" s="335"/>
      <c r="E118" s="335"/>
      <c r="F118" s="199"/>
      <c r="G118" s="200"/>
      <c r="H118" s="201" t="s">
        <v>258</v>
      </c>
      <c r="I118" s="66"/>
      <c r="J118" s="66"/>
      <c r="K118" s="66"/>
      <c r="L118" s="66"/>
      <c r="M118" s="66"/>
      <c r="N118" s="66"/>
      <c r="O118" s="66"/>
      <c r="P118" s="66"/>
      <c r="Q118" s="66"/>
      <c r="AA118" s="124" t="s">
        <v>154</v>
      </c>
    </row>
    <row r="119" spans="2:27" customFormat="1" x14ac:dyDescent="0.3">
      <c r="B119" s="125"/>
      <c r="C119" s="204"/>
      <c r="D119" s="204"/>
      <c r="E119" s="204"/>
      <c r="F119" s="199"/>
      <c r="G119" s="200"/>
      <c r="H119" s="201"/>
      <c r="I119" s="66"/>
      <c r="J119" s="66"/>
      <c r="K119" s="66"/>
      <c r="L119" s="66"/>
      <c r="M119" s="66"/>
      <c r="N119" s="66"/>
      <c r="O119" s="66"/>
      <c r="P119" s="66"/>
      <c r="Q119" s="66"/>
    </row>
    <row r="120" spans="2:27" customFormat="1" ht="45.6" x14ac:dyDescent="0.3">
      <c r="B120" s="336" t="s">
        <v>260</v>
      </c>
      <c r="C120" s="335"/>
      <c r="D120" s="335"/>
      <c r="E120" s="335"/>
      <c r="F120" s="199"/>
      <c r="G120" s="200"/>
      <c r="H120" s="201" t="s">
        <v>258</v>
      </c>
      <c r="I120" s="66"/>
      <c r="J120" s="66"/>
      <c r="K120" s="66"/>
      <c r="L120" s="66"/>
      <c r="M120" s="66"/>
      <c r="N120" s="66"/>
      <c r="O120" s="66"/>
      <c r="P120" s="66"/>
      <c r="Q120" s="66"/>
      <c r="AA120" s="124" t="s">
        <v>260</v>
      </c>
    </row>
    <row r="121" spans="2:27" customFormat="1" x14ac:dyDescent="0.3">
      <c r="B121" s="125"/>
      <c r="C121" s="204"/>
      <c r="D121" s="204"/>
      <c r="E121" s="204"/>
      <c r="F121" s="199"/>
      <c r="G121" s="200"/>
      <c r="H121" s="201"/>
      <c r="I121" s="66"/>
      <c r="J121" s="66"/>
      <c r="K121" s="66"/>
      <c r="L121" s="66"/>
      <c r="M121" s="66"/>
      <c r="N121" s="66"/>
      <c r="O121" s="66"/>
      <c r="P121" s="66"/>
      <c r="Q121" s="66"/>
    </row>
    <row r="122" spans="2:27" customFormat="1" ht="34.200000000000003" x14ac:dyDescent="0.3">
      <c r="B122" s="336" t="s">
        <v>506</v>
      </c>
      <c r="C122" s="335"/>
      <c r="D122" s="335"/>
      <c r="E122" s="335"/>
      <c r="F122" s="199"/>
      <c r="G122" s="200"/>
      <c r="H122" s="201" t="s">
        <v>258</v>
      </c>
      <c r="I122" s="66"/>
      <c r="J122" s="66"/>
      <c r="K122" s="66"/>
      <c r="L122" s="66"/>
      <c r="M122" s="66"/>
      <c r="N122" s="66"/>
      <c r="O122" s="66"/>
      <c r="P122" s="66"/>
      <c r="Q122" s="66"/>
      <c r="AA122" s="124" t="s">
        <v>171</v>
      </c>
    </row>
    <row r="123" spans="2:27" customFormat="1" x14ac:dyDescent="0.3">
      <c r="B123" s="125"/>
      <c r="C123" s="204"/>
      <c r="D123" s="204"/>
      <c r="E123" s="204"/>
      <c r="F123" s="199"/>
      <c r="G123" s="200"/>
      <c r="H123" s="201"/>
      <c r="I123" s="66"/>
      <c r="J123" s="66"/>
      <c r="K123" s="66"/>
      <c r="L123" s="66"/>
      <c r="M123" s="66"/>
      <c r="N123" s="66"/>
      <c r="O123" s="66"/>
      <c r="P123" s="66"/>
      <c r="Q123" s="66"/>
    </row>
    <row r="124" spans="2:27" customFormat="1" x14ac:dyDescent="0.3">
      <c r="B124" s="339" t="s">
        <v>155</v>
      </c>
      <c r="C124" s="340"/>
      <c r="D124" s="340"/>
      <c r="E124" s="340"/>
      <c r="F124" s="199"/>
      <c r="G124" s="200"/>
      <c r="H124" s="201" t="s">
        <v>261</v>
      </c>
      <c r="I124" s="66"/>
      <c r="J124" s="66"/>
      <c r="K124" s="66"/>
      <c r="L124" s="66"/>
      <c r="M124" s="66"/>
      <c r="N124" s="66"/>
      <c r="O124" s="66"/>
      <c r="P124" s="66"/>
      <c r="Q124" s="66"/>
      <c r="AA124" s="205" t="s">
        <v>155</v>
      </c>
    </row>
    <row r="125" spans="2:27" customFormat="1" x14ac:dyDescent="0.3">
      <c r="B125" s="207"/>
      <c r="C125" s="208"/>
      <c r="D125" s="208"/>
      <c r="E125" s="208"/>
      <c r="F125" s="199"/>
      <c r="G125" s="200"/>
      <c r="H125" s="201"/>
      <c r="I125" s="66"/>
      <c r="J125" s="66"/>
      <c r="K125" s="66"/>
      <c r="L125" s="66"/>
      <c r="M125" s="66"/>
      <c r="N125" s="66"/>
      <c r="O125" s="66"/>
      <c r="P125" s="66"/>
      <c r="Q125" s="66"/>
    </row>
    <row r="126" spans="2:27" customFormat="1" x14ac:dyDescent="0.3">
      <c r="B126" s="332" t="s">
        <v>156</v>
      </c>
      <c r="C126" s="337"/>
      <c r="D126" s="209" t="s">
        <v>89</v>
      </c>
      <c r="E126" s="210">
        <f>'6. Rev2Cost_GDPIPI'!$G$18</f>
        <v>41.473260000000003</v>
      </c>
      <c r="F126" s="199"/>
      <c r="G126" s="200"/>
      <c r="H126" s="201" t="s">
        <v>258</v>
      </c>
      <c r="I126" s="66"/>
      <c r="J126" s="66"/>
      <c r="K126" s="66"/>
      <c r="L126" s="66"/>
      <c r="M126" s="66" t="s">
        <v>262</v>
      </c>
      <c r="N126" s="66"/>
      <c r="O126" s="66"/>
      <c r="P126" s="66"/>
      <c r="Q126" s="66"/>
      <c r="Z126" s="126" t="s">
        <v>262</v>
      </c>
    </row>
    <row r="127" spans="2:27" customFormat="1" x14ac:dyDescent="0.3">
      <c r="B127" s="332" t="s">
        <v>157</v>
      </c>
      <c r="C127" s="337"/>
      <c r="D127" s="209" t="s">
        <v>89</v>
      </c>
      <c r="E127" s="211">
        <v>0.79</v>
      </c>
      <c r="F127" s="199"/>
      <c r="G127" s="200"/>
      <c r="H127" s="201" t="s">
        <v>258</v>
      </c>
      <c r="I127" s="66"/>
      <c r="J127" s="66"/>
      <c r="K127" s="66"/>
      <c r="L127" s="66"/>
      <c r="M127" s="66" t="s">
        <v>263</v>
      </c>
      <c r="N127" s="66"/>
      <c r="O127" s="66"/>
      <c r="P127" s="66"/>
      <c r="Q127" s="202">
        <v>43404</v>
      </c>
      <c r="Z127" s="126" t="s">
        <v>263</v>
      </c>
    </row>
    <row r="128" spans="2:27" customFormat="1" x14ac:dyDescent="0.3">
      <c r="B128" s="332" t="s">
        <v>158</v>
      </c>
      <c r="C128" s="337"/>
      <c r="D128" s="209" t="s">
        <v>13</v>
      </c>
      <c r="E128" s="212">
        <f>'6. Rev2Cost_GDPIPI'!$H$18</f>
        <v>1.2132050000000002E-2</v>
      </c>
      <c r="F128" s="199"/>
      <c r="G128" s="200"/>
      <c r="H128" s="201" t="s">
        <v>258</v>
      </c>
      <c r="I128" s="66"/>
      <c r="J128" s="66"/>
      <c r="K128" s="66"/>
      <c r="L128" s="66"/>
      <c r="M128" s="66" t="s">
        <v>264</v>
      </c>
      <c r="N128" s="66"/>
      <c r="O128" s="66"/>
      <c r="P128" s="66"/>
      <c r="Q128" s="66"/>
      <c r="Z128" s="126" t="s">
        <v>264</v>
      </c>
    </row>
    <row r="129" spans="2:52" customFormat="1" x14ac:dyDescent="0.3">
      <c r="B129" s="332" t="s">
        <v>449</v>
      </c>
      <c r="C129" s="333"/>
      <c r="D129" s="209" t="s">
        <v>13</v>
      </c>
      <c r="E129" s="120">
        <f>'5. Summary of Def-Var RR'!E9</f>
        <v>3.3779802421608253E-4</v>
      </c>
      <c r="F129" s="199"/>
      <c r="G129" s="200"/>
      <c r="H129" s="201" t="s">
        <v>258</v>
      </c>
      <c r="I129" s="66"/>
      <c r="J129" s="66"/>
      <c r="K129" s="66"/>
      <c r="L129" s="66"/>
      <c r="M129" s="66" t="s">
        <v>265</v>
      </c>
      <c r="N129" s="66"/>
      <c r="O129" s="66"/>
      <c r="P129" s="66"/>
      <c r="Q129" s="66"/>
      <c r="Z129" s="126" t="s">
        <v>266</v>
      </c>
    </row>
    <row r="130" spans="2:52" customFormat="1" ht="27" customHeight="1" x14ac:dyDescent="0.3">
      <c r="B130" s="332" t="s">
        <v>451</v>
      </c>
      <c r="C130" s="333"/>
      <c r="D130" s="209" t="s">
        <v>13</v>
      </c>
      <c r="E130" s="120">
        <f>'5. Summary of Def-Var RR'!F23</f>
        <v>2.8018245404710287E-3</v>
      </c>
      <c r="F130" s="199"/>
      <c r="G130" s="200"/>
      <c r="H130" s="201" t="s">
        <v>258</v>
      </c>
      <c r="I130" s="66"/>
      <c r="J130" s="66"/>
      <c r="K130" s="66"/>
      <c r="L130" s="66"/>
      <c r="M130" s="66" t="s">
        <v>267</v>
      </c>
      <c r="N130" s="66"/>
      <c r="O130" s="66"/>
      <c r="P130" s="66"/>
      <c r="Q130" s="66"/>
      <c r="Z130" s="126" t="s">
        <v>268</v>
      </c>
    </row>
    <row r="131" spans="2:52" customFormat="1" x14ac:dyDescent="0.3">
      <c r="B131" s="332" t="s">
        <v>159</v>
      </c>
      <c r="C131" s="337"/>
      <c r="D131" s="209" t="s">
        <v>13</v>
      </c>
      <c r="E131" s="213">
        <v>2.0000000000000001E-4</v>
      </c>
      <c r="F131" s="199"/>
      <c r="G131" s="200"/>
      <c r="H131" s="201" t="s">
        <v>258</v>
      </c>
      <c r="I131" s="66"/>
      <c r="J131" s="66"/>
      <c r="K131" s="66"/>
      <c r="L131" s="66"/>
      <c r="M131" s="66" t="s">
        <v>269</v>
      </c>
      <c r="N131" s="66"/>
      <c r="O131" s="66"/>
      <c r="P131" s="66"/>
      <c r="Q131" s="66"/>
      <c r="Z131" s="126" t="s">
        <v>159</v>
      </c>
    </row>
    <row r="132" spans="2:52" customFormat="1" x14ac:dyDescent="0.3">
      <c r="B132" s="332" t="s">
        <v>462</v>
      </c>
      <c r="C132" s="344"/>
      <c r="D132" s="209" t="s">
        <v>13</v>
      </c>
      <c r="E132" s="213">
        <f>'[8]2016 IRM Foregone Rev (Base)'!$O$8</f>
        <v>2.0000000000000001E-4</v>
      </c>
      <c r="F132" s="199"/>
      <c r="G132" s="200"/>
      <c r="H132" s="201"/>
      <c r="I132" s="66"/>
      <c r="J132" s="66"/>
      <c r="K132" s="66"/>
      <c r="L132" s="66"/>
      <c r="M132" s="66"/>
      <c r="N132" s="66"/>
      <c r="O132" s="66"/>
      <c r="P132" s="66"/>
      <c r="Q132" s="66"/>
      <c r="Z132" s="126"/>
    </row>
    <row r="133" spans="2:52" customFormat="1" x14ac:dyDescent="0.3">
      <c r="B133" s="332" t="s">
        <v>86</v>
      </c>
      <c r="C133" s="337"/>
      <c r="D133" s="209" t="s">
        <v>13</v>
      </c>
      <c r="E133" s="212">
        <f>'[9]14. RTSR Rates to Forecast'!$J$42</f>
        <v>7.2227956085606651E-3</v>
      </c>
      <c r="F133" s="199"/>
      <c r="G133" s="200"/>
      <c r="H133" s="201" t="s">
        <v>258</v>
      </c>
      <c r="I133" s="66"/>
      <c r="J133" s="66"/>
      <c r="K133" s="66"/>
      <c r="L133" s="66"/>
      <c r="M133" s="66" t="s">
        <v>270</v>
      </c>
      <c r="N133" s="66"/>
      <c r="O133" s="66"/>
      <c r="P133" s="66"/>
      <c r="Q133" s="66"/>
      <c r="Z133" s="126" t="s">
        <v>270</v>
      </c>
      <c r="AZ133" t="s">
        <v>271</v>
      </c>
    </row>
    <row r="134" spans="2:52" customFormat="1" x14ac:dyDescent="0.3">
      <c r="B134" s="332" t="s">
        <v>87</v>
      </c>
      <c r="C134" s="337"/>
      <c r="D134" s="209" t="s">
        <v>13</v>
      </c>
      <c r="E134" s="212">
        <f>'[9]14. RTSR Rates to Forecast'!$J$54</f>
        <v>5.8035526338812322E-3</v>
      </c>
      <c r="F134" s="199"/>
      <c r="G134" s="200"/>
      <c r="H134" s="201" t="s">
        <v>258</v>
      </c>
      <c r="I134" s="66"/>
      <c r="J134" s="66"/>
      <c r="K134" s="66"/>
      <c r="L134" s="66"/>
      <c r="M134" s="66" t="s">
        <v>272</v>
      </c>
      <c r="N134" s="66"/>
      <c r="O134" s="66"/>
      <c r="P134" s="66"/>
      <c r="Q134" s="66"/>
      <c r="Z134" s="126" t="s">
        <v>272</v>
      </c>
      <c r="AZ134" t="s">
        <v>273</v>
      </c>
    </row>
    <row r="135" spans="2:52" customFormat="1" x14ac:dyDescent="0.3">
      <c r="B135" s="214"/>
      <c r="C135" s="215"/>
      <c r="D135" s="209"/>
      <c r="E135" s="213"/>
      <c r="F135" s="199"/>
      <c r="G135" s="200"/>
      <c r="H135" s="201"/>
      <c r="I135" s="66"/>
      <c r="J135" s="66"/>
      <c r="K135" s="66"/>
      <c r="L135" s="66"/>
      <c r="M135" s="66"/>
      <c r="N135" s="66"/>
      <c r="O135" s="66"/>
      <c r="P135" s="66"/>
      <c r="Q135" s="66"/>
    </row>
    <row r="136" spans="2:52" customFormat="1" x14ac:dyDescent="0.3">
      <c r="B136" s="339" t="s">
        <v>160</v>
      </c>
      <c r="C136" s="337"/>
      <c r="D136" s="209"/>
      <c r="E136" s="216"/>
      <c r="F136" s="199"/>
      <c r="G136" s="200"/>
      <c r="H136" s="201" t="s">
        <v>274</v>
      </c>
      <c r="I136" s="66"/>
      <c r="J136" s="66"/>
      <c r="K136" s="66"/>
      <c r="L136" s="66"/>
      <c r="M136" s="66"/>
      <c r="N136" s="66"/>
      <c r="O136" s="66"/>
      <c r="P136" s="66"/>
      <c r="Q136" s="66"/>
      <c r="Z136" s="205" t="s">
        <v>160</v>
      </c>
    </row>
    <row r="137" spans="2:52" customFormat="1" x14ac:dyDescent="0.3">
      <c r="B137" s="207"/>
      <c r="C137" s="215"/>
      <c r="D137" s="209"/>
      <c r="E137" s="216"/>
      <c r="F137" s="199"/>
      <c r="G137" s="200"/>
      <c r="H137" s="201"/>
      <c r="I137" s="66"/>
      <c r="J137" s="66"/>
      <c r="K137" s="66"/>
      <c r="L137" s="66"/>
      <c r="M137" s="66"/>
      <c r="N137" s="66"/>
      <c r="O137" s="66"/>
      <c r="P137" s="66"/>
      <c r="Q137" s="66"/>
    </row>
    <row r="138" spans="2:52" customFormat="1" x14ac:dyDescent="0.3">
      <c r="B138" s="332" t="s">
        <v>147</v>
      </c>
      <c r="C138" s="337"/>
      <c r="D138" s="209" t="s">
        <v>13</v>
      </c>
      <c r="E138" s="216">
        <v>3.5999999999999999E-3</v>
      </c>
      <c r="F138" s="199"/>
      <c r="G138" s="200"/>
      <c r="H138" s="201" t="s">
        <v>258</v>
      </c>
      <c r="I138" s="66"/>
      <c r="J138" s="66"/>
      <c r="K138" s="66"/>
      <c r="L138" s="66"/>
      <c r="M138" s="66" t="s">
        <v>275</v>
      </c>
      <c r="N138" s="66"/>
      <c r="O138" s="66"/>
      <c r="P138" s="66"/>
      <c r="Q138" s="66"/>
      <c r="Z138" s="126" t="s">
        <v>147</v>
      </c>
    </row>
    <row r="139" spans="2:52" customFormat="1" x14ac:dyDescent="0.3">
      <c r="B139" s="332" t="s">
        <v>148</v>
      </c>
      <c r="C139" s="337"/>
      <c r="D139" s="209" t="s">
        <v>13</v>
      </c>
      <c r="E139" s="216">
        <v>1.2999999999999999E-3</v>
      </c>
      <c r="F139" s="199"/>
      <c r="G139" s="200"/>
      <c r="H139" s="201" t="s">
        <v>258</v>
      </c>
      <c r="I139" s="66"/>
      <c r="J139" s="66"/>
      <c r="K139" s="66"/>
      <c r="L139" s="66"/>
      <c r="M139" s="66" t="s">
        <v>276</v>
      </c>
      <c r="N139" s="66"/>
      <c r="O139" s="66"/>
      <c r="P139" s="66"/>
      <c r="Q139" s="66"/>
      <c r="Z139" s="126" t="s">
        <v>148</v>
      </c>
    </row>
    <row r="140" spans="2:52" customFormat="1" x14ac:dyDescent="0.3">
      <c r="B140" s="332" t="s">
        <v>463</v>
      </c>
      <c r="C140" s="337"/>
      <c r="D140" s="209" t="s">
        <v>13</v>
      </c>
      <c r="E140" s="216">
        <v>1.1000000000000001E-3</v>
      </c>
      <c r="F140" s="199"/>
      <c r="G140" s="200"/>
      <c r="H140" s="201"/>
      <c r="I140" s="66"/>
      <c r="J140" s="66"/>
      <c r="K140" s="66"/>
      <c r="L140" s="66"/>
      <c r="M140" s="66"/>
      <c r="N140" s="66"/>
      <c r="O140" s="66"/>
      <c r="P140" s="66"/>
      <c r="Q140" s="66"/>
      <c r="Z140" s="126"/>
    </row>
    <row r="141" spans="2:52" customFormat="1" x14ac:dyDescent="0.3">
      <c r="B141" s="332" t="s">
        <v>149</v>
      </c>
      <c r="C141" s="337"/>
      <c r="D141" s="209" t="s">
        <v>89</v>
      </c>
      <c r="E141" s="216">
        <v>0.25</v>
      </c>
      <c r="F141" s="199"/>
      <c r="G141" s="200"/>
      <c r="H141" s="201" t="s">
        <v>258</v>
      </c>
      <c r="I141" s="66"/>
      <c r="J141" s="66"/>
      <c r="K141" s="66"/>
      <c r="L141" s="66"/>
      <c r="M141" s="66" t="s">
        <v>277</v>
      </c>
      <c r="N141" s="66"/>
      <c r="O141" s="66"/>
      <c r="P141" s="66"/>
      <c r="Q141" s="66"/>
      <c r="Z141" s="126" t="s">
        <v>149</v>
      </c>
      <c r="AS141" t="s">
        <v>235</v>
      </c>
    </row>
    <row r="142" spans="2:52" customFormat="1" ht="18" customHeight="1" x14ac:dyDescent="0.3">
      <c r="B142" s="334" t="s">
        <v>143</v>
      </c>
      <c r="C142" s="335"/>
      <c r="D142" s="335"/>
      <c r="E142" s="335"/>
      <c r="F142" s="199"/>
      <c r="G142" s="200"/>
      <c r="H142" s="201" t="s">
        <v>278</v>
      </c>
      <c r="I142" s="66"/>
      <c r="J142" s="66"/>
      <c r="K142" s="66"/>
      <c r="L142" s="66"/>
      <c r="M142" s="66"/>
      <c r="N142" s="66"/>
      <c r="O142" s="66"/>
      <c r="P142" s="66"/>
      <c r="Q142" s="66"/>
      <c r="AA142" s="203" t="s">
        <v>143</v>
      </c>
    </row>
    <row r="143" spans="2:52" customFormat="1" ht="49.5" customHeight="1" x14ac:dyDescent="0.3">
      <c r="B143" s="336" t="s">
        <v>508</v>
      </c>
      <c r="C143" s="335"/>
      <c r="D143" s="335"/>
      <c r="E143" s="335"/>
      <c r="F143" s="199"/>
      <c r="G143" s="200"/>
      <c r="H143" s="201" t="s">
        <v>278</v>
      </c>
      <c r="I143" s="66"/>
      <c r="J143" s="66"/>
      <c r="K143" s="66"/>
      <c r="L143" s="66"/>
      <c r="M143" s="66"/>
      <c r="N143" s="66"/>
      <c r="O143" s="66"/>
      <c r="P143" s="66"/>
      <c r="Q143" s="66"/>
      <c r="AA143" s="124" t="s">
        <v>163</v>
      </c>
    </row>
    <row r="144" spans="2:52" customFormat="1" x14ac:dyDescent="0.3">
      <c r="B144" s="125"/>
      <c r="C144" s="204"/>
      <c r="D144" s="204"/>
      <c r="E144" s="204"/>
      <c r="F144" s="199"/>
      <c r="G144" s="200"/>
      <c r="H144" s="201"/>
      <c r="I144" s="66"/>
      <c r="J144" s="66"/>
      <c r="K144" s="66"/>
      <c r="L144" s="66"/>
      <c r="M144" s="66"/>
      <c r="N144" s="66"/>
      <c r="O144" s="66"/>
      <c r="P144" s="66"/>
      <c r="Q144" s="66"/>
    </row>
    <row r="145" spans="2:27" customFormat="1" x14ac:dyDescent="0.3">
      <c r="B145" s="338" t="s">
        <v>108</v>
      </c>
      <c r="C145" s="335"/>
      <c r="D145" s="335"/>
      <c r="E145" s="335"/>
      <c r="F145" s="199"/>
      <c r="G145" s="200"/>
      <c r="H145" s="201" t="s">
        <v>279</v>
      </c>
      <c r="I145" s="66"/>
      <c r="J145" s="66"/>
      <c r="K145" s="66"/>
      <c r="L145" s="66"/>
      <c r="M145" s="66"/>
      <c r="N145" s="66"/>
      <c r="O145" s="66"/>
      <c r="P145" s="66"/>
      <c r="Q145" s="66"/>
      <c r="AA145" s="205" t="s">
        <v>108</v>
      </c>
    </row>
    <row r="146" spans="2:27" customFormat="1" ht="7.5" customHeight="1" x14ac:dyDescent="0.3">
      <c r="B146" s="206"/>
      <c r="C146" s="204"/>
      <c r="D146" s="204"/>
      <c r="E146" s="204"/>
      <c r="F146" s="199"/>
      <c r="G146" s="200"/>
      <c r="H146" s="201"/>
      <c r="I146" s="66"/>
      <c r="J146" s="66"/>
      <c r="K146" s="66"/>
      <c r="L146" s="66"/>
      <c r="M146" s="66"/>
      <c r="N146" s="66"/>
      <c r="O146" s="66"/>
      <c r="P146" s="66"/>
      <c r="Q146" s="66"/>
    </row>
    <row r="147" spans="2:27" customFormat="1" ht="34.200000000000003" x14ac:dyDescent="0.3">
      <c r="B147" s="336" t="s">
        <v>109</v>
      </c>
      <c r="C147" s="335"/>
      <c r="D147" s="335"/>
      <c r="E147" s="335"/>
      <c r="F147" s="199"/>
      <c r="G147" s="200"/>
      <c r="H147" s="201" t="s">
        <v>278</v>
      </c>
      <c r="I147" s="66"/>
      <c r="J147" s="66"/>
      <c r="K147" s="66"/>
      <c r="L147" s="66"/>
      <c r="M147" s="66"/>
      <c r="N147" s="66"/>
      <c r="O147" s="66"/>
      <c r="P147" s="66"/>
      <c r="Q147" s="66"/>
      <c r="AA147" s="124" t="s">
        <v>109</v>
      </c>
    </row>
    <row r="148" spans="2:27" customFormat="1" ht="9" customHeight="1" x14ac:dyDescent="0.3">
      <c r="B148" s="125"/>
      <c r="C148" s="204"/>
      <c r="D148" s="204"/>
      <c r="E148" s="204"/>
      <c r="F148" s="199"/>
      <c r="G148" s="200"/>
      <c r="H148" s="201"/>
      <c r="I148" s="66"/>
      <c r="J148" s="66"/>
      <c r="K148" s="66"/>
      <c r="L148" s="66"/>
      <c r="M148" s="66"/>
      <c r="N148" s="66"/>
      <c r="O148" s="66"/>
      <c r="P148" s="66"/>
      <c r="Q148" s="66"/>
    </row>
    <row r="149" spans="2:27" customFormat="1" ht="45.6" x14ac:dyDescent="0.3">
      <c r="B149" s="336" t="s">
        <v>154</v>
      </c>
      <c r="C149" s="335"/>
      <c r="D149" s="335"/>
      <c r="E149" s="335"/>
      <c r="F149" s="199"/>
      <c r="G149" s="200"/>
      <c r="H149" s="201" t="s">
        <v>278</v>
      </c>
      <c r="I149" s="66"/>
      <c r="J149" s="66"/>
      <c r="K149" s="66"/>
      <c r="L149" s="66"/>
      <c r="M149" s="66"/>
      <c r="N149" s="66"/>
      <c r="O149" s="66"/>
      <c r="P149" s="66"/>
      <c r="Q149" s="66"/>
      <c r="AA149" s="124" t="s">
        <v>154</v>
      </c>
    </row>
    <row r="150" spans="2:27" customFormat="1" ht="9" customHeight="1" x14ac:dyDescent="0.3">
      <c r="B150" s="125"/>
      <c r="C150" s="204"/>
      <c r="D150" s="204"/>
      <c r="E150" s="204"/>
      <c r="F150" s="199"/>
      <c r="G150" s="200"/>
      <c r="H150" s="201"/>
      <c r="I150" s="66"/>
      <c r="J150" s="66"/>
      <c r="K150" s="66"/>
      <c r="L150" s="66"/>
      <c r="M150" s="66"/>
      <c r="N150" s="66"/>
      <c r="O150" s="66"/>
      <c r="P150" s="66"/>
      <c r="Q150" s="66"/>
    </row>
    <row r="151" spans="2:27" customFormat="1" ht="45.6" x14ac:dyDescent="0.3">
      <c r="B151" s="336" t="s">
        <v>260</v>
      </c>
      <c r="C151" s="335"/>
      <c r="D151" s="335"/>
      <c r="E151" s="335"/>
      <c r="F151" s="199"/>
      <c r="G151" s="200"/>
      <c r="H151" s="201" t="s">
        <v>278</v>
      </c>
      <c r="I151" s="66"/>
      <c r="J151" s="66"/>
      <c r="K151" s="66"/>
      <c r="L151" s="66"/>
      <c r="M151" s="66"/>
      <c r="N151" s="66"/>
      <c r="O151" s="66"/>
      <c r="P151" s="66"/>
      <c r="Q151" s="66"/>
      <c r="AA151" s="124" t="s">
        <v>260</v>
      </c>
    </row>
    <row r="152" spans="2:27" customFormat="1" ht="8.25" customHeight="1" x14ac:dyDescent="0.3">
      <c r="B152" s="125"/>
      <c r="C152" s="204"/>
      <c r="D152" s="204"/>
      <c r="E152" s="204"/>
      <c r="F152" s="199"/>
      <c r="G152" s="200"/>
      <c r="H152" s="201"/>
      <c r="I152" s="66"/>
      <c r="J152" s="66"/>
      <c r="K152" s="66"/>
      <c r="L152" s="66"/>
      <c r="M152" s="66"/>
      <c r="N152" s="66"/>
      <c r="O152" s="66"/>
      <c r="P152" s="66"/>
      <c r="Q152" s="66"/>
    </row>
    <row r="153" spans="2:27" customFormat="1" ht="34.200000000000003" x14ac:dyDescent="0.3">
      <c r="B153" s="336" t="s">
        <v>506</v>
      </c>
      <c r="C153" s="335"/>
      <c r="D153" s="335"/>
      <c r="E153" s="335"/>
      <c r="F153" s="199"/>
      <c r="G153" s="200"/>
      <c r="H153" s="201" t="s">
        <v>278</v>
      </c>
      <c r="I153" s="66"/>
      <c r="J153" s="66"/>
      <c r="K153" s="66"/>
      <c r="L153" s="66"/>
      <c r="M153" s="66"/>
      <c r="N153" s="66"/>
      <c r="O153" s="66"/>
      <c r="P153" s="66"/>
      <c r="Q153" s="66"/>
      <c r="AA153" s="124" t="s">
        <v>171</v>
      </c>
    </row>
    <row r="154" spans="2:27" customFormat="1" x14ac:dyDescent="0.3">
      <c r="B154" s="336" t="s">
        <v>280</v>
      </c>
      <c r="C154" s="335"/>
      <c r="D154" s="335"/>
      <c r="E154" s="335"/>
      <c r="F154" s="199"/>
      <c r="G154" s="200"/>
      <c r="H154" s="201" t="s">
        <v>278</v>
      </c>
      <c r="I154" s="66"/>
      <c r="J154" s="66"/>
      <c r="K154" s="66"/>
      <c r="L154" s="66"/>
      <c r="M154" s="66"/>
      <c r="N154" s="66"/>
      <c r="O154" s="66"/>
      <c r="P154" s="66"/>
      <c r="Q154" s="66"/>
      <c r="AA154" s="124" t="s">
        <v>280</v>
      </c>
    </row>
    <row r="155" spans="2:27" customFormat="1" x14ac:dyDescent="0.3">
      <c r="B155" s="125"/>
      <c r="C155" s="204"/>
      <c r="D155" s="204"/>
      <c r="E155" s="204"/>
      <c r="F155" s="199"/>
      <c r="G155" s="200"/>
      <c r="H155" s="201"/>
      <c r="I155" s="66"/>
      <c r="J155" s="66"/>
      <c r="K155" s="66"/>
      <c r="L155" s="66"/>
      <c r="M155" s="66"/>
      <c r="N155" s="66"/>
      <c r="O155" s="66"/>
      <c r="P155" s="66"/>
      <c r="Q155" s="66"/>
    </row>
    <row r="156" spans="2:27" customFormat="1" x14ac:dyDescent="0.3">
      <c r="B156" s="339" t="s">
        <v>155</v>
      </c>
      <c r="C156" s="340"/>
      <c r="D156" s="340"/>
      <c r="E156" s="340"/>
      <c r="F156" s="199"/>
      <c r="G156" s="200"/>
      <c r="H156" s="201" t="s">
        <v>281</v>
      </c>
      <c r="I156" s="66"/>
      <c r="J156" s="66"/>
      <c r="K156" s="66"/>
      <c r="L156" s="66"/>
      <c r="M156" s="66"/>
      <c r="N156" s="66"/>
      <c r="O156" s="66"/>
      <c r="P156" s="66"/>
      <c r="Q156" s="66"/>
      <c r="AA156" s="205" t="s">
        <v>155</v>
      </c>
    </row>
    <row r="157" spans="2:27" customFormat="1" x14ac:dyDescent="0.3">
      <c r="B157" s="207"/>
      <c r="C157" s="208"/>
      <c r="D157" s="208"/>
      <c r="E157" s="208"/>
      <c r="F157" s="199"/>
      <c r="G157" s="200"/>
      <c r="H157" s="201"/>
      <c r="I157" s="66"/>
      <c r="J157" s="66"/>
      <c r="K157" s="66"/>
      <c r="L157" s="66"/>
      <c r="M157" s="66"/>
      <c r="N157" s="66"/>
      <c r="O157" s="66"/>
      <c r="P157" s="66"/>
      <c r="Q157" s="66"/>
    </row>
    <row r="158" spans="2:27" customFormat="1" x14ac:dyDescent="0.3">
      <c r="B158" s="332" t="s">
        <v>156</v>
      </c>
      <c r="C158" s="337"/>
      <c r="D158" s="209" t="s">
        <v>89</v>
      </c>
      <c r="E158" s="210">
        <f>'6. Rev2Cost_GDPIPI'!$G$19</f>
        <v>73.03698</v>
      </c>
      <c r="F158" s="199"/>
      <c r="G158" s="200"/>
      <c r="H158" s="201" t="s">
        <v>278</v>
      </c>
      <c r="I158" s="66"/>
      <c r="J158" s="66"/>
      <c r="K158" s="66"/>
      <c r="L158" s="66"/>
      <c r="M158" s="66" t="s">
        <v>282</v>
      </c>
      <c r="N158" s="66"/>
      <c r="O158" s="66"/>
      <c r="P158" s="66"/>
      <c r="Q158" s="66"/>
      <c r="Z158" s="126" t="s">
        <v>282</v>
      </c>
    </row>
    <row r="159" spans="2:27" customFormat="1" x14ac:dyDescent="0.3">
      <c r="B159" s="332" t="s">
        <v>158</v>
      </c>
      <c r="C159" s="337"/>
      <c r="D159" s="209" t="s">
        <v>17</v>
      </c>
      <c r="E159" s="212">
        <f>'6. Rev2Cost_GDPIPI'!$H$19</f>
        <v>4.3958801000000003</v>
      </c>
      <c r="F159" s="199"/>
      <c r="G159" s="200"/>
      <c r="H159" s="201" t="s">
        <v>278</v>
      </c>
      <c r="I159" s="66"/>
      <c r="J159" s="66"/>
      <c r="K159" s="66"/>
      <c r="L159" s="66"/>
      <c r="M159" s="66" t="s">
        <v>283</v>
      </c>
      <c r="N159" s="66"/>
      <c r="O159" s="66"/>
      <c r="P159" s="66"/>
      <c r="Q159" s="66"/>
      <c r="Z159" s="126" t="s">
        <v>283</v>
      </c>
    </row>
    <row r="160" spans="2:27" customFormat="1" x14ac:dyDescent="0.3">
      <c r="B160" s="332" t="s">
        <v>449</v>
      </c>
      <c r="C160" s="333"/>
      <c r="D160" s="209" t="s">
        <v>17</v>
      </c>
      <c r="E160" s="120">
        <f>+'5. Summary of Def-Var RR'!C11</f>
        <v>0.65439999999999998</v>
      </c>
      <c r="F160" s="199"/>
      <c r="G160" s="200"/>
      <c r="H160" s="201" t="s">
        <v>278</v>
      </c>
      <c r="I160" s="66"/>
      <c r="J160" s="66"/>
      <c r="K160" s="66"/>
      <c r="L160" s="66"/>
      <c r="M160" s="66" t="s">
        <v>284</v>
      </c>
      <c r="N160" s="66"/>
      <c r="O160" s="66"/>
      <c r="P160" s="66"/>
      <c r="Q160" s="66"/>
      <c r="Z160" s="126" t="s">
        <v>285</v>
      </c>
    </row>
    <row r="161" spans="2:52" customFormat="1" ht="24.75" customHeight="1" x14ac:dyDescent="0.3">
      <c r="B161" s="332" t="s">
        <v>450</v>
      </c>
      <c r="C161" s="333"/>
      <c r="D161" s="209" t="s">
        <v>17</v>
      </c>
      <c r="E161" s="120">
        <f>+'5. Summary of Def-Var RR'!D11</f>
        <v>-0.53403629391617513</v>
      </c>
      <c r="F161" s="199"/>
      <c r="G161" s="200"/>
      <c r="H161" s="201"/>
      <c r="I161" s="66"/>
      <c r="J161" s="66"/>
      <c r="K161" s="66"/>
      <c r="L161" s="66"/>
      <c r="M161" s="66"/>
      <c r="N161" s="66"/>
      <c r="O161" s="66"/>
      <c r="P161" s="66"/>
      <c r="Q161" s="66"/>
      <c r="Z161" s="126"/>
    </row>
    <row r="162" spans="2:52" customFormat="1" ht="27" customHeight="1" x14ac:dyDescent="0.3">
      <c r="B162" s="332" t="s">
        <v>452</v>
      </c>
      <c r="C162" s="333"/>
      <c r="D162" s="209" t="s">
        <v>17</v>
      </c>
      <c r="E162" s="120">
        <f>'5. Summary of Def-Var RR'!F25</f>
        <v>1.0544140243102702</v>
      </c>
      <c r="F162" s="199"/>
      <c r="G162" s="200"/>
      <c r="H162" s="201" t="s">
        <v>278</v>
      </c>
      <c r="I162" s="66"/>
      <c r="J162" s="66"/>
      <c r="K162" s="66"/>
      <c r="L162" s="66"/>
      <c r="M162" s="66" t="s">
        <v>286</v>
      </c>
      <c r="N162" s="66"/>
      <c r="O162" s="66"/>
      <c r="P162" s="66"/>
      <c r="Q162" s="66"/>
      <c r="Z162" s="126" t="s">
        <v>287</v>
      </c>
    </row>
    <row r="163" spans="2:52" customFormat="1" ht="27" customHeight="1" x14ac:dyDescent="0.3">
      <c r="B163" s="332" t="s">
        <v>453</v>
      </c>
      <c r="C163" s="333"/>
      <c r="D163" s="209" t="s">
        <v>17</v>
      </c>
      <c r="E163" s="120">
        <f>'5. Summary of Def-Var RR'!F26</f>
        <v>0.70801402431027016</v>
      </c>
      <c r="F163" s="199"/>
      <c r="G163" s="200"/>
      <c r="H163" s="201"/>
      <c r="I163" s="66"/>
      <c r="J163" s="66"/>
      <c r="K163" s="66"/>
      <c r="L163" s="66"/>
      <c r="M163" s="66"/>
      <c r="N163" s="66"/>
      <c r="O163" s="66"/>
      <c r="P163" s="66"/>
      <c r="Q163" s="66"/>
      <c r="Z163" s="126"/>
    </row>
    <row r="164" spans="2:52" customFormat="1" ht="15.75" customHeight="1" x14ac:dyDescent="0.3">
      <c r="B164" s="332" t="s">
        <v>159</v>
      </c>
      <c r="C164" s="337"/>
      <c r="D164" s="209" t="s">
        <v>17</v>
      </c>
      <c r="E164" s="213">
        <v>8.0199999999999994E-2</v>
      </c>
      <c r="F164" s="199"/>
      <c r="G164" s="200"/>
      <c r="H164" s="201" t="s">
        <v>278</v>
      </c>
      <c r="I164" s="66"/>
      <c r="J164" s="66"/>
      <c r="K164" s="66"/>
      <c r="L164" s="66"/>
      <c r="M164" s="66" t="s">
        <v>288</v>
      </c>
      <c r="N164" s="66"/>
      <c r="O164" s="66"/>
      <c r="P164" s="66"/>
      <c r="Q164" s="66"/>
      <c r="Z164" s="126" t="s">
        <v>159</v>
      </c>
    </row>
    <row r="165" spans="2:52" customFormat="1" ht="15.75" customHeight="1" x14ac:dyDescent="0.3">
      <c r="B165" s="332" t="s">
        <v>456</v>
      </c>
      <c r="C165" s="333"/>
      <c r="D165" s="209" t="s">
        <v>17</v>
      </c>
      <c r="E165" s="213">
        <f>+'8. Shared Tax - Rate Rider'!F31</f>
        <v>1.7007024564497954E-3</v>
      </c>
      <c r="F165" s="199"/>
      <c r="G165" s="200"/>
      <c r="H165" s="201"/>
      <c r="I165" s="66"/>
      <c r="J165" s="66"/>
      <c r="K165" s="66"/>
      <c r="L165" s="66"/>
      <c r="M165" s="66"/>
      <c r="N165" s="66"/>
      <c r="O165" s="66"/>
      <c r="P165" s="66"/>
      <c r="Q165" s="66"/>
      <c r="Z165" s="126"/>
    </row>
    <row r="166" spans="2:52" customFormat="1" x14ac:dyDescent="0.3">
      <c r="B166" s="332" t="s">
        <v>462</v>
      </c>
      <c r="C166" s="344"/>
      <c r="D166" s="209" t="s">
        <v>17</v>
      </c>
      <c r="E166" s="213">
        <f>'[8]2016 IRM Foregone Rev (Base)'!$O$10</f>
        <v>3.1699999999999999E-2</v>
      </c>
      <c r="F166" s="199"/>
      <c r="G166" s="200"/>
      <c r="H166" s="201"/>
      <c r="I166" s="66"/>
      <c r="J166" s="66"/>
      <c r="K166" s="66"/>
      <c r="L166" s="66"/>
      <c r="M166" s="66"/>
      <c r="N166" s="66"/>
      <c r="O166" s="66"/>
      <c r="P166" s="66"/>
      <c r="Q166" s="66"/>
      <c r="Z166" s="126"/>
    </row>
    <row r="167" spans="2:52" customFormat="1" x14ac:dyDescent="0.3">
      <c r="B167" s="332" t="s">
        <v>86</v>
      </c>
      <c r="C167" s="337"/>
      <c r="D167" s="209" t="s">
        <v>17</v>
      </c>
      <c r="E167" s="212">
        <f>'[9]14. RTSR Rates to Forecast'!$J$43</f>
        <v>2.7819167517318983</v>
      </c>
      <c r="F167" s="199"/>
      <c r="G167" s="200"/>
      <c r="H167" s="201" t="s">
        <v>278</v>
      </c>
      <c r="I167" s="66"/>
      <c r="J167" s="66"/>
      <c r="K167" s="66"/>
      <c r="L167" s="66"/>
      <c r="M167" s="66" t="s">
        <v>289</v>
      </c>
      <c r="N167" s="66"/>
      <c r="O167" s="66"/>
      <c r="P167" s="66"/>
      <c r="Q167" s="66"/>
      <c r="Z167" s="126" t="s">
        <v>289</v>
      </c>
      <c r="AZ167" t="s">
        <v>290</v>
      </c>
    </row>
    <row r="168" spans="2:52" customFormat="1" x14ac:dyDescent="0.3">
      <c r="B168" s="332" t="s">
        <v>87</v>
      </c>
      <c r="C168" s="337"/>
      <c r="D168" s="209" t="s">
        <v>17</v>
      </c>
      <c r="E168" s="212">
        <f>'[9]14. RTSR Rates to Forecast'!$J$55</f>
        <v>2.2758217150040996</v>
      </c>
      <c r="F168" s="199"/>
      <c r="G168" s="200"/>
      <c r="H168" s="201" t="s">
        <v>278</v>
      </c>
      <c r="I168" s="66"/>
      <c r="J168" s="66"/>
      <c r="K168" s="66"/>
      <c r="L168" s="66"/>
      <c r="M168" s="66" t="s">
        <v>291</v>
      </c>
      <c r="N168" s="66"/>
      <c r="O168" s="66"/>
      <c r="P168" s="66"/>
      <c r="Q168" s="66"/>
      <c r="Z168" s="126" t="s">
        <v>291</v>
      </c>
      <c r="AZ168" t="s">
        <v>292</v>
      </c>
    </row>
    <row r="169" spans="2:52" customFormat="1" x14ac:dyDescent="0.3">
      <c r="B169" s="214"/>
      <c r="C169" s="215"/>
      <c r="D169" s="209"/>
      <c r="E169" s="213"/>
      <c r="F169" s="199"/>
      <c r="G169" s="200"/>
      <c r="H169" s="201"/>
      <c r="I169" s="66"/>
      <c r="J169" s="66"/>
      <c r="K169" s="66"/>
      <c r="L169" s="66"/>
      <c r="M169" s="66"/>
      <c r="N169" s="66"/>
      <c r="O169" s="66"/>
      <c r="P169" s="66"/>
      <c r="Q169" s="66"/>
    </row>
    <row r="170" spans="2:52" customFormat="1" x14ac:dyDescent="0.3">
      <c r="B170" s="339" t="s">
        <v>160</v>
      </c>
      <c r="C170" s="337"/>
      <c r="D170" s="209"/>
      <c r="E170" s="216"/>
      <c r="F170" s="199"/>
      <c r="G170" s="200"/>
      <c r="H170" s="201" t="s">
        <v>293</v>
      </c>
      <c r="I170" s="66"/>
      <c r="J170" s="66"/>
      <c r="K170" s="66"/>
      <c r="L170" s="66"/>
      <c r="M170" s="66"/>
      <c r="N170" s="66"/>
      <c r="O170" s="66"/>
      <c r="P170" s="66"/>
      <c r="Q170" s="66"/>
      <c r="Z170" s="205" t="s">
        <v>160</v>
      </c>
    </row>
    <row r="171" spans="2:52" customFormat="1" x14ac:dyDescent="0.3">
      <c r="B171" s="207"/>
      <c r="C171" s="215"/>
      <c r="D171" s="209"/>
      <c r="E171" s="216"/>
      <c r="F171" s="199"/>
      <c r="G171" s="200"/>
      <c r="H171" s="201"/>
      <c r="I171" s="66"/>
      <c r="J171" s="66"/>
      <c r="K171" s="66"/>
      <c r="L171" s="66"/>
      <c r="M171" s="66"/>
      <c r="N171" s="66"/>
      <c r="O171" s="66"/>
      <c r="P171" s="66"/>
      <c r="Q171" s="66"/>
    </row>
    <row r="172" spans="2:52" customFormat="1" x14ac:dyDescent="0.3">
      <c r="B172" s="332" t="s">
        <v>147</v>
      </c>
      <c r="C172" s="337"/>
      <c r="D172" s="209" t="s">
        <v>13</v>
      </c>
      <c r="E172" s="216">
        <v>3.5999999999999999E-3</v>
      </c>
      <c r="F172" s="199"/>
      <c r="G172" s="200"/>
      <c r="H172" s="201" t="s">
        <v>278</v>
      </c>
      <c r="I172" s="66"/>
      <c r="J172" s="66"/>
      <c r="K172" s="66"/>
      <c r="L172" s="66"/>
      <c r="M172" s="66" t="s">
        <v>294</v>
      </c>
      <c r="N172" s="66"/>
      <c r="O172" s="66"/>
      <c r="P172" s="66"/>
      <c r="Q172" s="66"/>
      <c r="Z172" s="126" t="s">
        <v>147</v>
      </c>
    </row>
    <row r="173" spans="2:52" customFormat="1" x14ac:dyDescent="0.3">
      <c r="B173" s="332" t="s">
        <v>148</v>
      </c>
      <c r="C173" s="337"/>
      <c r="D173" s="209" t="s">
        <v>13</v>
      </c>
      <c r="E173" s="216">
        <v>1.2999999999999999E-3</v>
      </c>
      <c r="F173" s="199"/>
      <c r="G173" s="200"/>
      <c r="H173" s="201" t="s">
        <v>278</v>
      </c>
      <c r="I173" s="66"/>
      <c r="J173" s="66"/>
      <c r="K173" s="66"/>
      <c r="L173" s="66"/>
      <c r="M173" s="66" t="s">
        <v>295</v>
      </c>
      <c r="N173" s="66"/>
      <c r="O173" s="66"/>
      <c r="P173" s="66"/>
      <c r="Q173" s="66"/>
      <c r="Z173" s="126" t="s">
        <v>148</v>
      </c>
    </row>
    <row r="174" spans="2:52" customFormat="1" x14ac:dyDescent="0.3">
      <c r="B174" s="332" t="s">
        <v>463</v>
      </c>
      <c r="C174" s="337"/>
      <c r="D174" s="209" t="s">
        <v>13</v>
      </c>
      <c r="E174" s="216">
        <v>1.1000000000000001E-3</v>
      </c>
      <c r="F174" s="199"/>
      <c r="G174" s="200"/>
      <c r="H174" s="201"/>
      <c r="I174" s="66"/>
      <c r="J174" s="66"/>
      <c r="K174" s="66"/>
      <c r="L174" s="66"/>
      <c r="M174" s="66"/>
      <c r="N174" s="66"/>
      <c r="O174" s="66"/>
      <c r="P174" s="66"/>
      <c r="Q174" s="66"/>
      <c r="Z174" s="126"/>
    </row>
    <row r="175" spans="2:52" customFormat="1" x14ac:dyDescent="0.3">
      <c r="B175" s="332" t="s">
        <v>149</v>
      </c>
      <c r="C175" s="337"/>
      <c r="D175" s="209" t="s">
        <v>89</v>
      </c>
      <c r="E175" s="216">
        <v>0.25</v>
      </c>
      <c r="F175" s="199"/>
      <c r="G175" s="200"/>
      <c r="H175" s="201" t="s">
        <v>278</v>
      </c>
      <c r="I175" s="66"/>
      <c r="J175" s="66"/>
      <c r="K175" s="66"/>
      <c r="L175" s="66"/>
      <c r="M175" s="66" t="s">
        <v>296</v>
      </c>
      <c r="N175" s="66"/>
      <c r="O175" s="66"/>
      <c r="P175" s="66"/>
      <c r="Q175" s="66"/>
      <c r="Z175" s="126" t="s">
        <v>149</v>
      </c>
      <c r="AS175" t="s">
        <v>235</v>
      </c>
    </row>
    <row r="176" spans="2:52" customFormat="1" ht="26.25" customHeight="1" x14ac:dyDescent="0.3">
      <c r="B176" s="334" t="s">
        <v>144</v>
      </c>
      <c r="C176" s="335"/>
      <c r="D176" s="335"/>
      <c r="E176" s="335"/>
      <c r="F176" s="199"/>
      <c r="G176" s="200"/>
      <c r="H176" s="201" t="s">
        <v>297</v>
      </c>
      <c r="I176" s="66"/>
      <c r="J176" s="66"/>
      <c r="K176" s="66"/>
      <c r="L176" s="66"/>
      <c r="M176" s="66"/>
      <c r="N176" s="66"/>
      <c r="O176" s="66"/>
      <c r="P176" s="66"/>
      <c r="Q176" s="66"/>
      <c r="AA176" s="203" t="s">
        <v>144</v>
      </c>
    </row>
    <row r="177" spans="2:27" customFormat="1" ht="34.200000000000003" x14ac:dyDescent="0.3">
      <c r="B177" s="336" t="s">
        <v>164</v>
      </c>
      <c r="C177" s="335"/>
      <c r="D177" s="335"/>
      <c r="E177" s="335"/>
      <c r="F177" s="199"/>
      <c r="G177" s="200"/>
      <c r="H177" s="201" t="s">
        <v>297</v>
      </c>
      <c r="I177" s="66"/>
      <c r="J177" s="66"/>
      <c r="K177" s="66"/>
      <c r="L177" s="66"/>
      <c r="M177" s="66"/>
      <c r="N177" s="66"/>
      <c r="O177" s="66"/>
      <c r="P177" s="66"/>
      <c r="Q177" s="66"/>
      <c r="AA177" s="124" t="s">
        <v>164</v>
      </c>
    </row>
    <row r="178" spans="2:27" customFormat="1" ht="12" customHeight="1" x14ac:dyDescent="0.3">
      <c r="B178" s="125"/>
      <c r="C178" s="204"/>
      <c r="D178" s="204"/>
      <c r="E178" s="204"/>
      <c r="F178" s="199"/>
      <c r="G178" s="200"/>
      <c r="H178" s="201"/>
      <c r="I178" s="66"/>
      <c r="J178" s="66"/>
      <c r="K178" s="66"/>
      <c r="L178" s="66"/>
      <c r="M178" s="66"/>
      <c r="N178" s="66"/>
      <c r="O178" s="66"/>
      <c r="P178" s="66"/>
      <c r="Q178" s="66"/>
    </row>
    <row r="179" spans="2:27" customFormat="1" x14ac:dyDescent="0.3">
      <c r="B179" s="338" t="s">
        <v>108</v>
      </c>
      <c r="C179" s="335"/>
      <c r="D179" s="335"/>
      <c r="E179" s="335"/>
      <c r="F179" s="199"/>
      <c r="G179" s="200"/>
      <c r="H179" s="201" t="s">
        <v>298</v>
      </c>
      <c r="I179" s="66"/>
      <c r="J179" s="66"/>
      <c r="K179" s="66"/>
      <c r="L179" s="66"/>
      <c r="M179" s="66"/>
      <c r="N179" s="66"/>
      <c r="O179" s="66"/>
      <c r="P179" s="66"/>
      <c r="Q179" s="66"/>
      <c r="AA179" s="205" t="s">
        <v>108</v>
      </c>
    </row>
    <row r="180" spans="2:27" customFormat="1" ht="9" customHeight="1" x14ac:dyDescent="0.3">
      <c r="B180" s="206"/>
      <c r="C180" s="204"/>
      <c r="D180" s="204"/>
      <c r="E180" s="204"/>
      <c r="F180" s="199"/>
      <c r="G180" s="200"/>
      <c r="H180" s="201"/>
      <c r="I180" s="66"/>
      <c r="J180" s="66"/>
      <c r="K180" s="66"/>
      <c r="L180" s="66"/>
      <c r="M180" s="66"/>
      <c r="N180" s="66"/>
      <c r="O180" s="66"/>
      <c r="P180" s="66"/>
      <c r="Q180" s="66"/>
    </row>
    <row r="181" spans="2:27" customFormat="1" ht="34.200000000000003" x14ac:dyDescent="0.3">
      <c r="B181" s="336" t="s">
        <v>109</v>
      </c>
      <c r="C181" s="335"/>
      <c r="D181" s="335"/>
      <c r="E181" s="335"/>
      <c r="F181" s="199"/>
      <c r="G181" s="200"/>
      <c r="H181" s="201" t="s">
        <v>297</v>
      </c>
      <c r="I181" s="66"/>
      <c r="J181" s="66"/>
      <c r="K181" s="66"/>
      <c r="L181" s="66"/>
      <c r="M181" s="66"/>
      <c r="N181" s="66"/>
      <c r="O181" s="66"/>
      <c r="P181" s="66"/>
      <c r="Q181" s="66"/>
      <c r="AA181" s="124" t="s">
        <v>109</v>
      </c>
    </row>
    <row r="182" spans="2:27" customFormat="1" ht="9" customHeight="1" x14ac:dyDescent="0.3">
      <c r="B182" s="125"/>
      <c r="C182" s="204"/>
      <c r="D182" s="204"/>
      <c r="E182" s="204"/>
      <c r="F182" s="199"/>
      <c r="G182" s="200"/>
      <c r="H182" s="201"/>
      <c r="I182" s="66"/>
      <c r="J182" s="66"/>
      <c r="K182" s="66"/>
      <c r="L182" s="66"/>
      <c r="M182" s="66"/>
      <c r="N182" s="66"/>
      <c r="O182" s="66"/>
      <c r="P182" s="66"/>
      <c r="Q182" s="66"/>
    </row>
    <row r="183" spans="2:27" customFormat="1" ht="45.6" x14ac:dyDescent="0.3">
      <c r="B183" s="336" t="s">
        <v>154</v>
      </c>
      <c r="C183" s="335"/>
      <c r="D183" s="335"/>
      <c r="E183" s="335"/>
      <c r="F183" s="199"/>
      <c r="G183" s="200"/>
      <c r="H183" s="201" t="s">
        <v>297</v>
      </c>
      <c r="I183" s="66"/>
      <c r="J183" s="66"/>
      <c r="K183" s="66"/>
      <c r="L183" s="66"/>
      <c r="M183" s="66"/>
      <c r="N183" s="66"/>
      <c r="O183" s="66"/>
      <c r="P183" s="66"/>
      <c r="Q183" s="66"/>
      <c r="AA183" s="124" t="s">
        <v>154</v>
      </c>
    </row>
    <row r="184" spans="2:27" customFormat="1" ht="6.75" customHeight="1" x14ac:dyDescent="0.3">
      <c r="B184" s="125"/>
      <c r="C184" s="204"/>
      <c r="D184" s="204"/>
      <c r="E184" s="204"/>
      <c r="F184" s="199"/>
      <c r="G184" s="200"/>
      <c r="H184" s="201"/>
      <c r="I184" s="66"/>
      <c r="J184" s="66"/>
      <c r="K184" s="66"/>
      <c r="L184" s="66"/>
      <c r="M184" s="66"/>
      <c r="N184" s="66"/>
      <c r="O184" s="66"/>
      <c r="P184" s="66"/>
      <c r="Q184" s="66"/>
    </row>
    <row r="185" spans="2:27" customFormat="1" ht="45.6" x14ac:dyDescent="0.3">
      <c r="B185" s="336" t="s">
        <v>260</v>
      </c>
      <c r="C185" s="335"/>
      <c r="D185" s="335"/>
      <c r="E185" s="335"/>
      <c r="F185" s="199"/>
      <c r="G185" s="200"/>
      <c r="H185" s="201" t="s">
        <v>297</v>
      </c>
      <c r="I185" s="66"/>
      <c r="J185" s="66"/>
      <c r="K185" s="66"/>
      <c r="L185" s="66"/>
      <c r="M185" s="66"/>
      <c r="N185" s="66"/>
      <c r="O185" s="66"/>
      <c r="P185" s="66"/>
      <c r="Q185" s="66"/>
      <c r="AA185" s="124" t="s">
        <v>260</v>
      </c>
    </row>
    <row r="186" spans="2:27" customFormat="1" ht="6.75" customHeight="1" x14ac:dyDescent="0.3">
      <c r="B186" s="125"/>
      <c r="C186" s="204"/>
      <c r="D186" s="204"/>
      <c r="E186" s="204"/>
      <c r="F186" s="199"/>
      <c r="G186" s="200"/>
      <c r="H186" s="201"/>
      <c r="I186" s="66"/>
      <c r="J186" s="66"/>
      <c r="K186" s="66"/>
      <c r="L186" s="66"/>
      <c r="M186" s="66"/>
      <c r="N186" s="66"/>
      <c r="O186" s="66"/>
      <c r="P186" s="66"/>
      <c r="Q186" s="66"/>
    </row>
    <row r="187" spans="2:27" customFormat="1" ht="34.200000000000003" x14ac:dyDescent="0.3">
      <c r="B187" s="336" t="s">
        <v>506</v>
      </c>
      <c r="C187" s="335"/>
      <c r="D187" s="335"/>
      <c r="E187" s="335"/>
      <c r="F187" s="199"/>
      <c r="G187" s="200"/>
      <c r="H187" s="201" t="s">
        <v>297</v>
      </c>
      <c r="I187" s="66"/>
      <c r="J187" s="66"/>
      <c r="K187" s="66"/>
      <c r="L187" s="66"/>
      <c r="M187" s="66"/>
      <c r="N187" s="66"/>
      <c r="O187" s="66"/>
      <c r="P187" s="66"/>
      <c r="Q187" s="66"/>
      <c r="AA187" s="124" t="s">
        <v>171</v>
      </c>
    </row>
    <row r="188" spans="2:27" customFormat="1" x14ac:dyDescent="0.3">
      <c r="B188" s="336" t="s">
        <v>280</v>
      </c>
      <c r="C188" s="335"/>
      <c r="D188" s="335"/>
      <c r="E188" s="335"/>
      <c r="F188" s="199"/>
      <c r="G188" s="200"/>
      <c r="H188" s="201" t="s">
        <v>297</v>
      </c>
      <c r="I188" s="66"/>
      <c r="J188" s="66"/>
      <c r="K188" s="66"/>
      <c r="L188" s="66"/>
      <c r="M188" s="66"/>
      <c r="N188" s="66"/>
      <c r="O188" s="66"/>
      <c r="P188" s="66"/>
      <c r="Q188" s="66"/>
      <c r="AA188" s="124" t="s">
        <v>280</v>
      </c>
    </row>
    <row r="189" spans="2:27" customFormat="1" ht="11.25" customHeight="1" x14ac:dyDescent="0.3">
      <c r="B189" s="125"/>
      <c r="C189" s="204"/>
      <c r="D189" s="204"/>
      <c r="E189" s="204"/>
      <c r="F189" s="199"/>
      <c r="G189" s="200"/>
      <c r="H189" s="201"/>
      <c r="I189" s="66"/>
      <c r="J189" s="66"/>
      <c r="K189" s="66"/>
      <c r="L189" s="66"/>
      <c r="M189" s="66"/>
      <c r="N189" s="66"/>
      <c r="O189" s="66"/>
      <c r="P189" s="66"/>
      <c r="Q189" s="66"/>
    </row>
    <row r="190" spans="2:27" customFormat="1" x14ac:dyDescent="0.3">
      <c r="B190" s="339" t="s">
        <v>155</v>
      </c>
      <c r="C190" s="340"/>
      <c r="D190" s="340"/>
      <c r="E190" s="340"/>
      <c r="F190" s="199"/>
      <c r="G190" s="200"/>
      <c r="H190" s="201" t="s">
        <v>299</v>
      </c>
      <c r="I190" s="66"/>
      <c r="J190" s="66"/>
      <c r="K190" s="66"/>
      <c r="L190" s="66"/>
      <c r="M190" s="66"/>
      <c r="N190" s="66"/>
      <c r="O190" s="66"/>
      <c r="P190" s="66"/>
      <c r="Q190" s="66"/>
      <c r="AA190" s="205" t="s">
        <v>155</v>
      </c>
    </row>
    <row r="191" spans="2:27" customFormat="1" ht="12" customHeight="1" x14ac:dyDescent="0.3">
      <c r="B191" s="207"/>
      <c r="C191" s="208"/>
      <c r="D191" s="208"/>
      <c r="E191" s="208"/>
      <c r="F191" s="199"/>
      <c r="G191" s="200"/>
      <c r="H191" s="201"/>
      <c r="I191" s="66"/>
      <c r="J191" s="66"/>
      <c r="K191" s="66"/>
      <c r="L191" s="66"/>
      <c r="M191" s="66"/>
      <c r="N191" s="66"/>
      <c r="O191" s="66"/>
      <c r="P191" s="66"/>
      <c r="Q191" s="66"/>
    </row>
    <row r="192" spans="2:27" customFormat="1" x14ac:dyDescent="0.3">
      <c r="B192" s="332" t="s">
        <v>156</v>
      </c>
      <c r="C192" s="337"/>
      <c r="D192" s="209" t="s">
        <v>89</v>
      </c>
      <c r="E192" s="210">
        <f>'6. Rev2Cost_GDPIPI'!$G$20</f>
        <v>1663.3754200000001</v>
      </c>
      <c r="F192" s="199"/>
      <c r="G192" s="200"/>
      <c r="H192" s="201" t="s">
        <v>297</v>
      </c>
      <c r="I192" s="66"/>
      <c r="J192" s="66"/>
      <c r="K192" s="66"/>
      <c r="L192" s="66"/>
      <c r="M192" s="66" t="s">
        <v>300</v>
      </c>
      <c r="N192" s="66"/>
      <c r="O192" s="66"/>
      <c r="P192" s="66"/>
      <c r="Q192" s="66"/>
      <c r="Z192" s="126" t="s">
        <v>300</v>
      </c>
    </row>
    <row r="193" spans="2:52" customFormat="1" x14ac:dyDescent="0.3">
      <c r="B193" s="332" t="s">
        <v>158</v>
      </c>
      <c r="C193" s="337"/>
      <c r="D193" s="209" t="s">
        <v>17</v>
      </c>
      <c r="E193" s="212">
        <f>'6. Rev2Cost_GDPIPI'!$H$20</f>
        <v>2.2619646500000004</v>
      </c>
      <c r="F193" s="199"/>
      <c r="G193" s="200"/>
      <c r="H193" s="201" t="s">
        <v>297</v>
      </c>
      <c r="I193" s="66"/>
      <c r="J193" s="66"/>
      <c r="K193" s="66"/>
      <c r="L193" s="66"/>
      <c r="M193" s="66" t="s">
        <v>301</v>
      </c>
      <c r="N193" s="66"/>
      <c r="O193" s="66"/>
      <c r="P193" s="66"/>
      <c r="Q193" s="66"/>
      <c r="Z193" s="126" t="s">
        <v>301</v>
      </c>
    </row>
    <row r="194" spans="2:52" customFormat="1" x14ac:dyDescent="0.3">
      <c r="B194" s="332" t="s">
        <v>449</v>
      </c>
      <c r="C194" s="333"/>
      <c r="D194" s="209" t="s">
        <v>17</v>
      </c>
      <c r="E194" s="120">
        <f>+'5. Summary of Def-Var RR'!C13</f>
        <v>0.82959999999999989</v>
      </c>
      <c r="F194" s="199"/>
      <c r="G194" s="200"/>
      <c r="H194" s="201" t="s">
        <v>297</v>
      </c>
      <c r="I194" s="66"/>
      <c r="J194" s="66"/>
      <c r="K194" s="66"/>
      <c r="L194" s="66"/>
      <c r="M194" s="66" t="s">
        <v>302</v>
      </c>
      <c r="N194" s="66"/>
      <c r="O194" s="66"/>
      <c r="P194" s="66"/>
      <c r="Q194" s="66"/>
      <c r="Z194" s="126" t="s">
        <v>303</v>
      </c>
    </row>
    <row r="195" spans="2:52" customFormat="1" ht="23.25" customHeight="1" x14ac:dyDescent="0.3">
      <c r="B195" s="332" t="s">
        <v>450</v>
      </c>
      <c r="C195" s="333"/>
      <c r="D195" s="209" t="s">
        <v>17</v>
      </c>
      <c r="E195" s="120">
        <f>+'5. Summary of Def-Var RR'!D13</f>
        <v>-0.67632833690092031</v>
      </c>
      <c r="F195" s="199"/>
      <c r="G195" s="200"/>
      <c r="H195" s="201"/>
      <c r="I195" s="66"/>
      <c r="J195" s="66"/>
      <c r="K195" s="66"/>
      <c r="L195" s="66"/>
      <c r="M195" s="66"/>
      <c r="N195" s="66"/>
      <c r="O195" s="66"/>
      <c r="P195" s="66"/>
      <c r="Q195" s="66"/>
      <c r="Z195" s="126"/>
    </row>
    <row r="196" spans="2:52" customFormat="1" ht="24" customHeight="1" x14ac:dyDescent="0.3">
      <c r="B196" s="332" t="s">
        <v>452</v>
      </c>
      <c r="C196" s="333"/>
      <c r="D196" s="209" t="s">
        <v>17</v>
      </c>
      <c r="E196" s="120">
        <f>'5. Summary of Def-Var RR'!F27</f>
        <v>1.7349153975572156</v>
      </c>
      <c r="F196" s="199"/>
      <c r="G196" s="200"/>
      <c r="H196" s="201" t="s">
        <v>297</v>
      </c>
      <c r="I196" s="66"/>
      <c r="J196" s="66"/>
      <c r="K196" s="66"/>
      <c r="L196" s="66"/>
      <c r="M196" s="66" t="s">
        <v>304</v>
      </c>
      <c r="N196" s="66"/>
      <c r="O196" s="66"/>
      <c r="P196" s="66"/>
      <c r="Q196" s="66"/>
      <c r="Z196" s="126" t="s">
        <v>305</v>
      </c>
    </row>
    <row r="197" spans="2:52" customFormat="1" ht="25.5" customHeight="1" x14ac:dyDescent="0.3">
      <c r="B197" s="332" t="s">
        <v>460</v>
      </c>
      <c r="C197" s="333"/>
      <c r="D197" s="209" t="s">
        <v>17</v>
      </c>
      <c r="E197" s="120">
        <f>'5. Summary of Def-Var RR'!F28</f>
        <v>1.3289153975572157</v>
      </c>
      <c r="F197" s="199"/>
      <c r="G197" s="200"/>
      <c r="H197" s="201"/>
      <c r="I197" s="66"/>
      <c r="J197" s="66"/>
      <c r="K197" s="66"/>
      <c r="L197" s="66"/>
      <c r="M197" s="66"/>
      <c r="N197" s="66"/>
      <c r="O197" s="66"/>
      <c r="P197" s="66"/>
      <c r="Q197" s="66"/>
      <c r="Z197" s="126"/>
    </row>
    <row r="198" spans="2:52" customFormat="1" x14ac:dyDescent="0.3">
      <c r="B198" s="332" t="s">
        <v>159</v>
      </c>
      <c r="C198" s="337"/>
      <c r="D198" s="209" t="s">
        <v>17</v>
      </c>
      <c r="E198" s="213">
        <v>7.8399999999999997E-2</v>
      </c>
      <c r="F198" s="199"/>
      <c r="G198" s="200"/>
      <c r="H198" s="201" t="s">
        <v>297</v>
      </c>
      <c r="I198" s="66"/>
      <c r="J198" s="66"/>
      <c r="K198" s="66"/>
      <c r="L198" s="66"/>
      <c r="M198" s="66" t="s">
        <v>306</v>
      </c>
      <c r="N198" s="66"/>
      <c r="O198" s="66"/>
      <c r="P198" s="66"/>
      <c r="Q198" s="66"/>
      <c r="Z198" s="126" t="s">
        <v>159</v>
      </c>
    </row>
    <row r="199" spans="2:52" customFormat="1" x14ac:dyDescent="0.3">
      <c r="B199" s="332" t="s">
        <v>456</v>
      </c>
      <c r="C199" s="333"/>
      <c r="D199" s="209" t="s">
        <v>17</v>
      </c>
      <c r="E199" s="213">
        <f>+'8. Shared Tax - Rate Rider'!F32</f>
        <v>1.4798949386780704E-3</v>
      </c>
      <c r="F199" s="199"/>
      <c r="G199" s="200"/>
      <c r="H199" s="201"/>
      <c r="I199" s="66"/>
      <c r="J199" s="66"/>
      <c r="K199" s="66"/>
      <c r="L199" s="66"/>
      <c r="M199" s="66"/>
      <c r="N199" s="66"/>
      <c r="O199" s="66"/>
      <c r="P199" s="66"/>
      <c r="Q199" s="66"/>
      <c r="Z199" s="126"/>
    </row>
    <row r="200" spans="2:52" customFormat="1" x14ac:dyDescent="0.3">
      <c r="B200" s="332" t="s">
        <v>462</v>
      </c>
      <c r="C200" s="344"/>
      <c r="D200" s="209" t="s">
        <v>17</v>
      </c>
      <c r="E200" s="213">
        <f>'[8]2016 IRM Foregone Rev (Base)'!$O$11</f>
        <v>2.63E-2</v>
      </c>
      <c r="F200" s="199"/>
      <c r="G200" s="200"/>
      <c r="H200" s="201"/>
      <c r="I200" s="66"/>
      <c r="J200" s="66"/>
      <c r="K200" s="66"/>
      <c r="L200" s="66"/>
      <c r="M200" s="66"/>
      <c r="N200" s="66"/>
      <c r="O200" s="66"/>
      <c r="P200" s="66"/>
      <c r="Q200" s="66"/>
      <c r="Z200" s="126"/>
    </row>
    <row r="201" spans="2:52" customFormat="1" x14ac:dyDescent="0.3">
      <c r="B201" s="332" t="s">
        <v>458</v>
      </c>
      <c r="C201" s="337"/>
      <c r="D201" s="209" t="s">
        <v>17</v>
      </c>
      <c r="E201" s="212">
        <f>'[9]14. RTSR Rates to Forecast'!$J$45</f>
        <v>2.6914417303723432</v>
      </c>
      <c r="F201" s="199"/>
      <c r="G201" s="200"/>
      <c r="H201" s="201" t="s">
        <v>297</v>
      </c>
      <c r="I201" s="66"/>
      <c r="J201" s="66"/>
      <c r="K201" s="66"/>
      <c r="L201" s="66"/>
      <c r="M201" s="66" t="s">
        <v>307</v>
      </c>
      <c r="N201" s="66"/>
      <c r="O201" s="66"/>
      <c r="P201" s="66"/>
      <c r="Q201" s="66"/>
      <c r="Z201" s="126" t="s">
        <v>307</v>
      </c>
      <c r="AZ201" t="s">
        <v>308</v>
      </c>
    </row>
    <row r="202" spans="2:52" customFormat="1" x14ac:dyDescent="0.3">
      <c r="B202" s="332" t="s">
        <v>459</v>
      </c>
      <c r="C202" s="337"/>
      <c r="D202" s="209" t="s">
        <v>17</v>
      </c>
      <c r="E202" s="212">
        <f>'[9]14. RTSR Rates to Forecast'!$J$57</f>
        <v>2.2269060559693652</v>
      </c>
      <c r="F202" s="199"/>
      <c r="G202" s="200"/>
      <c r="H202" s="201" t="s">
        <v>297</v>
      </c>
      <c r="I202" s="66"/>
      <c r="J202" s="66"/>
      <c r="K202" s="66"/>
      <c r="L202" s="66"/>
      <c r="M202" s="66" t="s">
        <v>309</v>
      </c>
      <c r="N202" s="66"/>
      <c r="O202" s="66"/>
      <c r="P202" s="66"/>
      <c r="Q202" s="66"/>
      <c r="Z202" s="126" t="s">
        <v>309</v>
      </c>
      <c r="AZ202" t="s">
        <v>310</v>
      </c>
    </row>
    <row r="203" spans="2:52" customFormat="1" ht="12.75" customHeight="1" x14ac:dyDescent="0.3">
      <c r="B203" s="214"/>
      <c r="C203" s="215"/>
      <c r="D203" s="209"/>
      <c r="E203" s="213"/>
      <c r="F203" s="199"/>
      <c r="G203" s="200"/>
      <c r="H203" s="201"/>
      <c r="I203" s="66"/>
      <c r="J203" s="66"/>
      <c r="K203" s="66"/>
      <c r="L203" s="66"/>
      <c r="M203" s="66"/>
      <c r="N203" s="66"/>
      <c r="O203" s="66"/>
      <c r="P203" s="66"/>
      <c r="Q203" s="66"/>
    </row>
    <row r="204" spans="2:52" customFormat="1" x14ac:dyDescent="0.3">
      <c r="B204" s="339" t="s">
        <v>160</v>
      </c>
      <c r="C204" s="337"/>
      <c r="D204" s="209"/>
      <c r="E204" s="216"/>
      <c r="F204" s="199"/>
      <c r="G204" s="200"/>
      <c r="H204" s="201" t="s">
        <v>311</v>
      </c>
      <c r="I204" s="66"/>
      <c r="J204" s="66"/>
      <c r="K204" s="66"/>
      <c r="L204" s="66"/>
      <c r="M204" s="66"/>
      <c r="N204" s="66"/>
      <c r="O204" s="66"/>
      <c r="P204" s="66"/>
      <c r="Q204" s="66"/>
      <c r="Z204" s="205" t="s">
        <v>160</v>
      </c>
    </row>
    <row r="205" spans="2:52" customFormat="1" ht="7.5" customHeight="1" x14ac:dyDescent="0.3">
      <c r="B205" s="207"/>
      <c r="C205" s="215"/>
      <c r="D205" s="209"/>
      <c r="E205" s="216"/>
      <c r="F205" s="199"/>
      <c r="G205" s="200"/>
      <c r="H205" s="201"/>
      <c r="I205" s="66"/>
      <c r="J205" s="66"/>
      <c r="K205" s="66"/>
      <c r="L205" s="66"/>
      <c r="M205" s="66"/>
      <c r="N205" s="66"/>
      <c r="O205" s="66"/>
      <c r="P205" s="66"/>
      <c r="Q205" s="66"/>
    </row>
    <row r="206" spans="2:52" customFormat="1" x14ac:dyDescent="0.3">
      <c r="B206" s="332" t="s">
        <v>147</v>
      </c>
      <c r="C206" s="337"/>
      <c r="D206" s="209" t="s">
        <v>13</v>
      </c>
      <c r="E206" s="216">
        <v>3.5999999999999999E-3</v>
      </c>
      <c r="F206" s="199"/>
      <c r="G206" s="200"/>
      <c r="H206" s="201" t="s">
        <v>297</v>
      </c>
      <c r="I206" s="66"/>
      <c r="J206" s="66"/>
      <c r="K206" s="66"/>
      <c r="L206" s="66"/>
      <c r="M206" s="66" t="s">
        <v>312</v>
      </c>
      <c r="N206" s="66"/>
      <c r="O206" s="66"/>
      <c r="P206" s="66"/>
      <c r="Q206" s="66"/>
      <c r="Z206" s="126" t="s">
        <v>147</v>
      </c>
    </row>
    <row r="207" spans="2:52" customFormat="1" x14ac:dyDescent="0.3">
      <c r="B207" s="332" t="s">
        <v>148</v>
      </c>
      <c r="C207" s="337"/>
      <c r="D207" s="209" t="s">
        <v>13</v>
      </c>
      <c r="E207" s="216">
        <v>1.2999999999999999E-3</v>
      </c>
      <c r="F207" s="199"/>
      <c r="G207" s="200"/>
      <c r="H207" s="201" t="s">
        <v>297</v>
      </c>
      <c r="I207" s="66"/>
      <c r="J207" s="66"/>
      <c r="K207" s="66"/>
      <c r="L207" s="66"/>
      <c r="M207" s="66" t="s">
        <v>313</v>
      </c>
      <c r="N207" s="66"/>
      <c r="O207" s="66"/>
      <c r="P207" s="66"/>
      <c r="Q207" s="66"/>
      <c r="Z207" s="126" t="s">
        <v>148</v>
      </c>
    </row>
    <row r="208" spans="2:52" customFormat="1" x14ac:dyDescent="0.3">
      <c r="B208" s="332" t="s">
        <v>463</v>
      </c>
      <c r="C208" s="337"/>
      <c r="D208" s="209" t="s">
        <v>13</v>
      </c>
      <c r="E208" s="216">
        <v>1.1000000000000001E-3</v>
      </c>
      <c r="F208" s="199"/>
      <c r="G208" s="200"/>
      <c r="H208" s="201"/>
      <c r="I208" s="66"/>
      <c r="J208" s="66"/>
      <c r="K208" s="66"/>
      <c r="L208" s="66"/>
      <c r="M208" s="66"/>
      <c r="N208" s="66"/>
      <c r="O208" s="66"/>
      <c r="P208" s="66"/>
      <c r="Q208" s="66"/>
      <c r="Z208" s="126"/>
    </row>
    <row r="209" spans="2:45" customFormat="1" x14ac:dyDescent="0.3">
      <c r="B209" s="332" t="s">
        <v>149</v>
      </c>
      <c r="C209" s="337"/>
      <c r="D209" s="209" t="s">
        <v>89</v>
      </c>
      <c r="E209" s="216">
        <v>0.25</v>
      </c>
      <c r="F209" s="199"/>
      <c r="G209" s="200"/>
      <c r="H209" s="201" t="s">
        <v>297</v>
      </c>
      <c r="I209" s="66"/>
      <c r="J209" s="66"/>
      <c r="K209" s="66"/>
      <c r="L209" s="66"/>
      <c r="M209" s="66" t="s">
        <v>314</v>
      </c>
      <c r="N209" s="66"/>
      <c r="O209" s="66"/>
      <c r="P209" s="66"/>
      <c r="Q209" s="66"/>
      <c r="Z209" s="126" t="s">
        <v>149</v>
      </c>
      <c r="AS209" t="s">
        <v>235</v>
      </c>
    </row>
    <row r="210" spans="2:45" customFormat="1" ht="9" customHeight="1" x14ac:dyDescent="0.3">
      <c r="B210" s="290"/>
      <c r="C210" s="291"/>
      <c r="D210" s="209"/>
      <c r="E210" s="216"/>
      <c r="F210" s="199"/>
      <c r="G210" s="200"/>
      <c r="H210" s="201"/>
      <c r="I210" s="66"/>
      <c r="J210" s="66"/>
      <c r="K210" s="66"/>
      <c r="L210" s="66"/>
      <c r="M210" s="66"/>
      <c r="N210" s="66"/>
      <c r="O210" s="66"/>
      <c r="P210" s="66"/>
      <c r="Q210" s="66"/>
      <c r="Z210" s="126"/>
    </row>
    <row r="211" spans="2:45" customFormat="1" ht="46.5" customHeight="1" x14ac:dyDescent="0.3">
      <c r="B211" s="348" t="s">
        <v>461</v>
      </c>
      <c r="C211" s="348"/>
      <c r="D211" s="348"/>
      <c r="E211" s="348"/>
      <c r="F211" s="199"/>
      <c r="G211" s="200"/>
      <c r="H211" s="201"/>
      <c r="I211" s="66"/>
      <c r="J211" s="66"/>
      <c r="K211" s="66"/>
      <c r="L211" s="66"/>
      <c r="M211" s="66"/>
      <c r="N211" s="66"/>
      <c r="O211" s="66"/>
      <c r="P211" s="66"/>
      <c r="Q211" s="66"/>
      <c r="Z211" s="126"/>
    </row>
    <row r="212" spans="2:45" customFormat="1" ht="17.399999999999999" x14ac:dyDescent="0.3">
      <c r="B212" s="334" t="s">
        <v>222</v>
      </c>
      <c r="C212" s="335"/>
      <c r="D212" s="335"/>
      <c r="E212" s="335"/>
      <c r="F212" s="199"/>
      <c r="G212" s="200"/>
      <c r="H212" s="201" t="s">
        <v>315</v>
      </c>
      <c r="I212" s="66"/>
      <c r="J212" s="66"/>
      <c r="K212" s="66"/>
      <c r="L212" s="66"/>
      <c r="M212" s="66"/>
      <c r="N212" s="66"/>
      <c r="O212" s="66"/>
      <c r="P212" s="66"/>
      <c r="Q212" s="66"/>
      <c r="AA212" s="203" t="s">
        <v>222</v>
      </c>
    </row>
    <row r="213" spans="2:45" customFormat="1" ht="50.25" customHeight="1" x14ac:dyDescent="0.3">
      <c r="B213" s="336" t="s">
        <v>509</v>
      </c>
      <c r="C213" s="335"/>
      <c r="D213" s="335"/>
      <c r="E213" s="335"/>
      <c r="F213" s="199"/>
      <c r="G213" s="200"/>
      <c r="H213" s="201" t="s">
        <v>315</v>
      </c>
      <c r="I213" s="66"/>
      <c r="J213" s="66"/>
      <c r="K213" s="66"/>
      <c r="L213" s="66"/>
      <c r="M213" s="66"/>
      <c r="N213" s="66"/>
      <c r="O213" s="66"/>
      <c r="P213" s="66"/>
      <c r="Q213" s="66"/>
      <c r="AA213" s="124" t="s">
        <v>165</v>
      </c>
    </row>
    <row r="214" spans="2:45" customFormat="1" ht="11.25" customHeight="1" x14ac:dyDescent="0.3">
      <c r="B214" s="125"/>
      <c r="C214" s="204"/>
      <c r="D214" s="204"/>
      <c r="E214" s="204"/>
      <c r="F214" s="199"/>
      <c r="G214" s="200"/>
      <c r="H214" s="201"/>
      <c r="I214" s="66"/>
      <c r="J214" s="66"/>
      <c r="K214" s="66"/>
      <c r="L214" s="66"/>
      <c r="M214" s="66"/>
      <c r="N214" s="66"/>
      <c r="O214" s="66"/>
      <c r="P214" s="66"/>
      <c r="Q214" s="66"/>
    </row>
    <row r="215" spans="2:45" customFormat="1" x14ac:dyDescent="0.3">
      <c r="B215" s="338" t="s">
        <v>108</v>
      </c>
      <c r="C215" s="335"/>
      <c r="D215" s="335"/>
      <c r="E215" s="335"/>
      <c r="F215" s="199"/>
      <c r="G215" s="200"/>
      <c r="H215" s="201" t="s">
        <v>316</v>
      </c>
      <c r="I215" s="66"/>
      <c r="J215" s="66"/>
      <c r="K215" s="66"/>
      <c r="L215" s="66"/>
      <c r="M215" s="66"/>
      <c r="N215" s="66"/>
      <c r="O215" s="66"/>
      <c r="P215" s="66"/>
      <c r="Q215" s="66"/>
      <c r="AA215" s="205" t="s">
        <v>108</v>
      </c>
    </row>
    <row r="216" spans="2:45" customFormat="1" ht="7.5" customHeight="1" x14ac:dyDescent="0.3">
      <c r="B216" s="206"/>
      <c r="C216" s="204"/>
      <c r="D216" s="204"/>
      <c r="E216" s="204"/>
      <c r="F216" s="199"/>
      <c r="G216" s="200"/>
      <c r="H216" s="201"/>
      <c r="I216" s="66"/>
      <c r="J216" s="66"/>
      <c r="K216" s="66"/>
      <c r="L216" s="66"/>
      <c r="M216" s="66"/>
      <c r="N216" s="66"/>
      <c r="O216" s="66"/>
      <c r="P216" s="66"/>
      <c r="Q216" s="66"/>
    </row>
    <row r="217" spans="2:45" customFormat="1" ht="34.200000000000003" x14ac:dyDescent="0.3">
      <c r="B217" s="336" t="s">
        <v>109</v>
      </c>
      <c r="C217" s="335"/>
      <c r="D217" s="335"/>
      <c r="E217" s="335"/>
      <c r="F217" s="199"/>
      <c r="G217" s="200"/>
      <c r="H217" s="201" t="s">
        <v>315</v>
      </c>
      <c r="I217" s="66"/>
      <c r="J217" s="66"/>
      <c r="K217" s="66"/>
      <c r="L217" s="66"/>
      <c r="M217" s="66"/>
      <c r="N217" s="66"/>
      <c r="O217" s="66"/>
      <c r="P217" s="66"/>
      <c r="Q217" s="66"/>
      <c r="AA217" s="124" t="s">
        <v>109</v>
      </c>
    </row>
    <row r="218" spans="2:45" customFormat="1" x14ac:dyDescent="0.3">
      <c r="B218" s="125"/>
      <c r="C218" s="204"/>
      <c r="D218" s="204"/>
      <c r="E218" s="204"/>
      <c r="F218" s="199"/>
      <c r="G218" s="200"/>
      <c r="H218" s="201"/>
      <c r="I218" s="66"/>
      <c r="J218" s="66"/>
      <c r="K218" s="66"/>
      <c r="L218" s="66"/>
      <c r="M218" s="66"/>
      <c r="N218" s="66"/>
      <c r="O218" s="66"/>
      <c r="P218" s="66"/>
      <c r="Q218" s="66"/>
    </row>
    <row r="219" spans="2:45" customFormat="1" ht="45.6" x14ac:dyDescent="0.3">
      <c r="B219" s="336" t="s">
        <v>154</v>
      </c>
      <c r="C219" s="335"/>
      <c r="D219" s="335"/>
      <c r="E219" s="335"/>
      <c r="F219" s="199"/>
      <c r="G219" s="200"/>
      <c r="H219" s="201" t="s">
        <v>315</v>
      </c>
      <c r="I219" s="66"/>
      <c r="J219" s="66"/>
      <c r="K219" s="66"/>
      <c r="L219" s="66"/>
      <c r="M219" s="66"/>
      <c r="N219" s="66"/>
      <c r="O219" s="66"/>
      <c r="P219" s="66"/>
      <c r="Q219" s="66"/>
      <c r="AA219" s="124" t="s">
        <v>154</v>
      </c>
    </row>
    <row r="220" spans="2:45" customFormat="1" x14ac:dyDescent="0.3">
      <c r="B220" s="125"/>
      <c r="C220" s="204"/>
      <c r="D220" s="204"/>
      <c r="E220" s="204"/>
      <c r="F220" s="199"/>
      <c r="G220" s="200"/>
      <c r="H220" s="201"/>
      <c r="I220" s="66"/>
      <c r="J220" s="66"/>
      <c r="K220" s="66"/>
      <c r="L220" s="66"/>
      <c r="M220" s="66"/>
      <c r="N220" s="66"/>
      <c r="O220" s="66"/>
      <c r="P220" s="66"/>
      <c r="Q220" s="66"/>
    </row>
    <row r="221" spans="2:45" customFormat="1" ht="57" x14ac:dyDescent="0.3">
      <c r="B221" s="336" t="s">
        <v>317</v>
      </c>
      <c r="C221" s="335"/>
      <c r="D221" s="335"/>
      <c r="E221" s="335"/>
      <c r="F221" s="199"/>
      <c r="G221" s="200"/>
      <c r="H221" s="201" t="s">
        <v>315</v>
      </c>
      <c r="I221" s="66"/>
      <c r="J221" s="66"/>
      <c r="K221" s="66"/>
      <c r="L221" s="66"/>
      <c r="M221" s="66"/>
      <c r="N221" s="66"/>
      <c r="O221" s="66"/>
      <c r="P221" s="66"/>
      <c r="Q221" s="66"/>
      <c r="AA221" s="124" t="s">
        <v>317</v>
      </c>
    </row>
    <row r="222" spans="2:45" customFormat="1" x14ac:dyDescent="0.3">
      <c r="B222" s="125"/>
      <c r="C222" s="204"/>
      <c r="D222" s="204"/>
      <c r="E222" s="204"/>
      <c r="F222" s="199"/>
      <c r="G222" s="200"/>
      <c r="H222" s="201"/>
      <c r="I222" s="66"/>
      <c r="J222" s="66"/>
      <c r="K222" s="66"/>
      <c r="L222" s="66"/>
      <c r="M222" s="66"/>
      <c r="N222" s="66"/>
      <c r="O222" s="66"/>
      <c r="P222" s="66"/>
      <c r="Q222" s="66"/>
    </row>
    <row r="223" spans="2:45" customFormat="1" ht="34.200000000000003" x14ac:dyDescent="0.3">
      <c r="B223" s="336" t="s">
        <v>506</v>
      </c>
      <c r="C223" s="335"/>
      <c r="D223" s="335"/>
      <c r="E223" s="335"/>
      <c r="F223" s="199"/>
      <c r="G223" s="200"/>
      <c r="H223" s="201" t="s">
        <v>315</v>
      </c>
      <c r="I223" s="66"/>
      <c r="J223" s="66"/>
      <c r="K223" s="66"/>
      <c r="L223" s="66"/>
      <c r="M223" s="66"/>
      <c r="N223" s="66"/>
      <c r="O223" s="66"/>
      <c r="P223" s="66"/>
      <c r="Q223" s="66"/>
      <c r="AA223" s="124" t="s">
        <v>171</v>
      </c>
    </row>
    <row r="224" spans="2:45" customFormat="1" x14ac:dyDescent="0.3">
      <c r="B224" s="336" t="s">
        <v>280</v>
      </c>
      <c r="C224" s="335"/>
      <c r="D224" s="335"/>
      <c r="E224" s="335"/>
      <c r="F224" s="199"/>
      <c r="G224" s="200"/>
      <c r="H224" s="201" t="s">
        <v>315</v>
      </c>
      <c r="I224" s="66"/>
      <c r="J224" s="66"/>
      <c r="K224" s="66"/>
      <c r="L224" s="66"/>
      <c r="M224" s="66"/>
      <c r="N224" s="66"/>
      <c r="O224" s="66"/>
      <c r="P224" s="66"/>
      <c r="Q224" s="66"/>
      <c r="AA224" s="124" t="s">
        <v>280</v>
      </c>
    </row>
    <row r="225" spans="2:52" customFormat="1" x14ac:dyDescent="0.3">
      <c r="B225" s="125"/>
      <c r="C225" s="204"/>
      <c r="D225" s="204"/>
      <c r="E225" s="204"/>
      <c r="F225" s="199"/>
      <c r="G225" s="200"/>
      <c r="H225" s="201"/>
      <c r="I225" s="66"/>
      <c r="J225" s="66"/>
      <c r="K225" s="66"/>
      <c r="L225" s="66"/>
      <c r="M225" s="66"/>
      <c r="N225" s="66"/>
      <c r="O225" s="66"/>
      <c r="P225" s="66"/>
      <c r="Q225" s="66"/>
    </row>
    <row r="226" spans="2:52" customFormat="1" x14ac:dyDescent="0.3">
      <c r="B226" s="339" t="s">
        <v>155</v>
      </c>
      <c r="C226" s="340"/>
      <c r="D226" s="340"/>
      <c r="E226" s="340"/>
      <c r="F226" s="199"/>
      <c r="G226" s="200"/>
      <c r="H226" s="201" t="s">
        <v>318</v>
      </c>
      <c r="I226" s="66"/>
      <c r="J226" s="66"/>
      <c r="K226" s="66"/>
      <c r="L226" s="66"/>
      <c r="M226" s="66"/>
      <c r="N226" s="66"/>
      <c r="O226" s="66"/>
      <c r="P226" s="66"/>
      <c r="Q226" s="66"/>
      <c r="AA226" s="205" t="s">
        <v>155</v>
      </c>
    </row>
    <row r="227" spans="2:52" customFormat="1" x14ac:dyDescent="0.3">
      <c r="B227" s="207"/>
      <c r="C227" s="208"/>
      <c r="D227" s="208"/>
      <c r="E227" s="208"/>
      <c r="F227" s="199"/>
      <c r="G227" s="200"/>
      <c r="H227" s="201"/>
      <c r="I227" s="66"/>
      <c r="J227" s="66"/>
      <c r="K227" s="66"/>
      <c r="L227" s="66"/>
      <c r="M227" s="66"/>
      <c r="N227" s="66"/>
      <c r="O227" s="66"/>
      <c r="P227" s="66"/>
      <c r="Q227" s="66"/>
    </row>
    <row r="228" spans="2:52" customFormat="1" x14ac:dyDescent="0.3">
      <c r="B228" s="332" t="s">
        <v>156</v>
      </c>
      <c r="C228" s="337"/>
      <c r="D228" s="209" t="s">
        <v>89</v>
      </c>
      <c r="E228" s="210">
        <f>'6. Rev2Cost_GDPIPI'!$G$21</f>
        <v>13115.07229</v>
      </c>
      <c r="F228" s="199"/>
      <c r="G228" s="200"/>
      <c r="H228" s="201" t="s">
        <v>315</v>
      </c>
      <c r="I228" s="66"/>
      <c r="J228" s="66"/>
      <c r="K228" s="66"/>
      <c r="L228" s="66"/>
      <c r="M228" s="66" t="s">
        <v>319</v>
      </c>
      <c r="N228" s="66"/>
      <c r="O228" s="66"/>
      <c r="P228" s="66"/>
      <c r="Q228" s="66"/>
      <c r="Z228" s="126" t="s">
        <v>319</v>
      </c>
    </row>
    <row r="229" spans="2:52" customFormat="1" x14ac:dyDescent="0.3">
      <c r="B229" s="332" t="s">
        <v>158</v>
      </c>
      <c r="C229" s="337"/>
      <c r="D229" s="209" t="s">
        <v>17</v>
      </c>
      <c r="E229" s="212">
        <f>'6. Rev2Cost_GDPIPI'!$H$21</f>
        <v>2.8076010500000002</v>
      </c>
      <c r="F229" s="199"/>
      <c r="G229" s="200"/>
      <c r="H229" s="201" t="s">
        <v>315</v>
      </c>
      <c r="I229" s="66"/>
      <c r="J229" s="66"/>
      <c r="K229" s="66"/>
      <c r="L229" s="66"/>
      <c r="M229" s="66" t="s">
        <v>320</v>
      </c>
      <c r="N229" s="66"/>
      <c r="O229" s="66"/>
      <c r="P229" s="66"/>
      <c r="Q229" s="66"/>
      <c r="Z229" s="126" t="s">
        <v>320</v>
      </c>
    </row>
    <row r="230" spans="2:52" customFormat="1" x14ac:dyDescent="0.3">
      <c r="B230" s="332" t="s">
        <v>449</v>
      </c>
      <c r="C230" s="333"/>
      <c r="D230" s="209" t="s">
        <v>17</v>
      </c>
      <c r="E230" s="120">
        <f>+'5. Summary of Def-Var RR'!E15</f>
        <v>0.19243614735443026</v>
      </c>
      <c r="F230" s="199"/>
      <c r="G230" s="200"/>
      <c r="H230" s="201" t="s">
        <v>315</v>
      </c>
      <c r="I230" s="66"/>
      <c r="J230" s="66"/>
      <c r="K230" s="66"/>
      <c r="L230" s="66"/>
      <c r="M230" s="66" t="s">
        <v>321</v>
      </c>
      <c r="N230" s="66"/>
      <c r="O230" s="66"/>
      <c r="P230" s="66"/>
      <c r="Q230" s="66"/>
      <c r="Z230" s="126" t="s">
        <v>322</v>
      </c>
    </row>
    <row r="231" spans="2:52" customFormat="1" ht="24.75" customHeight="1" x14ac:dyDescent="0.3">
      <c r="B231" s="332" t="s">
        <v>454</v>
      </c>
      <c r="C231" s="333"/>
      <c r="D231" s="209"/>
      <c r="E231" s="120">
        <f>'5. Summary of Def-Var RR'!F29</f>
        <v>-0.23482875616453472</v>
      </c>
      <c r="F231" s="199"/>
      <c r="G231" s="200"/>
      <c r="H231" s="201"/>
      <c r="I231" s="66"/>
      <c r="J231" s="66"/>
      <c r="K231" s="66"/>
      <c r="L231" s="66"/>
      <c r="M231" s="66"/>
      <c r="N231" s="66"/>
      <c r="O231" s="66"/>
      <c r="P231" s="66"/>
      <c r="Q231" s="66"/>
      <c r="Z231" s="126"/>
    </row>
    <row r="232" spans="2:52" customFormat="1" ht="27.75" customHeight="1" x14ac:dyDescent="0.3">
      <c r="B232" s="332" t="s">
        <v>455</v>
      </c>
      <c r="C232" s="333"/>
      <c r="D232" s="209" t="s">
        <v>17</v>
      </c>
      <c r="E232" s="120">
        <f>'5. Summary of Def-Var RR'!F30</f>
        <v>1.4069045771687987</v>
      </c>
      <c r="F232" s="199"/>
      <c r="G232" s="200"/>
      <c r="H232" s="201" t="s">
        <v>315</v>
      </c>
      <c r="I232" s="66"/>
      <c r="J232" s="66"/>
      <c r="K232" s="66"/>
      <c r="L232" s="66"/>
      <c r="M232" s="66" t="s">
        <v>323</v>
      </c>
      <c r="N232" s="66"/>
      <c r="O232" s="66"/>
      <c r="P232" s="66"/>
      <c r="Q232" s="66"/>
      <c r="Z232" s="126" t="s">
        <v>324</v>
      </c>
    </row>
    <row r="233" spans="2:52" customFormat="1" x14ac:dyDescent="0.3">
      <c r="B233" s="332" t="s">
        <v>159</v>
      </c>
      <c r="C233" s="337"/>
      <c r="D233" s="209" t="s">
        <v>17</v>
      </c>
      <c r="E233" s="213">
        <v>8.3799999999999999E-2</v>
      </c>
      <c r="F233" s="199"/>
      <c r="G233" s="200"/>
      <c r="H233" s="201" t="s">
        <v>315</v>
      </c>
      <c r="I233" s="66"/>
      <c r="J233" s="66"/>
      <c r="K233" s="66"/>
      <c r="L233" s="66"/>
      <c r="M233" s="66" t="s">
        <v>325</v>
      </c>
      <c r="N233" s="66"/>
      <c r="O233" s="66"/>
      <c r="P233" s="66"/>
      <c r="Q233" s="66"/>
      <c r="Z233" s="126" t="s">
        <v>159</v>
      </c>
    </row>
    <row r="234" spans="2:52" customFormat="1" x14ac:dyDescent="0.3">
      <c r="B234" s="332" t="s">
        <v>457</v>
      </c>
      <c r="C234" s="333"/>
      <c r="D234" s="209" t="s">
        <v>17</v>
      </c>
      <c r="E234" s="213">
        <f>+'8. Shared Tax - Rate Rider'!F33</f>
        <v>1.2042211362103313E-3</v>
      </c>
      <c r="F234" s="199"/>
      <c r="G234" s="200"/>
      <c r="H234" s="201"/>
      <c r="I234" s="66"/>
      <c r="J234" s="66"/>
      <c r="K234" s="66"/>
      <c r="L234" s="66"/>
      <c r="M234" s="66"/>
      <c r="N234" s="66"/>
      <c r="O234" s="66"/>
      <c r="P234" s="66"/>
      <c r="Q234" s="66"/>
      <c r="Z234" s="126"/>
    </row>
    <row r="235" spans="2:52" customFormat="1" x14ac:dyDescent="0.3">
      <c r="B235" s="332" t="s">
        <v>462</v>
      </c>
      <c r="C235" s="344"/>
      <c r="D235" s="209" t="s">
        <v>17</v>
      </c>
      <c r="E235" s="213">
        <f>'[8]2016 IRM Foregone Rev (Base)'!$O$12</f>
        <v>2.2200000000000001E-2</v>
      </c>
      <c r="F235" s="199"/>
      <c r="G235" s="200"/>
      <c r="H235" s="201"/>
      <c r="I235" s="66"/>
      <c r="J235" s="66"/>
      <c r="K235" s="66"/>
      <c r="L235" s="66"/>
      <c r="M235" s="66"/>
      <c r="N235" s="66"/>
      <c r="O235" s="66"/>
      <c r="P235" s="66"/>
      <c r="Q235" s="66"/>
      <c r="Z235" s="126"/>
    </row>
    <row r="236" spans="2:52" customFormat="1" x14ac:dyDescent="0.3">
      <c r="B236" s="332" t="s">
        <v>86</v>
      </c>
      <c r="C236" s="337"/>
      <c r="D236" s="209" t="s">
        <v>17</v>
      </c>
      <c r="E236" s="212">
        <f>'[9]14. RTSR Rates to Forecast'!$J$46</f>
        <v>2.8720116207297077</v>
      </c>
      <c r="F236" s="199"/>
      <c r="G236" s="200"/>
      <c r="H236" s="201" t="s">
        <v>315</v>
      </c>
      <c r="I236" s="66"/>
      <c r="J236" s="66"/>
      <c r="K236" s="66"/>
      <c r="L236" s="66"/>
      <c r="M236" s="66" t="s">
        <v>326</v>
      </c>
      <c r="N236" s="66"/>
      <c r="O236" s="66"/>
      <c r="P236" s="66"/>
      <c r="Q236" s="66"/>
      <c r="Z236" s="126" t="s">
        <v>326</v>
      </c>
      <c r="AZ236" t="s">
        <v>327</v>
      </c>
    </row>
    <row r="237" spans="2:52" customFormat="1" x14ac:dyDescent="0.3">
      <c r="B237" s="332" t="s">
        <v>87</v>
      </c>
      <c r="C237" s="337"/>
      <c r="D237" s="209" t="s">
        <v>17</v>
      </c>
      <c r="E237" s="212">
        <f>'[9]14. RTSR Rates to Forecast'!$J$58</f>
        <v>2.3784202337203344</v>
      </c>
      <c r="F237" s="199"/>
      <c r="G237" s="200"/>
      <c r="H237" s="201" t="s">
        <v>315</v>
      </c>
      <c r="I237" s="66"/>
      <c r="J237" s="66"/>
      <c r="K237" s="66"/>
      <c r="L237" s="66"/>
      <c r="M237" s="66" t="s">
        <v>328</v>
      </c>
      <c r="N237" s="66"/>
      <c r="O237" s="66"/>
      <c r="P237" s="66"/>
      <c r="Q237" s="66"/>
      <c r="Z237" s="126" t="s">
        <v>328</v>
      </c>
      <c r="AZ237" t="s">
        <v>329</v>
      </c>
    </row>
    <row r="238" spans="2:52" customFormat="1" x14ac:dyDescent="0.3">
      <c r="B238" s="339" t="s">
        <v>160</v>
      </c>
      <c r="C238" s="337"/>
      <c r="D238" s="209"/>
      <c r="E238" s="216"/>
      <c r="F238" s="199"/>
      <c r="G238" s="200"/>
      <c r="H238" s="201" t="s">
        <v>330</v>
      </c>
      <c r="I238" s="66"/>
      <c r="J238" s="66"/>
      <c r="K238" s="66"/>
      <c r="L238" s="66"/>
      <c r="M238" s="66"/>
      <c r="N238" s="66"/>
      <c r="O238" s="66"/>
      <c r="P238" s="66"/>
      <c r="Q238" s="66"/>
      <c r="Z238" s="205" t="s">
        <v>160</v>
      </c>
    </row>
    <row r="239" spans="2:52" customFormat="1" x14ac:dyDescent="0.3">
      <c r="B239" s="207"/>
      <c r="C239" s="215"/>
      <c r="D239" s="209"/>
      <c r="E239" s="216"/>
      <c r="F239" s="199"/>
      <c r="G239" s="200"/>
      <c r="H239" s="201"/>
      <c r="I239" s="66"/>
      <c r="J239" s="66"/>
      <c r="K239" s="66"/>
      <c r="L239" s="66"/>
      <c r="M239" s="66"/>
      <c r="N239" s="66"/>
      <c r="O239" s="66"/>
      <c r="P239" s="66"/>
      <c r="Q239" s="66"/>
    </row>
    <row r="240" spans="2:52" customFormat="1" x14ac:dyDescent="0.3">
      <c r="B240" s="332" t="s">
        <v>147</v>
      </c>
      <c r="C240" s="337"/>
      <c r="D240" s="209" t="s">
        <v>13</v>
      </c>
      <c r="E240" s="216">
        <v>3.5999999999999999E-3</v>
      </c>
      <c r="F240" s="199"/>
      <c r="G240" s="200"/>
      <c r="H240" s="201" t="s">
        <v>315</v>
      </c>
      <c r="I240" s="66"/>
      <c r="J240" s="66"/>
      <c r="K240" s="66"/>
      <c r="L240" s="66"/>
      <c r="M240" s="66" t="s">
        <v>331</v>
      </c>
      <c r="N240" s="66"/>
      <c r="O240" s="66"/>
      <c r="P240" s="66"/>
      <c r="Q240" s="66"/>
      <c r="Z240" s="126" t="s">
        <v>147</v>
      </c>
    </row>
    <row r="241" spans="2:45" customFormat="1" x14ac:dyDescent="0.3">
      <c r="B241" s="332" t="s">
        <v>148</v>
      </c>
      <c r="C241" s="337"/>
      <c r="D241" s="209" t="s">
        <v>13</v>
      </c>
      <c r="E241" s="216">
        <v>1.2999999999999999E-3</v>
      </c>
      <c r="F241" s="199"/>
      <c r="G241" s="200"/>
      <c r="H241" s="201" t="s">
        <v>315</v>
      </c>
      <c r="I241" s="66"/>
      <c r="J241" s="66"/>
      <c r="K241" s="66"/>
      <c r="L241" s="66"/>
      <c r="M241" s="66" t="s">
        <v>332</v>
      </c>
      <c r="N241" s="66"/>
      <c r="O241" s="66"/>
      <c r="P241" s="66"/>
      <c r="Q241" s="66"/>
      <c r="Z241" s="126" t="s">
        <v>148</v>
      </c>
    </row>
    <row r="242" spans="2:45" customFormat="1" x14ac:dyDescent="0.3">
      <c r="B242" s="332" t="s">
        <v>463</v>
      </c>
      <c r="C242" s="337"/>
      <c r="D242" s="209" t="s">
        <v>13</v>
      </c>
      <c r="E242" s="216">
        <v>1.1000000000000001E-3</v>
      </c>
      <c r="F242" s="199"/>
      <c r="G242" s="200"/>
      <c r="H242" s="201"/>
      <c r="I242" s="66"/>
      <c r="J242" s="66"/>
      <c r="K242" s="66"/>
      <c r="L242" s="66"/>
      <c r="M242" s="66"/>
      <c r="N242" s="66"/>
      <c r="O242" s="66"/>
      <c r="P242" s="66"/>
      <c r="Q242" s="66"/>
      <c r="Z242" s="126"/>
    </row>
    <row r="243" spans="2:45" customFormat="1" x14ac:dyDescent="0.3">
      <c r="B243" s="332" t="s">
        <v>149</v>
      </c>
      <c r="C243" s="337"/>
      <c r="D243" s="209" t="s">
        <v>89</v>
      </c>
      <c r="E243" s="216">
        <v>0.25</v>
      </c>
      <c r="F243" s="199"/>
      <c r="G243" s="200"/>
      <c r="H243" s="201" t="s">
        <v>315</v>
      </c>
      <c r="I243" s="66"/>
      <c r="J243" s="66"/>
      <c r="K243" s="66"/>
      <c r="L243" s="66"/>
      <c r="M243" s="66" t="s">
        <v>333</v>
      </c>
      <c r="N243" s="66"/>
      <c r="O243" s="66"/>
      <c r="P243" s="66"/>
      <c r="Q243" s="66"/>
      <c r="Z243" s="126" t="s">
        <v>149</v>
      </c>
      <c r="AS243" t="s">
        <v>235</v>
      </c>
    </row>
    <row r="244" spans="2:45" customFormat="1" ht="18" customHeight="1" x14ac:dyDescent="0.3">
      <c r="B244" s="334" t="s">
        <v>142</v>
      </c>
      <c r="C244" s="335"/>
      <c r="D244" s="335"/>
      <c r="E244" s="335"/>
      <c r="F244" s="199"/>
      <c r="G244" s="200"/>
      <c r="H244" s="201" t="s">
        <v>334</v>
      </c>
      <c r="I244" s="66"/>
      <c r="J244" s="66"/>
      <c r="K244" s="66"/>
      <c r="L244" s="66"/>
      <c r="M244" s="66"/>
      <c r="N244" s="66"/>
      <c r="O244" s="66"/>
      <c r="P244" s="66"/>
      <c r="Q244" s="66"/>
      <c r="AA244" s="203" t="s">
        <v>142</v>
      </c>
    </row>
    <row r="245" spans="2:45" customFormat="1" ht="98.25" customHeight="1" x14ac:dyDescent="0.3">
      <c r="B245" s="336" t="s">
        <v>510</v>
      </c>
      <c r="C245" s="335"/>
      <c r="D245" s="335"/>
      <c r="E245" s="335"/>
      <c r="F245" s="199"/>
      <c r="G245" s="200"/>
      <c r="H245" s="201" t="s">
        <v>334</v>
      </c>
      <c r="I245" s="66"/>
      <c r="J245" s="66"/>
      <c r="K245" s="66"/>
      <c r="L245" s="66"/>
      <c r="M245" s="66"/>
      <c r="N245" s="66"/>
      <c r="O245" s="66"/>
      <c r="P245" s="66"/>
      <c r="Q245" s="66"/>
      <c r="AA245" s="124" t="s">
        <v>335</v>
      </c>
    </row>
    <row r="246" spans="2:45" customFormat="1" x14ac:dyDescent="0.3">
      <c r="B246" s="125"/>
      <c r="C246" s="204"/>
      <c r="D246" s="204"/>
      <c r="E246" s="204"/>
      <c r="F246" s="199"/>
      <c r="G246" s="200"/>
      <c r="H246" s="201"/>
      <c r="I246" s="66"/>
      <c r="J246" s="66"/>
      <c r="K246" s="66"/>
      <c r="L246" s="66"/>
      <c r="M246" s="66"/>
      <c r="N246" s="66"/>
      <c r="O246" s="66"/>
      <c r="P246" s="66"/>
      <c r="Q246" s="66"/>
    </row>
    <row r="247" spans="2:45" customFormat="1" x14ac:dyDescent="0.3">
      <c r="B247" s="338" t="s">
        <v>108</v>
      </c>
      <c r="C247" s="335"/>
      <c r="D247" s="335"/>
      <c r="E247" s="335"/>
      <c r="F247" s="199"/>
      <c r="G247" s="200"/>
      <c r="H247" s="201" t="s">
        <v>336</v>
      </c>
      <c r="I247" s="66"/>
      <c r="J247" s="66"/>
      <c r="K247" s="66"/>
      <c r="L247" s="66"/>
      <c r="M247" s="66"/>
      <c r="N247" s="66"/>
      <c r="O247" s="66"/>
      <c r="P247" s="66"/>
      <c r="Q247" s="66"/>
      <c r="AA247" s="205" t="s">
        <v>108</v>
      </c>
    </row>
    <row r="248" spans="2:45" customFormat="1" x14ac:dyDescent="0.3">
      <c r="B248" s="206"/>
      <c r="C248" s="204"/>
      <c r="D248" s="204"/>
      <c r="E248" s="204"/>
      <c r="F248" s="199"/>
      <c r="G248" s="200"/>
      <c r="H248" s="201"/>
      <c r="I248" s="66"/>
      <c r="J248" s="66"/>
      <c r="K248" s="66"/>
      <c r="L248" s="66"/>
      <c r="M248" s="66"/>
      <c r="N248" s="66"/>
      <c r="O248" s="66"/>
      <c r="P248" s="66"/>
      <c r="Q248" s="66"/>
    </row>
    <row r="249" spans="2:45" customFormat="1" ht="34.200000000000003" x14ac:dyDescent="0.3">
      <c r="B249" s="336" t="s">
        <v>109</v>
      </c>
      <c r="C249" s="335"/>
      <c r="D249" s="335"/>
      <c r="E249" s="335"/>
      <c r="F249" s="199"/>
      <c r="G249" s="200"/>
      <c r="H249" s="201" t="s">
        <v>334</v>
      </c>
      <c r="I249" s="66"/>
      <c r="J249" s="66"/>
      <c r="K249" s="66"/>
      <c r="L249" s="66"/>
      <c r="M249" s="66"/>
      <c r="N249" s="66"/>
      <c r="O249" s="66"/>
      <c r="P249" s="66"/>
      <c r="Q249" s="66"/>
      <c r="AA249" s="124" t="s">
        <v>109</v>
      </c>
    </row>
    <row r="250" spans="2:45" customFormat="1" x14ac:dyDescent="0.3">
      <c r="B250" s="125"/>
      <c r="C250" s="204"/>
      <c r="D250" s="204"/>
      <c r="E250" s="204"/>
      <c r="F250" s="199"/>
      <c r="G250" s="200"/>
      <c r="H250" s="201"/>
      <c r="I250" s="66"/>
      <c r="J250" s="66"/>
      <c r="K250" s="66"/>
      <c r="L250" s="66"/>
      <c r="M250" s="66"/>
      <c r="N250" s="66"/>
      <c r="O250" s="66"/>
      <c r="P250" s="66"/>
      <c r="Q250" s="66"/>
    </row>
    <row r="251" spans="2:45" customFormat="1" ht="45.6" x14ac:dyDescent="0.3">
      <c r="B251" s="336" t="s">
        <v>154</v>
      </c>
      <c r="C251" s="335"/>
      <c r="D251" s="335"/>
      <c r="E251" s="335"/>
      <c r="F251" s="199"/>
      <c r="G251" s="200"/>
      <c r="H251" s="201" t="s">
        <v>334</v>
      </c>
      <c r="I251" s="66"/>
      <c r="J251" s="66"/>
      <c r="K251" s="66"/>
      <c r="L251" s="66"/>
      <c r="M251" s="66"/>
      <c r="N251" s="66"/>
      <c r="O251" s="66"/>
      <c r="P251" s="66"/>
      <c r="Q251" s="66"/>
      <c r="AA251" s="124" t="s">
        <v>154</v>
      </c>
    </row>
    <row r="252" spans="2:45" customFormat="1" x14ac:dyDescent="0.3">
      <c r="B252" s="125"/>
      <c r="C252" s="204"/>
      <c r="D252" s="204"/>
      <c r="E252" s="204"/>
      <c r="F252" s="199"/>
      <c r="G252" s="200"/>
      <c r="H252" s="201"/>
      <c r="I252" s="66"/>
      <c r="J252" s="66"/>
      <c r="K252" s="66"/>
      <c r="L252" s="66"/>
      <c r="M252" s="66"/>
      <c r="N252" s="66"/>
      <c r="O252" s="66"/>
      <c r="P252" s="66"/>
      <c r="Q252" s="66"/>
    </row>
    <row r="253" spans="2:45" customFormat="1" ht="57" x14ac:dyDescent="0.3">
      <c r="B253" s="336" t="s">
        <v>317</v>
      </c>
      <c r="C253" s="335"/>
      <c r="D253" s="335"/>
      <c r="E253" s="335"/>
      <c r="F253" s="199"/>
      <c r="G253" s="200"/>
      <c r="H253" s="201" t="s">
        <v>334</v>
      </c>
      <c r="I253" s="66"/>
      <c r="J253" s="66"/>
      <c r="K253" s="66"/>
      <c r="L253" s="66"/>
      <c r="M253" s="66"/>
      <c r="N253" s="66"/>
      <c r="O253" s="66"/>
      <c r="P253" s="66"/>
      <c r="Q253" s="66"/>
      <c r="AA253" s="124" t="s">
        <v>317</v>
      </c>
    </row>
    <row r="254" spans="2:45" customFormat="1" x14ac:dyDescent="0.3">
      <c r="B254" s="125"/>
      <c r="C254" s="204"/>
      <c r="D254" s="204"/>
      <c r="E254" s="204"/>
      <c r="F254" s="199"/>
      <c r="G254" s="200"/>
      <c r="H254" s="201"/>
      <c r="I254" s="66"/>
      <c r="J254" s="66"/>
      <c r="K254" s="66"/>
      <c r="L254" s="66"/>
      <c r="M254" s="66"/>
      <c r="N254" s="66"/>
      <c r="O254" s="66"/>
      <c r="P254" s="66"/>
      <c r="Q254" s="66"/>
    </row>
    <row r="255" spans="2:45" customFormat="1" ht="34.200000000000003" x14ac:dyDescent="0.3">
      <c r="B255" s="336" t="s">
        <v>506</v>
      </c>
      <c r="C255" s="335"/>
      <c r="D255" s="335"/>
      <c r="E255" s="335"/>
      <c r="F255" s="199"/>
      <c r="G255" s="200"/>
      <c r="H255" s="201" t="s">
        <v>334</v>
      </c>
      <c r="I255" s="66"/>
      <c r="J255" s="66"/>
      <c r="K255" s="66"/>
      <c r="L255" s="66"/>
      <c r="M255" s="66"/>
      <c r="N255" s="66"/>
      <c r="O255" s="66"/>
      <c r="P255" s="66"/>
      <c r="Q255" s="66"/>
      <c r="AA255" s="124" t="s">
        <v>171</v>
      </c>
    </row>
    <row r="256" spans="2:45" customFormat="1" x14ac:dyDescent="0.3">
      <c r="B256" s="125"/>
      <c r="C256" s="204"/>
      <c r="D256" s="204"/>
      <c r="E256" s="204"/>
      <c r="F256" s="199"/>
      <c r="G256" s="200"/>
      <c r="H256" s="201"/>
      <c r="I256" s="66"/>
      <c r="J256" s="66"/>
      <c r="K256" s="66"/>
      <c r="L256" s="66"/>
      <c r="M256" s="66"/>
      <c r="N256" s="66"/>
      <c r="O256" s="66"/>
      <c r="P256" s="66"/>
      <c r="Q256" s="66"/>
    </row>
    <row r="257" spans="2:52" customFormat="1" x14ac:dyDescent="0.3">
      <c r="B257" s="339" t="s">
        <v>155</v>
      </c>
      <c r="C257" s="340"/>
      <c r="D257" s="340"/>
      <c r="E257" s="340"/>
      <c r="F257" s="199"/>
      <c r="G257" s="200"/>
      <c r="H257" s="201" t="s">
        <v>337</v>
      </c>
      <c r="I257" s="66"/>
      <c r="J257" s="66"/>
      <c r="K257" s="66"/>
      <c r="L257" s="66"/>
      <c r="M257" s="66"/>
      <c r="N257" s="66"/>
      <c r="O257" s="66"/>
      <c r="P257" s="66"/>
      <c r="Q257" s="66"/>
      <c r="AA257" s="205" t="s">
        <v>155</v>
      </c>
    </row>
    <row r="258" spans="2:52" customFormat="1" x14ac:dyDescent="0.3">
      <c r="B258" s="207"/>
      <c r="C258" s="208"/>
      <c r="D258" s="208"/>
      <c r="E258" s="208"/>
      <c r="F258" s="199"/>
      <c r="G258" s="200"/>
      <c r="H258" s="201"/>
      <c r="I258" s="66"/>
      <c r="J258" s="66"/>
      <c r="K258" s="66"/>
      <c r="L258" s="66"/>
      <c r="M258" s="66"/>
      <c r="N258" s="66"/>
      <c r="O258" s="66"/>
      <c r="P258" s="66"/>
      <c r="Q258" s="66"/>
    </row>
    <row r="259" spans="2:52" customFormat="1" x14ac:dyDescent="0.3">
      <c r="B259" s="332" t="s">
        <v>162</v>
      </c>
      <c r="C259" s="337"/>
      <c r="D259" s="209" t="s">
        <v>89</v>
      </c>
      <c r="E259" s="210">
        <f>'6. Rev2Cost_GDPIPI'!$G$22</f>
        <v>8.5638000000000005</v>
      </c>
      <c r="F259" s="199"/>
      <c r="G259" s="200"/>
      <c r="H259" s="201" t="s">
        <v>334</v>
      </c>
      <c r="I259" s="66"/>
      <c r="J259" s="66"/>
      <c r="K259" s="66"/>
      <c r="L259" s="66"/>
      <c r="M259" s="66" t="s">
        <v>338</v>
      </c>
      <c r="N259" s="66"/>
      <c r="O259" s="66"/>
      <c r="P259" s="66"/>
      <c r="Q259" s="66"/>
      <c r="Z259" s="126" t="s">
        <v>338</v>
      </c>
    </row>
    <row r="260" spans="2:52" customFormat="1" x14ac:dyDescent="0.3">
      <c r="B260" s="332" t="s">
        <v>158</v>
      </c>
      <c r="C260" s="337"/>
      <c r="D260" s="209" t="s">
        <v>13</v>
      </c>
      <c r="E260" s="212">
        <f>'6. Rev2Cost_GDPIPI'!$H$22</f>
        <v>1.559835E-2</v>
      </c>
      <c r="F260" s="199"/>
      <c r="G260" s="200"/>
      <c r="H260" s="201" t="s">
        <v>334</v>
      </c>
      <c r="I260" s="66"/>
      <c r="J260" s="66"/>
      <c r="K260" s="66"/>
      <c r="L260" s="66"/>
      <c r="M260" s="66" t="s">
        <v>339</v>
      </c>
      <c r="N260" s="66"/>
      <c r="O260" s="66"/>
      <c r="P260" s="66"/>
      <c r="Q260" s="66"/>
      <c r="Z260" s="126" t="s">
        <v>339</v>
      </c>
    </row>
    <row r="261" spans="2:52" customFormat="1" x14ac:dyDescent="0.3">
      <c r="B261" s="332" t="s">
        <v>449</v>
      </c>
      <c r="C261" s="333"/>
      <c r="D261" s="209" t="s">
        <v>13</v>
      </c>
      <c r="E261" s="120">
        <f>+'5. Summary of Def-Var RR'!E10</f>
        <v>3.3779802421608253E-4</v>
      </c>
      <c r="F261" s="199"/>
      <c r="G261" s="200"/>
      <c r="H261" s="201" t="s">
        <v>334</v>
      </c>
      <c r="I261" s="66"/>
      <c r="J261" s="66"/>
      <c r="K261" s="66"/>
      <c r="L261" s="66"/>
      <c r="M261" s="66" t="s">
        <v>340</v>
      </c>
      <c r="N261" s="66"/>
      <c r="O261" s="66"/>
      <c r="P261" s="66"/>
      <c r="Q261" s="66"/>
      <c r="Z261" s="126" t="s">
        <v>341</v>
      </c>
    </row>
    <row r="262" spans="2:52" customFormat="1" ht="25.5" customHeight="1" x14ac:dyDescent="0.3">
      <c r="B262" s="332" t="s">
        <v>451</v>
      </c>
      <c r="C262" s="333"/>
      <c r="D262" s="209" t="s">
        <v>13</v>
      </c>
      <c r="E262" s="120">
        <f>'5. Summary of Def-Var RR'!F24</f>
        <v>2.3336007456497619E-3</v>
      </c>
      <c r="F262" s="199"/>
      <c r="G262" s="200"/>
      <c r="H262" s="201" t="s">
        <v>334</v>
      </c>
      <c r="I262" s="66"/>
      <c r="J262" s="66"/>
      <c r="K262" s="66"/>
      <c r="L262" s="66"/>
      <c r="M262" s="66" t="s">
        <v>342</v>
      </c>
      <c r="N262" s="66"/>
      <c r="O262" s="66"/>
      <c r="P262" s="66"/>
      <c r="Q262" s="66"/>
      <c r="Z262" s="126" t="s">
        <v>343</v>
      </c>
    </row>
    <row r="263" spans="2:52" customFormat="1" x14ac:dyDescent="0.3">
      <c r="B263" s="332" t="s">
        <v>159</v>
      </c>
      <c r="C263" s="337"/>
      <c r="D263" s="209" t="s">
        <v>13</v>
      </c>
      <c r="E263" s="213">
        <v>2.0000000000000001E-4</v>
      </c>
      <c r="F263" s="199"/>
      <c r="G263" s="200"/>
      <c r="H263" s="201" t="s">
        <v>334</v>
      </c>
      <c r="I263" s="66"/>
      <c r="J263" s="66"/>
      <c r="K263" s="66"/>
      <c r="L263" s="66"/>
      <c r="M263" s="66" t="s">
        <v>344</v>
      </c>
      <c r="N263" s="66"/>
      <c r="O263" s="66"/>
      <c r="P263" s="66"/>
      <c r="Q263" s="66"/>
      <c r="Z263" s="126" t="s">
        <v>159</v>
      </c>
    </row>
    <row r="264" spans="2:52" customFormat="1" x14ac:dyDescent="0.3">
      <c r="B264" s="332" t="s">
        <v>462</v>
      </c>
      <c r="C264" s="344"/>
      <c r="D264" s="209" t="s">
        <v>17</v>
      </c>
      <c r="E264" s="213">
        <f>'[8]2016 IRM Foregone Rev (Base)'!$O$9</f>
        <v>2.9999999999999997E-4</v>
      </c>
      <c r="F264" s="199"/>
      <c r="G264" s="200"/>
      <c r="H264" s="201"/>
      <c r="I264" s="66"/>
      <c r="J264" s="66"/>
      <c r="K264" s="66"/>
      <c r="L264" s="66"/>
      <c r="M264" s="66"/>
      <c r="N264" s="66"/>
      <c r="O264" s="66"/>
      <c r="P264" s="66"/>
      <c r="Q264" s="66"/>
      <c r="Z264" s="126"/>
    </row>
    <row r="265" spans="2:52" customFormat="1" x14ac:dyDescent="0.3">
      <c r="B265" s="332" t="s">
        <v>86</v>
      </c>
      <c r="C265" s="337"/>
      <c r="D265" s="209" t="s">
        <v>13</v>
      </c>
      <c r="E265" s="212">
        <f>'[9]14. RTSR Rates to Forecast'!$J$47</f>
        <v>7.2227959077614552E-3</v>
      </c>
      <c r="F265" s="199"/>
      <c r="G265" s="200"/>
      <c r="H265" s="201" t="s">
        <v>334</v>
      </c>
      <c r="I265" s="66"/>
      <c r="J265" s="66"/>
      <c r="K265" s="66"/>
      <c r="L265" s="66"/>
      <c r="M265" s="66" t="s">
        <v>345</v>
      </c>
      <c r="N265" s="66"/>
      <c r="O265" s="66"/>
      <c r="P265" s="66"/>
      <c r="Q265" s="66"/>
      <c r="Z265" s="126" t="s">
        <v>345</v>
      </c>
      <c r="AZ265" t="s">
        <v>346</v>
      </c>
    </row>
    <row r="266" spans="2:52" customFormat="1" x14ac:dyDescent="0.3">
      <c r="B266" s="332" t="s">
        <v>87</v>
      </c>
      <c r="C266" s="337"/>
      <c r="D266" s="209" t="s">
        <v>13</v>
      </c>
      <c r="E266" s="212">
        <f>'[9]14. RTSR Rates to Forecast'!$J$59</f>
        <v>5.8035526207134407E-3</v>
      </c>
      <c r="F266" s="199"/>
      <c r="G266" s="200"/>
      <c r="H266" s="201" t="s">
        <v>334</v>
      </c>
      <c r="I266" s="66"/>
      <c r="J266" s="66"/>
      <c r="K266" s="66"/>
      <c r="L266" s="66"/>
      <c r="M266" s="66" t="s">
        <v>347</v>
      </c>
      <c r="N266" s="66"/>
      <c r="O266" s="66"/>
      <c r="P266" s="66"/>
      <c r="Q266" s="66"/>
      <c r="Z266" s="126" t="s">
        <v>347</v>
      </c>
      <c r="AZ266" t="s">
        <v>348</v>
      </c>
    </row>
    <row r="267" spans="2:52" customFormat="1" x14ac:dyDescent="0.3">
      <c r="B267" s="339" t="s">
        <v>160</v>
      </c>
      <c r="C267" s="337"/>
      <c r="D267" s="209"/>
      <c r="E267" s="216"/>
      <c r="F267" s="199"/>
      <c r="G267" s="200"/>
      <c r="H267" s="201" t="s">
        <v>349</v>
      </c>
      <c r="I267" s="66"/>
      <c r="J267" s="66"/>
      <c r="K267" s="66"/>
      <c r="L267" s="66"/>
      <c r="M267" s="66"/>
      <c r="N267" s="66"/>
      <c r="O267" s="66"/>
      <c r="P267" s="66"/>
      <c r="Q267" s="66"/>
      <c r="Z267" s="205" t="s">
        <v>160</v>
      </c>
    </row>
    <row r="268" spans="2:52" customFormat="1" x14ac:dyDescent="0.3">
      <c r="B268" s="207"/>
      <c r="C268" s="215"/>
      <c r="D268" s="209"/>
      <c r="E268" s="216"/>
      <c r="F268" s="199"/>
      <c r="G268" s="200"/>
      <c r="H268" s="201"/>
      <c r="I268" s="66"/>
      <c r="J268" s="66"/>
      <c r="K268" s="66"/>
      <c r="L268" s="66"/>
      <c r="M268" s="66"/>
      <c r="N268" s="66"/>
      <c r="O268" s="66"/>
      <c r="P268" s="66"/>
      <c r="Q268" s="66"/>
    </row>
    <row r="269" spans="2:52" customFormat="1" x14ac:dyDescent="0.3">
      <c r="B269" s="332" t="s">
        <v>147</v>
      </c>
      <c r="C269" s="337"/>
      <c r="D269" s="209" t="s">
        <v>13</v>
      </c>
      <c r="E269" s="216">
        <v>3.5999999999999999E-3</v>
      </c>
      <c r="F269" s="199"/>
      <c r="G269" s="200"/>
      <c r="H269" s="201" t="s">
        <v>334</v>
      </c>
      <c r="I269" s="66"/>
      <c r="J269" s="66"/>
      <c r="K269" s="66"/>
      <c r="L269" s="66"/>
      <c r="M269" s="66" t="s">
        <v>350</v>
      </c>
      <c r="N269" s="66"/>
      <c r="O269" s="66"/>
      <c r="P269" s="66"/>
      <c r="Q269" s="66"/>
      <c r="Z269" s="126" t="s">
        <v>147</v>
      </c>
    </row>
    <row r="270" spans="2:52" customFormat="1" x14ac:dyDescent="0.3">
      <c r="B270" s="332" t="s">
        <v>148</v>
      </c>
      <c r="C270" s="337"/>
      <c r="D270" s="209" t="s">
        <v>13</v>
      </c>
      <c r="E270" s="216">
        <v>1.2999999999999999E-3</v>
      </c>
      <c r="F270" s="199"/>
      <c r="G270" s="200"/>
      <c r="H270" s="201" t="s">
        <v>334</v>
      </c>
      <c r="I270" s="66"/>
      <c r="J270" s="66"/>
      <c r="K270" s="66"/>
      <c r="L270" s="66"/>
      <c r="M270" s="66" t="s">
        <v>351</v>
      </c>
      <c r="N270" s="66"/>
      <c r="O270" s="66"/>
      <c r="P270" s="66"/>
      <c r="Q270" s="66"/>
      <c r="Z270" s="126" t="s">
        <v>148</v>
      </c>
    </row>
    <row r="271" spans="2:52" customFormat="1" x14ac:dyDescent="0.3">
      <c r="B271" s="332" t="s">
        <v>463</v>
      </c>
      <c r="C271" s="337"/>
      <c r="D271" s="209" t="s">
        <v>13</v>
      </c>
      <c r="E271" s="216">
        <v>1.1000000000000001E-3</v>
      </c>
      <c r="F271" s="199"/>
      <c r="G271" s="200"/>
      <c r="H271" s="201"/>
      <c r="I271" s="66"/>
      <c r="J271" s="66"/>
      <c r="K271" s="66"/>
      <c r="L271" s="66"/>
      <c r="M271" s="66"/>
      <c r="N271" s="66"/>
      <c r="O271" s="66"/>
      <c r="P271" s="66"/>
      <c r="Q271" s="66"/>
      <c r="Z271" s="126"/>
    </row>
    <row r="272" spans="2:52" customFormat="1" x14ac:dyDescent="0.3">
      <c r="B272" s="332" t="s">
        <v>149</v>
      </c>
      <c r="C272" s="337"/>
      <c r="D272" s="209" t="s">
        <v>89</v>
      </c>
      <c r="E272" s="216">
        <v>0.25</v>
      </c>
      <c r="F272" s="199"/>
      <c r="G272" s="200"/>
      <c r="H272" s="201" t="s">
        <v>334</v>
      </c>
      <c r="I272" s="66"/>
      <c r="J272" s="66"/>
      <c r="K272" s="66"/>
      <c r="L272" s="66"/>
      <c r="M272" s="66" t="s">
        <v>352</v>
      </c>
      <c r="N272" s="66"/>
      <c r="O272" s="66"/>
      <c r="P272" s="66"/>
      <c r="Q272" s="66"/>
      <c r="Z272" s="126" t="s">
        <v>149</v>
      </c>
      <c r="AS272" t="s">
        <v>235</v>
      </c>
    </row>
    <row r="273" spans="2:27" customFormat="1" ht="18" customHeight="1" x14ac:dyDescent="0.3">
      <c r="B273" s="334" t="s">
        <v>145</v>
      </c>
      <c r="C273" s="335"/>
      <c r="D273" s="335"/>
      <c r="E273" s="335"/>
      <c r="F273" s="199"/>
      <c r="G273" s="200"/>
      <c r="H273" s="201" t="s">
        <v>353</v>
      </c>
      <c r="I273" s="66"/>
      <c r="J273" s="66"/>
      <c r="K273" s="66"/>
      <c r="L273" s="66"/>
      <c r="M273" s="66"/>
      <c r="N273" s="66"/>
      <c r="O273" s="66"/>
      <c r="P273" s="66"/>
      <c r="Q273" s="66"/>
      <c r="AA273" s="203" t="s">
        <v>145</v>
      </c>
    </row>
    <row r="274" spans="2:27" customFormat="1" ht="60" customHeight="1" x14ac:dyDescent="0.3">
      <c r="B274" s="336" t="s">
        <v>511</v>
      </c>
      <c r="C274" s="335"/>
      <c r="D274" s="335"/>
      <c r="E274" s="335"/>
      <c r="F274" s="199"/>
      <c r="G274" s="200"/>
      <c r="H274" s="201" t="s">
        <v>353</v>
      </c>
      <c r="I274" s="66"/>
      <c r="J274" s="66"/>
      <c r="K274" s="66"/>
      <c r="L274" s="66"/>
      <c r="M274" s="66"/>
      <c r="N274" s="66"/>
      <c r="O274" s="66"/>
      <c r="P274" s="66"/>
      <c r="Q274" s="66"/>
      <c r="AA274" s="124" t="s">
        <v>166</v>
      </c>
    </row>
    <row r="275" spans="2:27" customFormat="1" ht="12.75" customHeight="1" x14ac:dyDescent="0.3">
      <c r="B275" s="125"/>
      <c r="C275" s="204"/>
      <c r="D275" s="204"/>
      <c r="E275" s="204"/>
      <c r="F275" s="199"/>
      <c r="G275" s="200"/>
      <c r="H275" s="201"/>
      <c r="I275" s="66"/>
      <c r="J275" s="66"/>
      <c r="K275" s="66"/>
      <c r="L275" s="66"/>
      <c r="M275" s="66"/>
      <c r="N275" s="66"/>
      <c r="O275" s="66"/>
      <c r="P275" s="66"/>
      <c r="Q275" s="66"/>
    </row>
    <row r="276" spans="2:27" customFormat="1" x14ac:dyDescent="0.3">
      <c r="B276" s="338" t="s">
        <v>108</v>
      </c>
      <c r="C276" s="335"/>
      <c r="D276" s="335"/>
      <c r="E276" s="335"/>
      <c r="F276" s="199"/>
      <c r="G276" s="200"/>
      <c r="H276" s="201" t="s">
        <v>354</v>
      </c>
      <c r="I276" s="66"/>
      <c r="J276" s="66"/>
      <c r="K276" s="66"/>
      <c r="L276" s="66"/>
      <c r="M276" s="66"/>
      <c r="N276" s="66"/>
      <c r="O276" s="66"/>
      <c r="P276" s="66"/>
      <c r="Q276" s="66"/>
      <c r="AA276" s="205" t="s">
        <v>108</v>
      </c>
    </row>
    <row r="277" spans="2:27" customFormat="1" ht="13.5" customHeight="1" x14ac:dyDescent="0.3">
      <c r="B277" s="206"/>
      <c r="C277" s="204"/>
      <c r="D277" s="204"/>
      <c r="E277" s="204"/>
      <c r="F277" s="199"/>
      <c r="G277" s="200"/>
      <c r="H277" s="201"/>
      <c r="I277" s="66"/>
      <c r="J277" s="66"/>
      <c r="K277" s="66"/>
      <c r="L277" s="66"/>
      <c r="M277" s="66"/>
      <c r="N277" s="66"/>
      <c r="O277" s="66"/>
      <c r="P277" s="66"/>
      <c r="Q277" s="66"/>
    </row>
    <row r="278" spans="2:27" customFormat="1" ht="34.200000000000003" x14ac:dyDescent="0.3">
      <c r="B278" s="336" t="s">
        <v>109</v>
      </c>
      <c r="C278" s="335"/>
      <c r="D278" s="335"/>
      <c r="E278" s="335"/>
      <c r="F278" s="199"/>
      <c r="G278" s="200"/>
      <c r="H278" s="201" t="s">
        <v>353</v>
      </c>
      <c r="I278" s="66"/>
      <c r="J278" s="66"/>
      <c r="K278" s="66"/>
      <c r="L278" s="66"/>
      <c r="M278" s="66"/>
      <c r="N278" s="66"/>
      <c r="O278" s="66"/>
      <c r="P278" s="66"/>
      <c r="Q278" s="66"/>
      <c r="AA278" s="124" t="s">
        <v>109</v>
      </c>
    </row>
    <row r="279" spans="2:27" customFormat="1" x14ac:dyDescent="0.3">
      <c r="B279" s="125"/>
      <c r="C279" s="204"/>
      <c r="D279" s="204"/>
      <c r="E279" s="204"/>
      <c r="F279" s="199"/>
      <c r="G279" s="200"/>
      <c r="H279" s="201"/>
      <c r="I279" s="66"/>
      <c r="J279" s="66"/>
      <c r="K279" s="66"/>
      <c r="L279" s="66"/>
      <c r="M279" s="66"/>
      <c r="N279" s="66"/>
      <c r="O279" s="66"/>
      <c r="P279" s="66"/>
      <c r="Q279" s="66"/>
    </row>
    <row r="280" spans="2:27" customFormat="1" ht="45.6" x14ac:dyDescent="0.3">
      <c r="B280" s="336" t="s">
        <v>154</v>
      </c>
      <c r="C280" s="335"/>
      <c r="D280" s="335"/>
      <c r="E280" s="335"/>
      <c r="F280" s="199"/>
      <c r="G280" s="200"/>
      <c r="H280" s="201" t="s">
        <v>353</v>
      </c>
      <c r="I280" s="66"/>
      <c r="J280" s="66"/>
      <c r="K280" s="66"/>
      <c r="L280" s="66"/>
      <c r="M280" s="66"/>
      <c r="N280" s="66"/>
      <c r="O280" s="66"/>
      <c r="P280" s="66"/>
      <c r="Q280" s="66"/>
      <c r="AA280" s="124" t="s">
        <v>154</v>
      </c>
    </row>
    <row r="281" spans="2:27" customFormat="1" x14ac:dyDescent="0.3">
      <c r="B281" s="125"/>
      <c r="C281" s="204"/>
      <c r="D281" s="204"/>
      <c r="E281" s="204"/>
      <c r="F281" s="199"/>
      <c r="G281" s="200"/>
      <c r="H281" s="201"/>
      <c r="I281" s="66"/>
      <c r="J281" s="66"/>
      <c r="K281" s="66"/>
      <c r="L281" s="66"/>
      <c r="M281" s="66"/>
      <c r="N281" s="66"/>
      <c r="O281" s="66"/>
      <c r="P281" s="66"/>
      <c r="Q281" s="66"/>
    </row>
    <row r="282" spans="2:27" customFormat="1" ht="45.6" x14ac:dyDescent="0.3">
      <c r="B282" s="336" t="s">
        <v>260</v>
      </c>
      <c r="C282" s="335"/>
      <c r="D282" s="335"/>
      <c r="E282" s="335"/>
      <c r="F282" s="199"/>
      <c r="G282" s="200"/>
      <c r="H282" s="201" t="s">
        <v>353</v>
      </c>
      <c r="I282" s="66"/>
      <c r="J282" s="66"/>
      <c r="K282" s="66"/>
      <c r="L282" s="66"/>
      <c r="M282" s="66"/>
      <c r="N282" s="66"/>
      <c r="O282" s="66"/>
      <c r="P282" s="66"/>
      <c r="Q282" s="66"/>
      <c r="AA282" s="124" t="s">
        <v>260</v>
      </c>
    </row>
    <row r="283" spans="2:27" customFormat="1" x14ac:dyDescent="0.3">
      <c r="B283" s="125"/>
      <c r="C283" s="204"/>
      <c r="D283" s="204"/>
      <c r="E283" s="204"/>
      <c r="F283" s="199"/>
      <c r="G283" s="200"/>
      <c r="H283" s="201"/>
      <c r="I283" s="66"/>
      <c r="J283" s="66"/>
      <c r="K283" s="66"/>
      <c r="L283" s="66"/>
      <c r="M283" s="66"/>
      <c r="N283" s="66"/>
      <c r="O283" s="66"/>
      <c r="P283" s="66"/>
      <c r="Q283" s="66"/>
    </row>
    <row r="284" spans="2:27" customFormat="1" ht="34.200000000000003" x14ac:dyDescent="0.3">
      <c r="B284" s="336" t="s">
        <v>506</v>
      </c>
      <c r="C284" s="335"/>
      <c r="D284" s="335"/>
      <c r="E284" s="335"/>
      <c r="F284" s="199"/>
      <c r="G284" s="200"/>
      <c r="H284" s="201" t="s">
        <v>353</v>
      </c>
      <c r="I284" s="66"/>
      <c r="J284" s="66"/>
      <c r="K284" s="66"/>
      <c r="L284" s="66"/>
      <c r="M284" s="66"/>
      <c r="N284" s="66"/>
      <c r="O284" s="66"/>
      <c r="P284" s="66"/>
      <c r="Q284" s="66"/>
      <c r="AA284" s="124" t="s">
        <v>171</v>
      </c>
    </row>
    <row r="285" spans="2:27" customFormat="1" x14ac:dyDescent="0.3">
      <c r="B285" s="125"/>
      <c r="C285" s="204"/>
      <c r="D285" s="204"/>
      <c r="E285" s="204"/>
      <c r="F285" s="199"/>
      <c r="G285" s="200"/>
      <c r="H285" s="201"/>
      <c r="I285" s="66"/>
      <c r="J285" s="66"/>
      <c r="K285" s="66"/>
      <c r="L285" s="66"/>
      <c r="M285" s="66"/>
      <c r="N285" s="66"/>
      <c r="O285" s="66"/>
      <c r="P285" s="66"/>
      <c r="Q285" s="66"/>
    </row>
    <row r="286" spans="2:27" customFormat="1" x14ac:dyDescent="0.3">
      <c r="B286" s="339" t="s">
        <v>155</v>
      </c>
      <c r="C286" s="340"/>
      <c r="D286" s="340"/>
      <c r="E286" s="340"/>
      <c r="F286" s="199"/>
      <c r="G286" s="200"/>
      <c r="H286" s="201" t="s">
        <v>355</v>
      </c>
      <c r="I286" s="66"/>
      <c r="J286" s="66"/>
      <c r="K286" s="66"/>
      <c r="L286" s="66"/>
      <c r="M286" s="66"/>
      <c r="N286" s="66"/>
      <c r="O286" s="66"/>
      <c r="P286" s="66"/>
      <c r="Q286" s="66"/>
      <c r="AA286" s="205" t="s">
        <v>155</v>
      </c>
    </row>
    <row r="287" spans="2:27" customFormat="1" x14ac:dyDescent="0.3">
      <c r="B287" s="207"/>
      <c r="C287" s="208"/>
      <c r="D287" s="208"/>
      <c r="E287" s="208"/>
      <c r="F287" s="199"/>
      <c r="G287" s="200"/>
      <c r="H287" s="201"/>
      <c r="I287" s="66"/>
      <c r="J287" s="66"/>
      <c r="K287" s="66"/>
      <c r="L287" s="66"/>
      <c r="M287" s="66"/>
      <c r="N287" s="66"/>
      <c r="O287" s="66"/>
      <c r="P287" s="66"/>
      <c r="Q287" s="66"/>
    </row>
    <row r="288" spans="2:27" customFormat="1" x14ac:dyDescent="0.3">
      <c r="B288" s="332" t="s">
        <v>167</v>
      </c>
      <c r="C288" s="337"/>
      <c r="D288" s="209" t="s">
        <v>89</v>
      </c>
      <c r="E288" s="210">
        <f>'6. Rev2Cost_GDPIPI'!$G$23</f>
        <v>1.437495</v>
      </c>
      <c r="F288" s="199"/>
      <c r="G288" s="200"/>
      <c r="H288" s="201" t="s">
        <v>353</v>
      </c>
      <c r="I288" s="66"/>
      <c r="J288" s="66"/>
      <c r="K288" s="66"/>
      <c r="L288" s="66"/>
      <c r="M288" s="66" t="s">
        <v>356</v>
      </c>
      <c r="N288" s="66"/>
      <c r="O288" s="66"/>
      <c r="P288" s="66"/>
      <c r="Q288" s="66"/>
      <c r="Z288" s="126" t="s">
        <v>356</v>
      </c>
    </row>
    <row r="289" spans="2:52" customFormat="1" x14ac:dyDescent="0.3">
      <c r="B289" s="332" t="s">
        <v>158</v>
      </c>
      <c r="C289" s="337"/>
      <c r="D289" s="209" t="s">
        <v>17</v>
      </c>
      <c r="E289" s="212">
        <f>'6. Rev2Cost_GDPIPI'!$H$23</f>
        <v>10.9832774</v>
      </c>
      <c r="F289" s="199"/>
      <c r="G289" s="200"/>
      <c r="H289" s="201" t="s">
        <v>353</v>
      </c>
      <c r="I289" s="66"/>
      <c r="J289" s="66"/>
      <c r="K289" s="66"/>
      <c r="L289" s="66"/>
      <c r="M289" s="66" t="s">
        <v>357</v>
      </c>
      <c r="N289" s="66"/>
      <c r="O289" s="66"/>
      <c r="P289" s="66"/>
      <c r="Q289" s="66"/>
      <c r="Z289" s="126" t="s">
        <v>357</v>
      </c>
    </row>
    <row r="290" spans="2:52" customFormat="1" x14ac:dyDescent="0.3">
      <c r="B290" s="332" t="s">
        <v>449</v>
      </c>
      <c r="C290" s="333"/>
      <c r="D290" s="209" t="s">
        <v>358</v>
      </c>
      <c r="E290" s="120">
        <f>+'5. Summary of Def-Var RR'!E17</f>
        <v>0.17661095710617547</v>
      </c>
      <c r="F290" s="199"/>
      <c r="G290" s="200"/>
      <c r="H290" s="201" t="s">
        <v>353</v>
      </c>
      <c r="I290" s="66"/>
      <c r="J290" s="66"/>
      <c r="K290" s="66"/>
      <c r="L290" s="66"/>
      <c r="M290" s="66" t="s">
        <v>359</v>
      </c>
      <c r="N290" s="66"/>
      <c r="O290" s="66"/>
      <c r="P290" s="66"/>
      <c r="Q290" s="66"/>
      <c r="Z290" s="126" t="s">
        <v>360</v>
      </c>
    </row>
    <row r="291" spans="2:52" customFormat="1" ht="25.5" customHeight="1" x14ac:dyDescent="0.3">
      <c r="B291" s="332" t="s">
        <v>451</v>
      </c>
      <c r="C291" s="333"/>
      <c r="D291" s="209" t="s">
        <v>358</v>
      </c>
      <c r="E291" s="120">
        <f>'5. Summary of Def-Var RR'!F31</f>
        <v>1.2104268347777023</v>
      </c>
      <c r="F291" s="199"/>
      <c r="G291" s="200"/>
      <c r="H291" s="201" t="s">
        <v>353</v>
      </c>
      <c r="I291" s="66"/>
      <c r="J291" s="66"/>
      <c r="K291" s="66"/>
      <c r="L291" s="66"/>
      <c r="M291" s="66"/>
      <c r="N291" s="66"/>
      <c r="O291" s="66"/>
      <c r="P291" s="66"/>
      <c r="Q291" s="66"/>
      <c r="Z291" s="126" t="s">
        <v>361</v>
      </c>
    </row>
    <row r="292" spans="2:52" customFormat="1" x14ac:dyDescent="0.3">
      <c r="B292" s="332" t="s">
        <v>159</v>
      </c>
      <c r="C292" s="337"/>
      <c r="D292" s="209" t="s">
        <v>17</v>
      </c>
      <c r="E292" s="213">
        <v>5.8000000000000003E-2</v>
      </c>
      <c r="F292" s="199"/>
      <c r="G292" s="200"/>
      <c r="H292" s="201" t="s">
        <v>353</v>
      </c>
      <c r="I292" s="66"/>
      <c r="J292" s="66"/>
      <c r="K292" s="66"/>
      <c r="L292" s="66"/>
      <c r="M292" s="66" t="s">
        <v>362</v>
      </c>
      <c r="N292" s="66"/>
      <c r="O292" s="66"/>
      <c r="P292" s="66"/>
      <c r="Q292" s="66"/>
      <c r="Z292" s="126" t="s">
        <v>159</v>
      </c>
    </row>
    <row r="293" spans="2:52" customFormat="1" x14ac:dyDescent="0.3">
      <c r="B293" s="332" t="s">
        <v>457</v>
      </c>
      <c r="C293" s="344"/>
      <c r="D293" s="209" t="s">
        <v>17</v>
      </c>
      <c r="E293" s="213">
        <f>+'8. Shared Tax - Rate Rider'!F35</f>
        <v>5.2053544734660786E-3</v>
      </c>
      <c r="F293" s="199"/>
      <c r="G293" s="200"/>
      <c r="H293" s="201"/>
      <c r="I293" s="66"/>
      <c r="J293" s="66"/>
      <c r="K293" s="66"/>
      <c r="L293" s="66"/>
      <c r="M293" s="66"/>
      <c r="N293" s="66"/>
      <c r="O293" s="66"/>
      <c r="P293" s="66"/>
      <c r="Q293" s="66"/>
      <c r="Z293" s="126"/>
    </row>
    <row r="294" spans="2:52" customFormat="1" x14ac:dyDescent="0.3">
      <c r="B294" s="332" t="s">
        <v>462</v>
      </c>
      <c r="C294" s="344"/>
      <c r="D294" s="209" t="s">
        <v>17</v>
      </c>
      <c r="E294" s="213">
        <f>'[8]2016 IRM Foregone Rev (Base)'!$O$13</f>
        <v>0.14069999999999999</v>
      </c>
      <c r="F294" s="199"/>
      <c r="G294" s="200"/>
      <c r="H294" s="201"/>
      <c r="I294" s="66"/>
      <c r="J294" s="66"/>
      <c r="K294" s="66"/>
      <c r="L294" s="66"/>
      <c r="M294" s="66"/>
      <c r="N294" s="66"/>
      <c r="O294" s="66"/>
      <c r="P294" s="66"/>
      <c r="Q294" s="66"/>
      <c r="Z294" s="126"/>
    </row>
    <row r="295" spans="2:52" customFormat="1" x14ac:dyDescent="0.3">
      <c r="B295" s="332" t="s">
        <v>86</v>
      </c>
      <c r="C295" s="332"/>
      <c r="D295" s="209" t="s">
        <v>17</v>
      </c>
      <c r="E295" s="238">
        <f>'[9]14. RTSR Rates to Forecast'!$J$48</f>
        <v>1.9264906109964786</v>
      </c>
      <c r="F295" s="199"/>
      <c r="G295" s="200"/>
      <c r="H295" s="201" t="s">
        <v>353</v>
      </c>
      <c r="I295" s="66"/>
      <c r="J295" s="66"/>
      <c r="K295" s="66"/>
      <c r="L295" s="66"/>
      <c r="M295" s="66" t="s">
        <v>363</v>
      </c>
      <c r="N295" s="66"/>
      <c r="O295" s="66"/>
      <c r="P295" s="66"/>
      <c r="Q295" s="66"/>
      <c r="Z295" s="126" t="s">
        <v>363</v>
      </c>
      <c r="AZ295" t="s">
        <v>364</v>
      </c>
    </row>
    <row r="296" spans="2:52" customFormat="1" x14ac:dyDescent="0.3">
      <c r="B296" s="332" t="s">
        <v>87</v>
      </c>
      <c r="C296" s="337"/>
      <c r="D296" s="209" t="s">
        <v>17</v>
      </c>
      <c r="E296" s="212">
        <f>'[9]14. RTSR Rates to Forecast'!$J$60</f>
        <v>1.6456181395317646</v>
      </c>
      <c r="F296" s="199"/>
      <c r="G296" s="200"/>
      <c r="H296" s="201" t="s">
        <v>353</v>
      </c>
      <c r="I296" s="66"/>
      <c r="J296" s="66"/>
      <c r="K296" s="66"/>
      <c r="L296" s="66"/>
      <c r="M296" s="66" t="s">
        <v>365</v>
      </c>
      <c r="N296" s="66"/>
      <c r="O296" s="66"/>
      <c r="P296" s="66"/>
      <c r="Q296" s="66"/>
      <c r="Z296" s="126" t="s">
        <v>365</v>
      </c>
      <c r="AZ296" t="s">
        <v>366</v>
      </c>
    </row>
    <row r="297" spans="2:52" customFormat="1" x14ac:dyDescent="0.3">
      <c r="B297" s="214"/>
      <c r="C297" s="215"/>
      <c r="D297" s="209"/>
      <c r="E297" s="213"/>
      <c r="F297" s="199"/>
      <c r="G297" s="200"/>
      <c r="H297" s="201"/>
      <c r="I297" s="66"/>
      <c r="J297" s="66"/>
      <c r="K297" s="66"/>
      <c r="L297" s="66"/>
      <c r="M297" s="66"/>
      <c r="N297" s="66"/>
      <c r="O297" s="66"/>
      <c r="P297" s="66"/>
      <c r="Q297" s="66"/>
    </row>
    <row r="298" spans="2:52" customFormat="1" x14ac:dyDescent="0.3">
      <c r="B298" s="339" t="s">
        <v>160</v>
      </c>
      <c r="C298" s="337"/>
      <c r="D298" s="209"/>
      <c r="E298" s="216"/>
      <c r="F298" s="199"/>
      <c r="G298" s="200"/>
      <c r="H298" s="201" t="s">
        <v>367</v>
      </c>
      <c r="I298" s="66"/>
      <c r="J298" s="66"/>
      <c r="K298" s="66"/>
      <c r="L298" s="66"/>
      <c r="M298" s="66"/>
      <c r="N298" s="66"/>
      <c r="O298" s="66"/>
      <c r="P298" s="66"/>
      <c r="Q298" s="66"/>
      <c r="Z298" s="205" t="s">
        <v>160</v>
      </c>
    </row>
    <row r="299" spans="2:52" customFormat="1" x14ac:dyDescent="0.3">
      <c r="B299" s="207"/>
      <c r="C299" s="215"/>
      <c r="D299" s="209"/>
      <c r="E299" s="216"/>
      <c r="F299" s="199"/>
      <c r="G299" s="200"/>
      <c r="H299" s="201"/>
      <c r="I299" s="66"/>
      <c r="J299" s="66"/>
      <c r="K299" s="66"/>
      <c r="L299" s="66"/>
      <c r="M299" s="66"/>
      <c r="N299" s="66"/>
      <c r="O299" s="66"/>
      <c r="P299" s="66"/>
      <c r="Q299" s="66"/>
    </row>
    <row r="300" spans="2:52" customFormat="1" x14ac:dyDescent="0.3">
      <c r="B300" s="332" t="s">
        <v>147</v>
      </c>
      <c r="C300" s="337"/>
      <c r="D300" s="209" t="s">
        <v>13</v>
      </c>
      <c r="E300" s="216">
        <v>3.5999999999999999E-3</v>
      </c>
      <c r="F300" s="199"/>
      <c r="G300" s="200"/>
      <c r="H300" s="201" t="s">
        <v>353</v>
      </c>
      <c r="I300" s="66"/>
      <c r="J300" s="66"/>
      <c r="K300" s="66"/>
      <c r="L300" s="66"/>
      <c r="M300" s="66" t="s">
        <v>368</v>
      </c>
      <c r="N300" s="66"/>
      <c r="O300" s="66"/>
      <c r="P300" s="66"/>
      <c r="Q300" s="66"/>
      <c r="Z300" s="126" t="s">
        <v>147</v>
      </c>
    </row>
    <row r="301" spans="2:52" customFormat="1" x14ac:dyDescent="0.3">
      <c r="B301" s="332" t="s">
        <v>148</v>
      </c>
      <c r="C301" s="337"/>
      <c r="D301" s="209" t="s">
        <v>13</v>
      </c>
      <c r="E301" s="216">
        <v>1.2999999999999999E-3</v>
      </c>
      <c r="F301" s="199"/>
      <c r="G301" s="200"/>
      <c r="H301" s="201" t="s">
        <v>353</v>
      </c>
      <c r="I301" s="66"/>
      <c r="J301" s="66"/>
      <c r="K301" s="66"/>
      <c r="L301" s="66"/>
      <c r="M301" s="66" t="s">
        <v>369</v>
      </c>
      <c r="N301" s="66"/>
      <c r="O301" s="66"/>
      <c r="P301" s="66"/>
      <c r="Q301" s="66"/>
      <c r="Z301" s="126" t="s">
        <v>148</v>
      </c>
    </row>
    <row r="302" spans="2:52" customFormat="1" x14ac:dyDescent="0.3">
      <c r="B302" s="332" t="s">
        <v>463</v>
      </c>
      <c r="C302" s="337"/>
      <c r="D302" s="209" t="s">
        <v>13</v>
      </c>
      <c r="E302" s="216">
        <v>1.1000000000000001E-3</v>
      </c>
      <c r="F302" s="199"/>
      <c r="G302" s="200"/>
      <c r="H302" s="201"/>
      <c r="I302" s="66"/>
      <c r="J302" s="66"/>
      <c r="K302" s="66"/>
      <c r="L302" s="66"/>
      <c r="M302" s="66"/>
      <c r="N302" s="66"/>
      <c r="O302" s="66"/>
      <c r="P302" s="66"/>
      <c r="Q302" s="66"/>
      <c r="Z302" s="126"/>
    </row>
    <row r="303" spans="2:52" customFormat="1" x14ac:dyDescent="0.3">
      <c r="B303" s="332" t="s">
        <v>149</v>
      </c>
      <c r="C303" s="337"/>
      <c r="D303" s="209" t="s">
        <v>89</v>
      </c>
      <c r="E303" s="216">
        <v>0.25</v>
      </c>
      <c r="F303" s="199"/>
      <c r="G303" s="200"/>
      <c r="H303" s="201" t="s">
        <v>353</v>
      </c>
      <c r="I303" s="66"/>
      <c r="J303" s="66"/>
      <c r="K303" s="66"/>
      <c r="L303" s="66"/>
      <c r="M303" s="66" t="s">
        <v>370</v>
      </c>
      <c r="N303" s="66"/>
      <c r="O303" s="66"/>
      <c r="P303" s="66"/>
      <c r="Q303" s="66"/>
      <c r="Z303" s="126" t="s">
        <v>149</v>
      </c>
      <c r="AS303" t="s">
        <v>235</v>
      </c>
    </row>
    <row r="304" spans="2:52" customFormat="1" ht="18" customHeight="1" x14ac:dyDescent="0.3">
      <c r="B304" s="334" t="s">
        <v>234</v>
      </c>
      <c r="C304" s="335"/>
      <c r="D304" s="335"/>
      <c r="E304" s="335"/>
      <c r="F304" s="199"/>
      <c r="G304" s="200"/>
      <c r="H304" s="201" t="s">
        <v>371</v>
      </c>
      <c r="I304" s="66"/>
      <c r="J304" s="66"/>
      <c r="K304" s="66"/>
      <c r="L304" s="66"/>
      <c r="M304" s="66"/>
      <c r="N304" s="66"/>
      <c r="O304" s="66"/>
      <c r="P304" s="66"/>
      <c r="Q304" s="66"/>
      <c r="AA304" s="203" t="s">
        <v>234</v>
      </c>
    </row>
    <row r="305" spans="2:45" customFormat="1" ht="50.25" customHeight="1" x14ac:dyDescent="0.3">
      <c r="B305" s="336" t="s">
        <v>512</v>
      </c>
      <c r="C305" s="335"/>
      <c r="D305" s="335"/>
      <c r="E305" s="335"/>
      <c r="F305" s="199"/>
      <c r="G305" s="200"/>
      <c r="H305" s="201" t="s">
        <v>371</v>
      </c>
      <c r="I305" s="66"/>
      <c r="J305" s="66"/>
      <c r="K305" s="66"/>
      <c r="L305" s="66"/>
      <c r="M305" s="66"/>
      <c r="N305" s="66"/>
      <c r="O305" s="66"/>
      <c r="P305" s="66"/>
      <c r="Q305" s="66"/>
      <c r="AA305" s="124" t="s">
        <v>168</v>
      </c>
    </row>
    <row r="306" spans="2:45" customFormat="1" x14ac:dyDescent="0.3">
      <c r="B306" s="125"/>
      <c r="C306" s="204"/>
      <c r="D306" s="204"/>
      <c r="E306" s="204"/>
      <c r="F306" s="199"/>
      <c r="G306" s="200"/>
      <c r="H306" s="201"/>
      <c r="I306" s="66"/>
      <c r="J306" s="66"/>
      <c r="K306" s="66"/>
      <c r="L306" s="66"/>
      <c r="M306" s="66"/>
      <c r="N306" s="66"/>
      <c r="O306" s="66"/>
      <c r="P306" s="66"/>
      <c r="Q306" s="66"/>
    </row>
    <row r="307" spans="2:45" customFormat="1" x14ac:dyDescent="0.3">
      <c r="B307" s="338" t="s">
        <v>108</v>
      </c>
      <c r="C307" s="335"/>
      <c r="D307" s="335"/>
      <c r="E307" s="335"/>
      <c r="F307" s="199"/>
      <c r="G307" s="200"/>
      <c r="H307" s="201" t="s">
        <v>372</v>
      </c>
      <c r="I307" s="66"/>
      <c r="J307" s="66"/>
      <c r="K307" s="66"/>
      <c r="L307" s="66"/>
      <c r="M307" s="66"/>
      <c r="N307" s="66"/>
      <c r="O307" s="66"/>
      <c r="P307" s="66"/>
      <c r="Q307" s="66"/>
      <c r="AA307" s="205" t="s">
        <v>108</v>
      </c>
    </row>
    <row r="308" spans="2:45" customFormat="1" x14ac:dyDescent="0.3">
      <c r="B308" s="206"/>
      <c r="C308" s="204"/>
      <c r="D308" s="204"/>
      <c r="E308" s="204"/>
      <c r="F308" s="199"/>
      <c r="G308" s="200"/>
      <c r="H308" s="201"/>
      <c r="I308" s="66"/>
      <c r="J308" s="66"/>
      <c r="K308" s="66"/>
      <c r="L308" s="66"/>
      <c r="M308" s="66"/>
      <c r="N308" s="66"/>
      <c r="O308" s="66"/>
      <c r="P308" s="66"/>
      <c r="Q308" s="66"/>
    </row>
    <row r="309" spans="2:45" customFormat="1" ht="34.200000000000003" x14ac:dyDescent="0.3">
      <c r="B309" s="336" t="s">
        <v>109</v>
      </c>
      <c r="C309" s="335"/>
      <c r="D309" s="335"/>
      <c r="E309" s="335"/>
      <c r="F309" s="199"/>
      <c r="G309" s="200"/>
      <c r="H309" s="201" t="s">
        <v>371</v>
      </c>
      <c r="I309" s="66"/>
      <c r="J309" s="66"/>
      <c r="K309" s="66"/>
      <c r="L309" s="66"/>
      <c r="M309" s="66"/>
      <c r="N309" s="66"/>
      <c r="O309" s="66"/>
      <c r="P309" s="66"/>
      <c r="Q309" s="66"/>
      <c r="AA309" s="124" t="s">
        <v>109</v>
      </c>
    </row>
    <row r="310" spans="2:45" customFormat="1" x14ac:dyDescent="0.3">
      <c r="B310" s="125"/>
      <c r="C310" s="204"/>
      <c r="D310" s="204"/>
      <c r="E310" s="204"/>
      <c r="F310" s="199"/>
      <c r="G310" s="200"/>
      <c r="H310" s="201"/>
      <c r="I310" s="66"/>
      <c r="J310" s="66"/>
      <c r="K310" s="66"/>
      <c r="L310" s="66"/>
      <c r="M310" s="66"/>
      <c r="N310" s="66"/>
      <c r="O310" s="66"/>
      <c r="P310" s="66"/>
      <c r="Q310" s="66"/>
    </row>
    <row r="311" spans="2:45" customFormat="1" ht="45.6" x14ac:dyDescent="0.3">
      <c r="B311" s="336" t="s">
        <v>154</v>
      </c>
      <c r="C311" s="335"/>
      <c r="D311" s="335"/>
      <c r="E311" s="335"/>
      <c r="F311" s="199"/>
      <c r="G311" s="200"/>
      <c r="H311" s="201" t="s">
        <v>371</v>
      </c>
      <c r="I311" s="66"/>
      <c r="J311" s="66"/>
      <c r="K311" s="66"/>
      <c r="L311" s="66"/>
      <c r="M311" s="66"/>
      <c r="N311" s="66"/>
      <c r="O311" s="66"/>
      <c r="P311" s="66"/>
      <c r="Q311" s="66"/>
      <c r="AA311" s="124" t="s">
        <v>154</v>
      </c>
    </row>
    <row r="312" spans="2:45" customFormat="1" x14ac:dyDescent="0.3">
      <c r="B312" s="125"/>
      <c r="C312" s="204"/>
      <c r="D312" s="204"/>
      <c r="E312" s="204"/>
      <c r="F312" s="199"/>
      <c r="G312" s="200"/>
      <c r="H312" s="201"/>
      <c r="I312" s="66"/>
      <c r="J312" s="66"/>
      <c r="K312" s="66"/>
      <c r="L312" s="66"/>
      <c r="M312" s="66"/>
      <c r="N312" s="66"/>
      <c r="O312" s="66"/>
      <c r="P312" s="66"/>
      <c r="Q312" s="66"/>
    </row>
    <row r="313" spans="2:45" customFormat="1" ht="22.8" x14ac:dyDescent="0.3">
      <c r="B313" s="336" t="s">
        <v>123</v>
      </c>
      <c r="C313" s="335"/>
      <c r="D313" s="335"/>
      <c r="E313" s="335"/>
      <c r="F313" s="199"/>
      <c r="G313" s="200"/>
      <c r="H313" s="201" t="s">
        <v>371</v>
      </c>
      <c r="I313" s="66"/>
      <c r="J313" s="66"/>
      <c r="K313" s="66"/>
      <c r="L313" s="66"/>
      <c r="M313" s="66"/>
      <c r="N313" s="66"/>
      <c r="O313" s="66"/>
      <c r="P313" s="66"/>
      <c r="Q313" s="66"/>
      <c r="AA313" s="124" t="s">
        <v>123</v>
      </c>
    </row>
    <row r="314" spans="2:45" customFormat="1" x14ac:dyDescent="0.3">
      <c r="B314" s="125"/>
      <c r="C314" s="204"/>
      <c r="D314" s="204"/>
      <c r="E314" s="204"/>
      <c r="F314" s="199"/>
      <c r="G314" s="200"/>
      <c r="H314" s="201"/>
      <c r="I314" s="66"/>
      <c r="J314" s="66"/>
      <c r="K314" s="66"/>
      <c r="L314" s="66"/>
      <c r="M314" s="66"/>
      <c r="N314" s="66"/>
      <c r="O314" s="66"/>
      <c r="P314" s="66"/>
      <c r="Q314" s="66"/>
    </row>
    <row r="315" spans="2:45" customFormat="1" ht="34.200000000000003" x14ac:dyDescent="0.3">
      <c r="B315" s="336" t="s">
        <v>506</v>
      </c>
      <c r="C315" s="335"/>
      <c r="D315" s="335"/>
      <c r="E315" s="335"/>
      <c r="F315" s="199"/>
      <c r="G315" s="200"/>
      <c r="H315" s="201" t="s">
        <v>371</v>
      </c>
      <c r="I315" s="66"/>
      <c r="J315" s="66"/>
      <c r="K315" s="66"/>
      <c r="L315" s="66"/>
      <c r="M315" s="66"/>
      <c r="N315" s="66"/>
      <c r="O315" s="66"/>
      <c r="P315" s="66"/>
      <c r="Q315" s="66"/>
      <c r="AA315" s="124" t="s">
        <v>171</v>
      </c>
    </row>
    <row r="316" spans="2:45" customFormat="1" x14ac:dyDescent="0.3">
      <c r="B316" s="125"/>
      <c r="C316" s="204"/>
      <c r="D316" s="204"/>
      <c r="E316" s="204"/>
      <c r="F316" s="199"/>
      <c r="G316" s="200"/>
      <c r="H316" s="201"/>
      <c r="I316" s="66"/>
      <c r="J316" s="66"/>
      <c r="K316" s="66"/>
      <c r="L316" s="66"/>
      <c r="M316" s="66"/>
      <c r="N316" s="66"/>
      <c r="O316" s="66"/>
      <c r="P316" s="66"/>
      <c r="Q316" s="66"/>
    </row>
    <row r="317" spans="2:45" customFormat="1" x14ac:dyDescent="0.3">
      <c r="B317" s="339" t="s">
        <v>155</v>
      </c>
      <c r="C317" s="340"/>
      <c r="D317" s="340"/>
      <c r="E317" s="340"/>
      <c r="F317" s="199"/>
      <c r="G317" s="200"/>
      <c r="H317" s="201" t="s">
        <v>373</v>
      </c>
      <c r="I317" s="66"/>
      <c r="J317" s="66"/>
      <c r="K317" s="66"/>
      <c r="L317" s="66"/>
      <c r="M317" s="66"/>
      <c r="N317" s="66"/>
      <c r="O317" s="66"/>
      <c r="P317" s="66"/>
      <c r="Q317" s="66"/>
      <c r="AA317" s="205" t="s">
        <v>155</v>
      </c>
    </row>
    <row r="318" spans="2:45" customFormat="1" x14ac:dyDescent="0.3">
      <c r="B318" s="207"/>
      <c r="C318" s="208"/>
      <c r="D318" s="208"/>
      <c r="E318" s="208"/>
      <c r="F318" s="199"/>
      <c r="G318" s="200"/>
      <c r="H318" s="201"/>
      <c r="I318" s="66"/>
      <c r="J318" s="66"/>
      <c r="K318" s="66"/>
      <c r="L318" s="66"/>
      <c r="M318" s="66"/>
      <c r="N318" s="66"/>
      <c r="O318" s="66"/>
      <c r="P318" s="66"/>
      <c r="Q318" s="66"/>
    </row>
    <row r="319" spans="2:45" customFormat="1" ht="51" customHeight="1" x14ac:dyDescent="0.3">
      <c r="B319" s="345" t="s">
        <v>169</v>
      </c>
      <c r="C319" s="345"/>
      <c r="D319" s="345"/>
      <c r="E319" s="345"/>
      <c r="F319" s="199"/>
      <c r="G319" s="200"/>
      <c r="H319" s="201" t="s">
        <v>371</v>
      </c>
      <c r="I319" s="66"/>
      <c r="J319" s="66"/>
      <c r="K319" s="66"/>
      <c r="L319" s="66"/>
      <c r="M319" s="66"/>
      <c r="N319" s="66"/>
      <c r="O319" s="66"/>
      <c r="P319" s="66"/>
      <c r="Q319" s="66"/>
      <c r="Z319" s="205" t="s">
        <v>169</v>
      </c>
      <c r="AS319" t="s">
        <v>235</v>
      </c>
    </row>
    <row r="320" spans="2:45" customFormat="1" ht="17.399999999999999" x14ac:dyDescent="0.3">
      <c r="B320" s="334" t="s">
        <v>170</v>
      </c>
      <c r="C320" s="335"/>
      <c r="D320" s="335"/>
      <c r="E320" s="335"/>
      <c r="F320" s="199"/>
      <c r="G320" s="200"/>
      <c r="H320" s="201" t="s">
        <v>374</v>
      </c>
      <c r="I320" s="66"/>
      <c r="J320" s="66"/>
      <c r="K320" s="66"/>
      <c r="L320" s="66"/>
      <c r="M320" s="66"/>
      <c r="N320" s="66"/>
      <c r="O320" s="66"/>
      <c r="P320" s="66"/>
      <c r="Q320" s="66"/>
      <c r="AA320" s="203" t="s">
        <v>170</v>
      </c>
    </row>
    <row r="321" spans="2:27" customFormat="1" ht="50.25" customHeight="1" x14ac:dyDescent="0.3">
      <c r="B321" s="336" t="s">
        <v>513</v>
      </c>
      <c r="C321" s="335"/>
      <c r="D321" s="335"/>
      <c r="E321" s="335"/>
      <c r="F321" s="199"/>
      <c r="G321" s="200"/>
      <c r="H321" s="201" t="s">
        <v>374</v>
      </c>
      <c r="I321" s="66"/>
      <c r="J321" s="66"/>
      <c r="K321" s="66"/>
      <c r="L321" s="66"/>
      <c r="M321" s="66"/>
      <c r="N321" s="66"/>
      <c r="O321" s="66"/>
      <c r="P321" s="66"/>
      <c r="Q321" s="66"/>
      <c r="AA321" s="124" t="s">
        <v>375</v>
      </c>
    </row>
    <row r="322" spans="2:27" customFormat="1" x14ac:dyDescent="0.3">
      <c r="B322" s="125"/>
      <c r="C322" s="204"/>
      <c r="D322" s="204"/>
      <c r="E322" s="204"/>
      <c r="F322" s="199"/>
      <c r="G322" s="200"/>
      <c r="H322" s="201"/>
      <c r="I322" s="66"/>
      <c r="J322" s="66"/>
      <c r="K322" s="66"/>
      <c r="L322" s="66"/>
      <c r="M322" s="66"/>
      <c r="N322" s="66"/>
      <c r="O322" s="66"/>
      <c r="P322" s="66"/>
      <c r="Q322" s="66"/>
    </row>
    <row r="323" spans="2:27" customFormat="1" x14ac:dyDescent="0.3">
      <c r="B323" s="338" t="s">
        <v>108</v>
      </c>
      <c r="C323" s="335"/>
      <c r="D323" s="335"/>
      <c r="E323" s="335"/>
      <c r="F323" s="199"/>
      <c r="G323" s="200"/>
      <c r="H323" s="201" t="s">
        <v>376</v>
      </c>
      <c r="I323" s="66"/>
      <c r="J323" s="66"/>
      <c r="K323" s="66"/>
      <c r="L323" s="66"/>
      <c r="M323" s="66"/>
      <c r="N323" s="66"/>
      <c r="O323" s="66"/>
      <c r="P323" s="66"/>
      <c r="Q323" s="66"/>
      <c r="AA323" s="205" t="s">
        <v>108</v>
      </c>
    </row>
    <row r="324" spans="2:27" customFormat="1" x14ac:dyDescent="0.3">
      <c r="B324" s="206"/>
      <c r="C324" s="204"/>
      <c r="D324" s="204"/>
      <c r="E324" s="204"/>
      <c r="F324" s="199"/>
      <c r="G324" s="200"/>
      <c r="H324" s="201"/>
      <c r="I324" s="66"/>
      <c r="J324" s="66"/>
      <c r="K324" s="66"/>
      <c r="L324" s="66"/>
      <c r="M324" s="66"/>
      <c r="N324" s="66"/>
      <c r="O324" s="66"/>
      <c r="P324" s="66"/>
      <c r="Q324" s="66"/>
    </row>
    <row r="325" spans="2:27" customFormat="1" ht="34.200000000000003" x14ac:dyDescent="0.3">
      <c r="B325" s="336" t="s">
        <v>109</v>
      </c>
      <c r="C325" s="335"/>
      <c r="D325" s="335"/>
      <c r="E325" s="335"/>
      <c r="F325" s="199"/>
      <c r="G325" s="200"/>
      <c r="H325" s="201" t="s">
        <v>374</v>
      </c>
      <c r="I325" s="66"/>
      <c r="J325" s="66"/>
      <c r="K325" s="66"/>
      <c r="L325" s="66"/>
      <c r="M325" s="66"/>
      <c r="N325" s="66"/>
      <c r="O325" s="66"/>
      <c r="P325" s="66"/>
      <c r="Q325" s="66"/>
      <c r="AA325" s="124" t="s">
        <v>109</v>
      </c>
    </row>
    <row r="326" spans="2:27" customFormat="1" x14ac:dyDescent="0.3">
      <c r="B326" s="125"/>
      <c r="C326" s="204"/>
      <c r="D326" s="204"/>
      <c r="E326" s="204"/>
      <c r="F326" s="199"/>
      <c r="G326" s="200"/>
      <c r="H326" s="201"/>
      <c r="I326" s="66"/>
      <c r="J326" s="66"/>
      <c r="K326" s="66"/>
      <c r="L326" s="66"/>
      <c r="M326" s="66"/>
      <c r="N326" s="66"/>
      <c r="O326" s="66"/>
      <c r="P326" s="66"/>
      <c r="Q326" s="66"/>
    </row>
    <row r="327" spans="2:27" customFormat="1" ht="45.6" x14ac:dyDescent="0.3">
      <c r="B327" s="336" t="s">
        <v>154</v>
      </c>
      <c r="C327" s="335"/>
      <c r="D327" s="335"/>
      <c r="E327" s="335"/>
      <c r="F327" s="199"/>
      <c r="G327" s="200"/>
      <c r="H327" s="201" t="s">
        <v>374</v>
      </c>
      <c r="I327" s="66"/>
      <c r="J327" s="66"/>
      <c r="K327" s="66"/>
      <c r="L327" s="66"/>
      <c r="M327" s="66"/>
      <c r="N327" s="66"/>
      <c r="O327" s="66"/>
      <c r="P327" s="66"/>
      <c r="Q327" s="66"/>
      <c r="AA327" s="124" t="s">
        <v>154</v>
      </c>
    </row>
    <row r="328" spans="2:27" customFormat="1" x14ac:dyDescent="0.3">
      <c r="B328" s="125"/>
      <c r="C328" s="204"/>
      <c r="D328" s="204"/>
      <c r="E328" s="204"/>
      <c r="F328" s="199"/>
      <c r="G328" s="200"/>
      <c r="H328" s="201"/>
      <c r="I328" s="66"/>
      <c r="J328" s="66"/>
      <c r="K328" s="66"/>
      <c r="L328" s="66"/>
      <c r="M328" s="66"/>
      <c r="N328" s="66"/>
      <c r="O328" s="66"/>
      <c r="P328" s="66"/>
      <c r="Q328" s="66"/>
    </row>
    <row r="329" spans="2:27" customFormat="1" ht="22.8" x14ac:dyDescent="0.3">
      <c r="B329" s="336" t="s">
        <v>123</v>
      </c>
      <c r="C329" s="335"/>
      <c r="D329" s="335"/>
      <c r="E329" s="335"/>
      <c r="F329" s="199"/>
      <c r="G329" s="200"/>
      <c r="H329" s="201" t="s">
        <v>374</v>
      </c>
      <c r="I329" s="66"/>
      <c r="J329" s="66"/>
      <c r="K329" s="66"/>
      <c r="L329" s="66"/>
      <c r="M329" s="66"/>
      <c r="N329" s="66"/>
      <c r="O329" s="66"/>
      <c r="P329" s="66"/>
      <c r="Q329" s="66"/>
      <c r="AA329" s="124" t="s">
        <v>123</v>
      </c>
    </row>
    <row r="330" spans="2:27" customFormat="1" x14ac:dyDescent="0.3">
      <c r="B330" s="125"/>
      <c r="C330" s="204"/>
      <c r="D330" s="204"/>
      <c r="E330" s="204"/>
      <c r="F330" s="199"/>
      <c r="G330" s="200"/>
      <c r="H330" s="201"/>
      <c r="I330" s="66"/>
      <c r="J330" s="66"/>
      <c r="K330" s="66"/>
      <c r="L330" s="66"/>
      <c r="M330" s="66"/>
      <c r="N330" s="66"/>
      <c r="O330" s="66"/>
      <c r="P330" s="66"/>
      <c r="Q330" s="66"/>
    </row>
    <row r="331" spans="2:27" customFormat="1" ht="34.200000000000003" x14ac:dyDescent="0.3">
      <c r="B331" s="336" t="s">
        <v>507</v>
      </c>
      <c r="C331" s="335"/>
      <c r="D331" s="335"/>
      <c r="E331" s="335"/>
      <c r="F331" s="199"/>
      <c r="G331" s="200"/>
      <c r="H331" s="201" t="s">
        <v>374</v>
      </c>
      <c r="I331" s="66"/>
      <c r="J331" s="66"/>
      <c r="K331" s="66"/>
      <c r="L331" s="66"/>
      <c r="M331" s="66"/>
      <c r="N331" s="66"/>
      <c r="O331" s="66"/>
      <c r="P331" s="66"/>
      <c r="Q331" s="66"/>
      <c r="AA331" s="124" t="s">
        <v>171</v>
      </c>
    </row>
    <row r="332" spans="2:27" customFormat="1" x14ac:dyDescent="0.3">
      <c r="B332" s="125"/>
      <c r="C332" s="204"/>
      <c r="D332" s="204"/>
      <c r="E332" s="204"/>
      <c r="F332" s="199"/>
      <c r="G332" s="200"/>
      <c r="H332" s="201"/>
      <c r="I332" s="66"/>
      <c r="J332" s="66"/>
      <c r="K332" s="66"/>
      <c r="L332" s="66"/>
      <c r="M332" s="66"/>
      <c r="N332" s="66"/>
      <c r="O332" s="66"/>
      <c r="P332" s="66"/>
      <c r="Q332" s="66"/>
    </row>
    <row r="333" spans="2:27" customFormat="1" x14ac:dyDescent="0.3">
      <c r="B333" s="339" t="s">
        <v>155</v>
      </c>
      <c r="C333" s="340"/>
      <c r="D333" s="340"/>
      <c r="E333" s="340"/>
      <c r="F333" s="199"/>
      <c r="G333" s="200"/>
      <c r="H333" s="201" t="s">
        <v>377</v>
      </c>
      <c r="I333" s="66"/>
      <c r="J333" s="66"/>
      <c r="K333" s="66"/>
      <c r="L333" s="66"/>
      <c r="M333" s="66"/>
      <c r="N333" s="66"/>
      <c r="O333" s="66"/>
      <c r="P333" s="66"/>
      <c r="Q333" s="66"/>
      <c r="AA333" s="205" t="s">
        <v>155</v>
      </c>
    </row>
    <row r="334" spans="2:27" customFormat="1" x14ac:dyDescent="0.3">
      <c r="B334" s="207"/>
      <c r="C334" s="208"/>
      <c r="D334" s="208"/>
      <c r="E334" s="208"/>
      <c r="F334" s="199"/>
      <c r="G334" s="200"/>
      <c r="H334" s="201"/>
      <c r="I334" s="66"/>
      <c r="J334" s="66"/>
      <c r="K334" s="66"/>
      <c r="L334" s="66"/>
      <c r="M334" s="66"/>
      <c r="N334" s="66"/>
      <c r="O334" s="66"/>
      <c r="P334" s="66"/>
      <c r="Q334" s="66"/>
    </row>
    <row r="335" spans="2:27" customFormat="1" x14ac:dyDescent="0.3">
      <c r="B335" s="339" t="s">
        <v>156</v>
      </c>
      <c r="C335" s="337"/>
      <c r="D335" s="209" t="s">
        <v>89</v>
      </c>
      <c r="E335" s="210">
        <v>5.4</v>
      </c>
      <c r="F335" s="199"/>
      <c r="G335" s="200"/>
      <c r="H335" s="201" t="s">
        <v>374</v>
      </c>
      <c r="I335" s="66"/>
      <c r="J335" s="66"/>
      <c r="K335" s="66"/>
      <c r="L335" s="66"/>
      <c r="M335" s="66" t="s">
        <v>378</v>
      </c>
      <c r="N335" s="66"/>
      <c r="O335" s="66"/>
      <c r="P335" s="66"/>
      <c r="Q335" s="66"/>
      <c r="Z335" s="205" t="s">
        <v>378</v>
      </c>
    </row>
    <row r="336" spans="2:27" customFormat="1" x14ac:dyDescent="0.3">
      <c r="B336" s="207"/>
      <c r="C336" s="215"/>
      <c r="D336" s="209"/>
      <c r="E336" s="211"/>
      <c r="F336" s="199"/>
      <c r="G336" s="200"/>
      <c r="H336" s="201"/>
      <c r="I336" s="66"/>
      <c r="J336" s="66"/>
      <c r="K336" s="66"/>
      <c r="L336" s="66"/>
      <c r="M336" s="66"/>
      <c r="N336" s="66"/>
      <c r="O336" s="66"/>
      <c r="P336" s="66"/>
      <c r="Q336" s="66"/>
    </row>
    <row r="337" spans="2:45" customFormat="1" x14ac:dyDescent="0.3">
      <c r="B337" s="334" t="s">
        <v>104</v>
      </c>
      <c r="C337" s="335"/>
      <c r="D337" s="335"/>
      <c r="E337" s="335"/>
      <c r="F337" s="199"/>
      <c r="G337" s="200"/>
      <c r="H337" s="201" t="s">
        <v>379</v>
      </c>
      <c r="I337" s="66"/>
      <c r="J337" s="66"/>
      <c r="K337" s="66"/>
      <c r="L337" s="66"/>
      <c r="M337" s="66"/>
      <c r="N337" s="66"/>
      <c r="O337" s="66"/>
      <c r="P337" s="66"/>
      <c r="Q337" s="66"/>
    </row>
    <row r="338" spans="2:45" customFormat="1" x14ac:dyDescent="0.3">
      <c r="B338" s="332" t="s">
        <v>105</v>
      </c>
      <c r="C338" s="337"/>
      <c r="D338" s="209" t="s">
        <v>17</v>
      </c>
      <c r="E338" s="220">
        <v>-0.4</v>
      </c>
      <c r="F338" s="199"/>
      <c r="G338" s="200"/>
      <c r="H338" s="201"/>
      <c r="I338" s="66"/>
      <c r="J338" s="66"/>
      <c r="K338" s="66"/>
      <c r="L338" s="66"/>
      <c r="M338" s="66"/>
      <c r="N338" s="66"/>
      <c r="O338" s="66"/>
      <c r="P338" s="66"/>
      <c r="Q338" s="66"/>
      <c r="Z338" s="126" t="s">
        <v>105</v>
      </c>
    </row>
    <row r="339" spans="2:45" customFormat="1" x14ac:dyDescent="0.3">
      <c r="B339" s="332" t="s">
        <v>380</v>
      </c>
      <c r="C339" s="337"/>
      <c r="D339" s="209" t="s">
        <v>106</v>
      </c>
      <c r="E339" s="220">
        <v>-1</v>
      </c>
      <c r="F339" s="199"/>
      <c r="G339" s="200"/>
      <c r="H339" s="201"/>
      <c r="I339" s="66"/>
      <c r="J339" s="66"/>
      <c r="K339" s="66"/>
      <c r="L339" s="66"/>
      <c r="M339" s="66"/>
      <c r="N339" s="66"/>
      <c r="O339" s="66"/>
      <c r="P339" s="66"/>
      <c r="Q339" s="66"/>
      <c r="Z339" s="126" t="s">
        <v>380</v>
      </c>
      <c r="AS339" t="s">
        <v>235</v>
      </c>
    </row>
    <row r="340" spans="2:45" customFormat="1" ht="27.75" customHeight="1" x14ac:dyDescent="0.3">
      <c r="B340" s="221" t="s">
        <v>107</v>
      </c>
      <c r="C340" s="218"/>
      <c r="D340" s="218"/>
      <c r="E340" s="219"/>
      <c r="F340" s="199"/>
      <c r="G340" s="200"/>
      <c r="H340" s="201" t="s">
        <v>381</v>
      </c>
      <c r="I340" s="66"/>
      <c r="J340" s="66"/>
      <c r="K340" s="66"/>
      <c r="L340" s="66"/>
      <c r="M340" s="66"/>
      <c r="N340" s="66"/>
      <c r="O340" s="66"/>
      <c r="P340" s="66"/>
      <c r="Q340" s="66"/>
    </row>
    <row r="341" spans="2:45" customFormat="1" ht="16.5" customHeight="1" x14ac:dyDescent="0.3">
      <c r="B341" s="221"/>
      <c r="C341" s="218"/>
      <c r="D341" s="218"/>
      <c r="E341" s="219"/>
      <c r="F341" s="199"/>
      <c r="G341" s="200"/>
      <c r="H341" s="201"/>
      <c r="I341" s="66"/>
      <c r="J341" s="66"/>
      <c r="K341" s="66"/>
      <c r="L341" s="66"/>
      <c r="M341" s="66"/>
      <c r="N341" s="66"/>
      <c r="O341" s="66"/>
      <c r="P341" s="66"/>
      <c r="Q341" s="66"/>
    </row>
    <row r="342" spans="2:45" customFormat="1" x14ac:dyDescent="0.3">
      <c r="B342" s="336" t="s">
        <v>108</v>
      </c>
      <c r="C342" s="343"/>
      <c r="D342" s="343"/>
      <c r="E342" s="343"/>
      <c r="F342" s="199"/>
      <c r="G342" s="200"/>
      <c r="H342" s="201" t="s">
        <v>376</v>
      </c>
      <c r="I342" s="66"/>
      <c r="J342" s="66"/>
      <c r="K342" s="66"/>
      <c r="L342" s="66"/>
      <c r="M342" s="66"/>
      <c r="N342" s="66"/>
      <c r="O342" s="66"/>
      <c r="P342" s="66"/>
      <c r="Q342" s="66"/>
      <c r="AA342" s="124" t="s">
        <v>108</v>
      </c>
    </row>
    <row r="343" spans="2:45" customFormat="1" ht="9.75" customHeight="1" x14ac:dyDescent="0.3">
      <c r="B343" s="125"/>
      <c r="C343" s="124"/>
      <c r="D343" s="124"/>
      <c r="E343" s="124"/>
      <c r="F343" s="199"/>
      <c r="G343" s="200"/>
      <c r="H343" s="201"/>
      <c r="I343" s="66"/>
      <c r="J343" s="66"/>
      <c r="K343" s="66"/>
      <c r="L343" s="66"/>
      <c r="M343" s="66"/>
      <c r="N343" s="66"/>
      <c r="O343" s="66"/>
      <c r="P343" s="66"/>
      <c r="Q343" s="66"/>
    </row>
    <row r="344" spans="2:45" customFormat="1" ht="34.200000000000003" x14ac:dyDescent="0.3">
      <c r="B344" s="336" t="s">
        <v>109</v>
      </c>
      <c r="C344" s="343"/>
      <c r="D344" s="343"/>
      <c r="E344" s="343"/>
      <c r="F344" s="199"/>
      <c r="G344" s="200"/>
      <c r="H344" s="201"/>
      <c r="I344" s="66"/>
      <c r="J344" s="66"/>
      <c r="K344" s="66"/>
      <c r="L344" s="66"/>
      <c r="M344" s="66"/>
      <c r="N344" s="66"/>
      <c r="O344" s="66"/>
      <c r="P344" s="66"/>
      <c r="Q344" s="66"/>
      <c r="AA344" s="124" t="s">
        <v>109</v>
      </c>
    </row>
    <row r="345" spans="2:45" customFormat="1" ht="10.5" customHeight="1" x14ac:dyDescent="0.3">
      <c r="B345" s="125"/>
      <c r="C345" s="124"/>
      <c r="D345" s="124"/>
      <c r="E345" s="124"/>
      <c r="F345" s="199"/>
      <c r="G345" s="200"/>
      <c r="H345" s="201"/>
      <c r="I345" s="66"/>
      <c r="J345" s="66"/>
      <c r="K345" s="66"/>
      <c r="L345" s="66"/>
      <c r="M345" s="66"/>
      <c r="N345" s="66"/>
      <c r="O345" s="66"/>
      <c r="P345" s="66"/>
      <c r="Q345" s="66"/>
    </row>
    <row r="346" spans="2:45" customFormat="1" ht="34.200000000000003" x14ac:dyDescent="0.3">
      <c r="B346" s="336" t="s">
        <v>110</v>
      </c>
      <c r="C346" s="343"/>
      <c r="D346" s="343"/>
      <c r="E346" s="343"/>
      <c r="F346" s="199"/>
      <c r="G346" s="200"/>
      <c r="H346" s="201"/>
      <c r="I346" s="66"/>
      <c r="J346" s="66"/>
      <c r="K346" s="66"/>
      <c r="L346" s="66"/>
      <c r="M346" s="66"/>
      <c r="N346" s="66"/>
      <c r="O346" s="66"/>
      <c r="P346" s="66"/>
      <c r="Q346" s="66"/>
      <c r="AA346" s="124" t="s">
        <v>110</v>
      </c>
    </row>
    <row r="347" spans="2:45" customFormat="1" ht="9" customHeight="1" x14ac:dyDescent="0.3">
      <c r="B347" s="125"/>
      <c r="C347" s="124"/>
      <c r="D347" s="124"/>
      <c r="E347" s="124"/>
      <c r="F347" s="199"/>
      <c r="G347" s="200"/>
      <c r="H347" s="201"/>
      <c r="I347" s="66"/>
      <c r="J347" s="66"/>
      <c r="K347" s="66"/>
      <c r="L347" s="66"/>
      <c r="M347" s="66"/>
      <c r="N347" s="66"/>
      <c r="O347" s="66"/>
      <c r="P347" s="66"/>
      <c r="Q347" s="66"/>
    </row>
    <row r="348" spans="2:45" customFormat="1" ht="51.75" customHeight="1" x14ac:dyDescent="0.3">
      <c r="B348" s="336" t="s">
        <v>507</v>
      </c>
      <c r="C348" s="336"/>
      <c r="D348" s="336"/>
      <c r="E348" s="336"/>
      <c r="F348" s="199"/>
      <c r="G348" s="200"/>
      <c r="H348" s="201"/>
      <c r="I348" s="66"/>
      <c r="J348" s="66"/>
      <c r="K348" s="66"/>
      <c r="L348" s="66"/>
      <c r="M348" s="66"/>
      <c r="N348" s="66"/>
      <c r="O348" s="66"/>
      <c r="P348" s="66"/>
      <c r="Q348" s="66"/>
    </row>
    <row r="349" spans="2:45" customFormat="1" x14ac:dyDescent="0.3">
      <c r="B349" s="222"/>
      <c r="C349" s="223"/>
      <c r="D349" s="223"/>
      <c r="E349" s="219"/>
      <c r="F349" s="199"/>
      <c r="G349" s="200"/>
      <c r="H349" s="201"/>
      <c r="I349" s="66"/>
      <c r="J349" s="66"/>
      <c r="K349" s="66"/>
      <c r="L349" s="66"/>
      <c r="M349" s="66"/>
      <c r="N349" s="66"/>
      <c r="O349" s="66"/>
      <c r="P349" s="66"/>
      <c r="Q349" s="66"/>
    </row>
    <row r="350" spans="2:45" customFormat="1" x14ac:dyDescent="0.3">
      <c r="B350" s="207" t="s">
        <v>111</v>
      </c>
      <c r="C350" s="218"/>
      <c r="D350" s="218"/>
      <c r="E350" s="219"/>
      <c r="F350" s="199"/>
      <c r="G350" s="200"/>
      <c r="H350" s="201" t="s">
        <v>382</v>
      </c>
      <c r="I350" s="66"/>
      <c r="J350" s="66"/>
      <c r="K350" s="66"/>
      <c r="L350" s="66"/>
      <c r="M350" s="66"/>
      <c r="N350" s="66"/>
      <c r="O350" s="66"/>
      <c r="P350" s="66"/>
      <c r="Q350" s="66"/>
    </row>
    <row r="351" spans="2:45" customFormat="1" x14ac:dyDescent="0.3">
      <c r="B351" s="341" t="s">
        <v>112</v>
      </c>
      <c r="C351" s="342"/>
      <c r="D351" s="209" t="s">
        <v>89</v>
      </c>
      <c r="E351" s="211">
        <v>15</v>
      </c>
      <c r="F351" s="199"/>
      <c r="G351" s="200"/>
      <c r="H351" s="201"/>
      <c r="I351" s="66"/>
      <c r="J351" s="66"/>
      <c r="K351" s="66"/>
      <c r="L351" s="66"/>
      <c r="M351" s="66"/>
      <c r="N351" s="66"/>
      <c r="O351" s="66"/>
      <c r="P351" s="66"/>
      <c r="Q351" s="66"/>
      <c r="Z351" s="126" t="s">
        <v>112</v>
      </c>
    </row>
    <row r="352" spans="2:45" customFormat="1" x14ac:dyDescent="0.3">
      <c r="B352" s="341" t="s">
        <v>113</v>
      </c>
      <c r="C352" s="342"/>
      <c r="D352" s="209" t="s">
        <v>89</v>
      </c>
      <c r="E352" s="211">
        <v>15</v>
      </c>
      <c r="F352" s="199"/>
      <c r="G352" s="200"/>
      <c r="H352" s="201"/>
      <c r="I352" s="66"/>
      <c r="J352" s="66"/>
      <c r="K352" s="66"/>
      <c r="L352" s="66"/>
      <c r="M352" s="66"/>
      <c r="N352" s="66"/>
      <c r="O352" s="66"/>
      <c r="P352" s="66"/>
      <c r="Q352" s="66"/>
      <c r="Z352" s="126" t="s">
        <v>113</v>
      </c>
    </row>
    <row r="353" spans="2:26" customFormat="1" x14ac:dyDescent="0.3">
      <c r="B353" s="341" t="s">
        <v>114</v>
      </c>
      <c r="C353" s="342"/>
      <c r="D353" s="209" t="s">
        <v>89</v>
      </c>
      <c r="E353" s="211">
        <v>15</v>
      </c>
      <c r="F353" s="199"/>
      <c r="G353" s="200"/>
      <c r="H353" s="201"/>
      <c r="I353" s="66"/>
      <c r="J353" s="66"/>
      <c r="K353" s="66"/>
      <c r="L353" s="66"/>
      <c r="M353" s="66"/>
      <c r="N353" s="66"/>
      <c r="O353" s="66"/>
      <c r="P353" s="66"/>
      <c r="Q353" s="66"/>
      <c r="Z353" s="126" t="s">
        <v>114</v>
      </c>
    </row>
    <row r="354" spans="2:26" customFormat="1" x14ac:dyDescent="0.3">
      <c r="B354" s="341" t="s">
        <v>383</v>
      </c>
      <c r="C354" s="342"/>
      <c r="D354" s="209" t="s">
        <v>89</v>
      </c>
      <c r="E354" s="211">
        <v>25</v>
      </c>
      <c r="F354" s="199"/>
      <c r="G354" s="200"/>
      <c r="H354" s="201"/>
      <c r="I354" s="66"/>
      <c r="J354" s="66"/>
      <c r="K354" s="66"/>
      <c r="L354" s="66"/>
      <c r="M354" s="66"/>
      <c r="N354" s="66"/>
      <c r="O354" s="66"/>
      <c r="P354" s="66"/>
      <c r="Q354" s="66"/>
      <c r="Z354" s="126" t="s">
        <v>383</v>
      </c>
    </row>
    <row r="355" spans="2:26" customFormat="1" x14ac:dyDescent="0.3">
      <c r="B355" s="341" t="s">
        <v>115</v>
      </c>
      <c r="C355" s="342"/>
      <c r="D355" s="209" t="s">
        <v>89</v>
      </c>
      <c r="E355" s="211">
        <v>15</v>
      </c>
      <c r="F355" s="199"/>
      <c r="G355" s="200"/>
      <c r="H355" s="201"/>
      <c r="I355" s="66"/>
      <c r="J355" s="66"/>
      <c r="K355" s="66"/>
      <c r="L355" s="66"/>
      <c r="M355" s="66"/>
      <c r="N355" s="66"/>
      <c r="O355" s="66"/>
      <c r="P355" s="66"/>
      <c r="Q355" s="66"/>
      <c r="Z355" s="126" t="s">
        <v>115</v>
      </c>
    </row>
    <row r="356" spans="2:26" customFormat="1" x14ac:dyDescent="0.3">
      <c r="B356" s="341" t="s">
        <v>116</v>
      </c>
      <c r="C356" s="342"/>
      <c r="D356" s="209" t="s">
        <v>89</v>
      </c>
      <c r="E356" s="211">
        <v>12.5</v>
      </c>
      <c r="F356" s="199"/>
      <c r="G356" s="200"/>
      <c r="H356" s="201"/>
      <c r="I356" s="66"/>
      <c r="J356" s="66"/>
      <c r="K356" s="66"/>
      <c r="L356" s="66"/>
      <c r="M356" s="66"/>
      <c r="N356" s="66"/>
      <c r="O356" s="66"/>
      <c r="P356" s="66"/>
      <c r="Q356" s="66"/>
      <c r="Z356" s="126" t="s">
        <v>116</v>
      </c>
    </row>
    <row r="357" spans="2:26" customFormat="1" x14ac:dyDescent="0.3">
      <c r="B357" s="341" t="s">
        <v>117</v>
      </c>
      <c r="C357" s="342"/>
      <c r="D357" s="209" t="s">
        <v>89</v>
      </c>
      <c r="E357" s="211">
        <v>30</v>
      </c>
      <c r="F357" s="199"/>
      <c r="G357" s="200"/>
      <c r="H357" s="201"/>
      <c r="I357" s="66"/>
      <c r="J357" s="66"/>
      <c r="K357" s="66"/>
      <c r="L357" s="66"/>
      <c r="M357" s="66"/>
      <c r="N357" s="66"/>
      <c r="O357" s="66"/>
      <c r="P357" s="66"/>
      <c r="Q357" s="66"/>
      <c r="Z357" s="126" t="s">
        <v>117</v>
      </c>
    </row>
    <row r="358" spans="2:26" customFormat="1" x14ac:dyDescent="0.3">
      <c r="B358" s="341" t="s">
        <v>384</v>
      </c>
      <c r="C358" s="342"/>
      <c r="D358" s="209" t="s">
        <v>89</v>
      </c>
      <c r="E358" s="211">
        <v>20</v>
      </c>
      <c r="F358" s="199"/>
      <c r="G358" s="200"/>
      <c r="H358" s="201"/>
      <c r="I358" s="66"/>
      <c r="J358" s="66"/>
      <c r="K358" s="66"/>
      <c r="L358" s="66"/>
      <c r="M358" s="66"/>
      <c r="N358" s="66"/>
      <c r="O358" s="66"/>
      <c r="P358" s="66"/>
      <c r="Q358" s="66"/>
      <c r="Z358" s="126" t="s">
        <v>384</v>
      </c>
    </row>
    <row r="359" spans="2:26" customFormat="1" x14ac:dyDescent="0.3">
      <c r="B359" s="341" t="s">
        <v>118</v>
      </c>
      <c r="C359" s="342"/>
      <c r="D359" s="209" t="s">
        <v>89</v>
      </c>
      <c r="E359" s="211">
        <v>10</v>
      </c>
      <c r="F359" s="199"/>
      <c r="G359" s="200"/>
      <c r="H359" s="201"/>
      <c r="I359" s="66"/>
      <c r="J359" s="66"/>
      <c r="K359" s="66"/>
      <c r="L359" s="66"/>
      <c r="M359" s="66"/>
      <c r="N359" s="66"/>
      <c r="O359" s="66"/>
      <c r="P359" s="66"/>
      <c r="Q359" s="66"/>
      <c r="Z359" s="126" t="s">
        <v>118</v>
      </c>
    </row>
    <row r="360" spans="2:26" customFormat="1" x14ac:dyDescent="0.3">
      <c r="B360" s="207" t="s">
        <v>121</v>
      </c>
      <c r="C360" s="218"/>
      <c r="D360" s="218"/>
      <c r="E360" s="219"/>
      <c r="F360" s="199"/>
      <c r="G360" s="200"/>
      <c r="H360" s="201" t="s">
        <v>385</v>
      </c>
      <c r="I360" s="66"/>
      <c r="J360" s="66"/>
      <c r="K360" s="66"/>
      <c r="L360" s="66"/>
      <c r="M360" s="66"/>
      <c r="N360" s="66"/>
      <c r="O360" s="66"/>
      <c r="P360" s="66"/>
      <c r="Q360" s="66"/>
    </row>
    <row r="361" spans="2:26" customFormat="1" x14ac:dyDescent="0.3">
      <c r="B361" s="341" t="s">
        <v>386</v>
      </c>
      <c r="C361" s="342"/>
      <c r="D361" s="209" t="s">
        <v>106</v>
      </c>
      <c r="E361" s="211">
        <v>1.5</v>
      </c>
      <c r="F361" s="199"/>
      <c r="G361" s="200"/>
      <c r="H361" s="201"/>
      <c r="I361" s="66"/>
      <c r="J361" s="66"/>
      <c r="K361" s="66"/>
      <c r="L361" s="66"/>
      <c r="M361" s="66"/>
      <c r="N361" s="66"/>
      <c r="O361" s="66"/>
      <c r="P361" s="66"/>
      <c r="Q361" s="66"/>
      <c r="Z361" s="126" t="s">
        <v>386</v>
      </c>
    </row>
    <row r="362" spans="2:26" customFormat="1" x14ac:dyDescent="0.3">
      <c r="B362" s="341" t="s">
        <v>387</v>
      </c>
      <c r="C362" s="342"/>
      <c r="D362" s="209" t="s">
        <v>106</v>
      </c>
      <c r="E362" s="211">
        <v>19.559999999999999</v>
      </c>
      <c r="F362" s="199"/>
      <c r="G362" s="200"/>
      <c r="H362" s="201"/>
      <c r="I362" s="66"/>
      <c r="J362" s="66"/>
      <c r="K362" s="66"/>
      <c r="L362" s="66"/>
      <c r="M362" s="66"/>
      <c r="N362" s="66"/>
      <c r="O362" s="66"/>
      <c r="P362" s="66"/>
      <c r="Q362" s="66"/>
      <c r="Z362" s="126" t="s">
        <v>387</v>
      </c>
    </row>
    <row r="363" spans="2:26" customFormat="1" x14ac:dyDescent="0.3">
      <c r="B363" s="341" t="s">
        <v>388</v>
      </c>
      <c r="C363" s="342"/>
      <c r="D363" s="209" t="s">
        <v>89</v>
      </c>
      <c r="E363" s="211">
        <v>9</v>
      </c>
      <c r="F363" s="199"/>
      <c r="G363" s="200"/>
      <c r="H363" s="201"/>
      <c r="I363" s="66"/>
      <c r="J363" s="66"/>
      <c r="K363" s="66"/>
      <c r="L363" s="66"/>
      <c r="M363" s="66"/>
      <c r="N363" s="66"/>
      <c r="O363" s="66"/>
      <c r="P363" s="66"/>
      <c r="Q363" s="66"/>
      <c r="Z363" s="126" t="s">
        <v>388</v>
      </c>
    </row>
    <row r="364" spans="2:26" customFormat="1" x14ac:dyDescent="0.3">
      <c r="B364" s="341" t="s">
        <v>389</v>
      </c>
      <c r="C364" s="342"/>
      <c r="D364" s="209" t="s">
        <v>89</v>
      </c>
      <c r="E364" s="211">
        <v>20</v>
      </c>
      <c r="F364" s="199"/>
      <c r="G364" s="200"/>
      <c r="H364" s="201"/>
      <c r="I364" s="66"/>
      <c r="J364" s="66"/>
      <c r="K364" s="66"/>
      <c r="L364" s="66"/>
      <c r="M364" s="66"/>
      <c r="N364" s="66"/>
      <c r="O364" s="66"/>
      <c r="P364" s="66"/>
      <c r="Q364" s="66"/>
      <c r="Z364" s="126" t="s">
        <v>389</v>
      </c>
    </row>
    <row r="365" spans="2:26" customFormat="1" x14ac:dyDescent="0.3">
      <c r="B365" s="341" t="s">
        <v>390</v>
      </c>
      <c r="C365" s="342"/>
      <c r="D365" s="209" t="s">
        <v>89</v>
      </c>
      <c r="E365" s="211">
        <v>185</v>
      </c>
      <c r="F365" s="199"/>
      <c r="G365" s="200"/>
      <c r="H365" s="201"/>
      <c r="I365" s="66"/>
      <c r="J365" s="66"/>
      <c r="K365" s="66"/>
      <c r="L365" s="66"/>
      <c r="M365" s="66"/>
      <c r="N365" s="66"/>
      <c r="O365" s="66"/>
      <c r="P365" s="66"/>
      <c r="Q365" s="66"/>
      <c r="Z365" s="126" t="s">
        <v>390</v>
      </c>
    </row>
    <row r="366" spans="2:26" customFormat="1" x14ac:dyDescent="0.3">
      <c r="B366" s="341" t="s">
        <v>391</v>
      </c>
      <c r="C366" s="342"/>
      <c r="D366" s="209" t="s">
        <v>89</v>
      </c>
      <c r="E366" s="211">
        <v>415</v>
      </c>
      <c r="F366" s="199"/>
      <c r="G366" s="200"/>
      <c r="H366" s="201"/>
      <c r="I366" s="66"/>
      <c r="J366" s="66"/>
      <c r="K366" s="66"/>
      <c r="L366" s="66"/>
      <c r="M366" s="66"/>
      <c r="N366" s="66"/>
      <c r="O366" s="66"/>
      <c r="P366" s="66"/>
      <c r="Q366" s="66"/>
      <c r="Z366" s="126" t="s">
        <v>391</v>
      </c>
    </row>
    <row r="367" spans="2:26" customFormat="1" x14ac:dyDescent="0.3">
      <c r="B367" s="224"/>
      <c r="C367" s="225"/>
      <c r="D367" s="209"/>
      <c r="E367" s="211"/>
      <c r="F367" s="199"/>
      <c r="G367" s="200"/>
      <c r="H367" s="201"/>
      <c r="I367" s="66"/>
      <c r="J367" s="66"/>
      <c r="K367" s="66"/>
      <c r="L367" s="66"/>
      <c r="M367" s="66"/>
      <c r="N367" s="66"/>
      <c r="O367" s="66"/>
      <c r="P367" s="66"/>
      <c r="Q367" s="66"/>
    </row>
    <row r="368" spans="2:26" customFormat="1" x14ac:dyDescent="0.3">
      <c r="B368" s="207" t="s">
        <v>392</v>
      </c>
      <c r="C368" s="226"/>
      <c r="D368" s="226"/>
      <c r="E368" s="227"/>
      <c r="F368" s="199"/>
      <c r="G368" s="200"/>
      <c r="H368" s="201"/>
      <c r="I368" s="66"/>
      <c r="J368" s="66"/>
      <c r="K368" s="66"/>
      <c r="L368" s="66"/>
      <c r="M368" s="66"/>
      <c r="N368" s="66"/>
      <c r="O368" s="66"/>
      <c r="P368" s="66"/>
      <c r="Q368" s="66"/>
    </row>
    <row r="369" spans="2:45" customFormat="1" x14ac:dyDescent="0.3">
      <c r="B369" s="341" t="s">
        <v>119</v>
      </c>
      <c r="C369" s="342"/>
      <c r="D369" s="209" t="s">
        <v>89</v>
      </c>
      <c r="E369" s="211">
        <v>30</v>
      </c>
      <c r="F369" s="199"/>
      <c r="G369" s="200"/>
      <c r="H369" s="201"/>
      <c r="I369" s="66"/>
      <c r="J369" s="66"/>
      <c r="K369" s="66"/>
      <c r="L369" s="66"/>
      <c r="M369" s="66"/>
      <c r="N369" s="66"/>
      <c r="O369" s="66"/>
      <c r="P369" s="66"/>
      <c r="Q369" s="66"/>
      <c r="Z369" s="126" t="s">
        <v>119</v>
      </c>
    </row>
    <row r="370" spans="2:45" customFormat="1" x14ac:dyDescent="0.3">
      <c r="B370" s="341" t="s">
        <v>120</v>
      </c>
      <c r="C370" s="342"/>
      <c r="D370" s="209" t="s">
        <v>89</v>
      </c>
      <c r="E370" s="211">
        <v>40</v>
      </c>
      <c r="F370" s="199"/>
      <c r="G370" s="200"/>
      <c r="H370" s="201"/>
      <c r="I370" s="66"/>
      <c r="J370" s="66"/>
      <c r="K370" s="66"/>
      <c r="L370" s="66"/>
      <c r="M370" s="66"/>
      <c r="N370" s="66"/>
      <c r="O370" s="66"/>
      <c r="P370" s="66"/>
      <c r="Q370" s="66"/>
      <c r="Z370" s="126" t="s">
        <v>120</v>
      </c>
    </row>
    <row r="371" spans="2:45" customFormat="1" x14ac:dyDescent="0.3">
      <c r="B371" s="341" t="s">
        <v>393</v>
      </c>
      <c r="C371" s="342"/>
      <c r="D371" s="209" t="s">
        <v>89</v>
      </c>
      <c r="E371" s="211">
        <v>400</v>
      </c>
      <c r="F371" s="199"/>
      <c r="G371" s="200"/>
      <c r="H371" s="201"/>
      <c r="I371" s="66"/>
      <c r="J371" s="66"/>
      <c r="K371" s="66"/>
      <c r="L371" s="66"/>
      <c r="M371" s="66"/>
      <c r="N371" s="66"/>
      <c r="O371" s="66"/>
      <c r="P371" s="66"/>
      <c r="Q371" s="66"/>
      <c r="Z371" s="126" t="s">
        <v>393</v>
      </c>
    </row>
    <row r="372" spans="2:45" customFormat="1" x14ac:dyDescent="0.3">
      <c r="B372" s="341" t="s">
        <v>394</v>
      </c>
      <c r="C372" s="342"/>
      <c r="D372" s="209" t="s">
        <v>89</v>
      </c>
      <c r="E372" s="211">
        <v>22.35</v>
      </c>
      <c r="F372" s="199"/>
      <c r="G372" s="200"/>
      <c r="H372" s="201"/>
      <c r="I372" s="66"/>
      <c r="J372" s="66"/>
      <c r="K372" s="66"/>
      <c r="L372" s="66"/>
      <c r="M372" s="66"/>
      <c r="N372" s="66"/>
      <c r="O372" s="66"/>
      <c r="P372" s="66"/>
      <c r="Q372" s="66"/>
      <c r="Z372" s="126" t="s">
        <v>394</v>
      </c>
      <c r="AS372" t="s">
        <v>235</v>
      </c>
    </row>
    <row r="373" spans="2:45" customFormat="1" ht="19.5" customHeight="1" x14ac:dyDescent="0.3">
      <c r="B373" s="334" t="s">
        <v>122</v>
      </c>
      <c r="C373" s="335"/>
      <c r="D373" s="335"/>
      <c r="E373" s="335"/>
      <c r="F373" s="199"/>
      <c r="G373" s="200"/>
      <c r="H373" s="201" t="s">
        <v>395</v>
      </c>
      <c r="I373" s="66"/>
      <c r="J373" s="66"/>
      <c r="K373" s="66"/>
      <c r="L373" s="66"/>
      <c r="M373" s="66"/>
      <c r="N373" s="66"/>
      <c r="O373" s="66"/>
      <c r="P373" s="66"/>
      <c r="Q373" s="66"/>
    </row>
    <row r="374" spans="2:45" customFormat="1" ht="17.399999999999999" x14ac:dyDescent="0.3">
      <c r="B374" s="221"/>
      <c r="C374" s="218"/>
      <c r="D374" s="218"/>
      <c r="E374" s="219"/>
      <c r="F374" s="199"/>
      <c r="G374" s="200"/>
      <c r="H374" s="201"/>
      <c r="I374" s="66"/>
      <c r="J374" s="66"/>
      <c r="K374" s="66"/>
      <c r="L374" s="66"/>
      <c r="M374" s="66"/>
      <c r="N374" s="66"/>
      <c r="O374" s="66"/>
      <c r="P374" s="66"/>
      <c r="Q374" s="66"/>
    </row>
    <row r="375" spans="2:45" customFormat="1" ht="34.200000000000003" x14ac:dyDescent="0.3">
      <c r="B375" s="336" t="s">
        <v>109</v>
      </c>
      <c r="C375" s="343"/>
      <c r="D375" s="343"/>
      <c r="E375" s="343"/>
      <c r="F375" s="199"/>
      <c r="G375" s="200"/>
      <c r="H375" s="201"/>
      <c r="I375" s="66"/>
      <c r="J375" s="66"/>
      <c r="K375" s="66"/>
      <c r="L375" s="66"/>
      <c r="M375" s="66"/>
      <c r="N375" s="66"/>
      <c r="O375" s="66"/>
      <c r="P375" s="66"/>
      <c r="Q375" s="66"/>
      <c r="AA375" s="124" t="s">
        <v>109</v>
      </c>
    </row>
    <row r="376" spans="2:45" customFormat="1" x14ac:dyDescent="0.3">
      <c r="B376" s="125"/>
      <c r="C376" s="124"/>
      <c r="D376" s="124"/>
      <c r="E376" s="124"/>
      <c r="F376" s="199"/>
      <c r="G376" s="200"/>
      <c r="H376" s="201"/>
      <c r="I376" s="66"/>
      <c r="J376" s="66"/>
      <c r="K376" s="66"/>
      <c r="L376" s="66"/>
      <c r="M376" s="66"/>
      <c r="N376" s="66"/>
      <c r="O376" s="66"/>
      <c r="P376" s="66"/>
      <c r="Q376" s="66"/>
    </row>
    <row r="377" spans="2:45" customFormat="1" ht="45.6" x14ac:dyDescent="0.3">
      <c r="B377" s="336" t="s">
        <v>154</v>
      </c>
      <c r="C377" s="343"/>
      <c r="D377" s="343"/>
      <c r="E377" s="343"/>
      <c r="F377" s="199"/>
      <c r="G377" s="200"/>
      <c r="H377" s="201"/>
      <c r="I377" s="66"/>
      <c r="J377" s="66"/>
      <c r="K377" s="66"/>
      <c r="L377" s="66"/>
      <c r="M377" s="66"/>
      <c r="N377" s="66"/>
      <c r="O377" s="66"/>
      <c r="P377" s="66"/>
      <c r="Q377" s="66"/>
      <c r="AA377" s="124" t="s">
        <v>154</v>
      </c>
    </row>
    <row r="378" spans="2:45" customFormat="1" x14ac:dyDescent="0.3">
      <c r="B378" s="125"/>
      <c r="C378" s="124"/>
      <c r="D378" s="124"/>
      <c r="E378" s="124"/>
      <c r="F378" s="199"/>
      <c r="G378" s="200"/>
      <c r="H378" s="201"/>
      <c r="I378" s="66"/>
      <c r="J378" s="66"/>
      <c r="K378" s="66"/>
      <c r="L378" s="66"/>
      <c r="M378" s="66"/>
      <c r="N378" s="66"/>
      <c r="O378" s="66"/>
      <c r="P378" s="66"/>
      <c r="Q378" s="66"/>
    </row>
    <row r="379" spans="2:45" customFormat="1" ht="22.8" x14ac:dyDescent="0.3">
      <c r="B379" s="336" t="s">
        <v>123</v>
      </c>
      <c r="C379" s="343"/>
      <c r="D379" s="343"/>
      <c r="E379" s="343"/>
      <c r="F379" s="199"/>
      <c r="G379" s="200"/>
      <c r="H379" s="201"/>
      <c r="I379" s="66"/>
      <c r="J379" s="66"/>
      <c r="K379" s="66"/>
      <c r="L379" s="66"/>
      <c r="M379" s="66"/>
      <c r="N379" s="66"/>
      <c r="O379" s="66"/>
      <c r="P379" s="66"/>
      <c r="Q379" s="66"/>
      <c r="AA379" s="124" t="s">
        <v>123</v>
      </c>
    </row>
    <row r="380" spans="2:45" customFormat="1" x14ac:dyDescent="0.3">
      <c r="B380" s="125"/>
      <c r="C380" s="124"/>
      <c r="D380" s="124"/>
      <c r="E380" s="124"/>
      <c r="F380" s="199"/>
      <c r="G380" s="200"/>
      <c r="H380" s="201"/>
      <c r="I380" s="66"/>
      <c r="J380" s="66"/>
      <c r="K380" s="66"/>
      <c r="L380" s="66"/>
      <c r="M380" s="66"/>
      <c r="N380" s="66"/>
      <c r="O380" s="66"/>
      <c r="P380" s="66"/>
      <c r="Q380" s="66"/>
    </row>
    <row r="381" spans="2:45" customFormat="1" ht="34.200000000000003" x14ac:dyDescent="0.3">
      <c r="B381" s="336" t="s">
        <v>507</v>
      </c>
      <c r="C381" s="343"/>
      <c r="D381" s="343"/>
      <c r="E381" s="343"/>
      <c r="F381" s="199"/>
      <c r="G381" s="200"/>
      <c r="H381" s="201"/>
      <c r="I381" s="66"/>
      <c r="J381" s="66"/>
      <c r="K381" s="66"/>
      <c r="L381" s="66"/>
      <c r="M381" s="66"/>
      <c r="N381" s="66"/>
      <c r="O381" s="66"/>
      <c r="P381" s="66"/>
      <c r="Q381" s="66"/>
      <c r="AA381" s="124" t="s">
        <v>171</v>
      </c>
    </row>
    <row r="382" spans="2:45" customFormat="1" x14ac:dyDescent="0.3">
      <c r="B382" s="125"/>
      <c r="C382" s="124"/>
      <c r="D382" s="124"/>
      <c r="E382" s="124"/>
      <c r="F382" s="199"/>
      <c r="G382" s="200"/>
      <c r="H382" s="201"/>
      <c r="I382" s="66"/>
      <c r="J382" s="66"/>
      <c r="K382" s="66"/>
      <c r="L382" s="66"/>
      <c r="M382" s="66"/>
      <c r="N382" s="66"/>
      <c r="O382" s="66"/>
      <c r="P382" s="66"/>
      <c r="Q382" s="66"/>
    </row>
    <row r="383" spans="2:45" customFormat="1" ht="22.8" x14ac:dyDescent="0.3">
      <c r="B383" s="336" t="s">
        <v>124</v>
      </c>
      <c r="C383" s="343"/>
      <c r="D383" s="343"/>
      <c r="E383" s="343"/>
      <c r="F383" s="199"/>
      <c r="G383" s="200"/>
      <c r="H383" s="201"/>
      <c r="I383" s="66"/>
      <c r="J383" s="66"/>
      <c r="K383" s="66"/>
      <c r="L383" s="66"/>
      <c r="M383" s="66"/>
      <c r="N383" s="66"/>
      <c r="O383" s="66"/>
      <c r="P383" s="66"/>
      <c r="Q383" s="66"/>
      <c r="AA383" s="124" t="s">
        <v>124</v>
      </c>
    </row>
    <row r="384" spans="2:45" customFormat="1" x14ac:dyDescent="0.3">
      <c r="B384" s="332" t="s">
        <v>125</v>
      </c>
      <c r="C384" s="337"/>
      <c r="D384" s="209" t="s">
        <v>89</v>
      </c>
      <c r="E384" s="213">
        <v>100</v>
      </c>
      <c r="F384" s="199"/>
      <c r="G384" s="200"/>
      <c r="H384" s="201"/>
      <c r="I384" s="66"/>
      <c r="J384" s="66"/>
      <c r="K384" s="66"/>
      <c r="L384" s="66"/>
      <c r="M384" s="66"/>
      <c r="N384" s="66"/>
      <c r="O384" s="66"/>
      <c r="P384" s="66"/>
      <c r="Q384" s="66"/>
      <c r="Z384" s="126" t="s">
        <v>125</v>
      </c>
    </row>
    <row r="385" spans="2:27" customFormat="1" x14ac:dyDescent="0.3">
      <c r="B385" s="332" t="s">
        <v>126</v>
      </c>
      <c r="C385" s="337"/>
      <c r="D385" s="209" t="s">
        <v>89</v>
      </c>
      <c r="E385" s="213">
        <v>20</v>
      </c>
      <c r="F385" s="199"/>
      <c r="G385" s="200"/>
      <c r="H385" s="201"/>
      <c r="I385" s="66"/>
      <c r="J385" s="66"/>
      <c r="K385" s="66"/>
      <c r="L385" s="66"/>
      <c r="M385" s="66"/>
      <c r="N385" s="66"/>
      <c r="O385" s="66"/>
      <c r="P385" s="66"/>
      <c r="Q385" s="66"/>
      <c r="Z385" s="126" t="s">
        <v>126</v>
      </c>
    </row>
    <row r="386" spans="2:27" customFormat="1" x14ac:dyDescent="0.3">
      <c r="B386" s="332" t="s">
        <v>127</v>
      </c>
      <c r="C386" s="337"/>
      <c r="D386" s="209" t="s">
        <v>128</v>
      </c>
      <c r="E386" s="213">
        <v>0.5</v>
      </c>
      <c r="F386" s="199"/>
      <c r="G386" s="200"/>
      <c r="H386" s="201"/>
      <c r="I386" s="66"/>
      <c r="J386" s="66"/>
      <c r="K386" s="66"/>
      <c r="L386" s="66"/>
      <c r="M386" s="66"/>
      <c r="N386" s="66"/>
      <c r="O386" s="66"/>
      <c r="P386" s="66"/>
      <c r="Q386" s="66"/>
      <c r="Z386" s="126" t="s">
        <v>127</v>
      </c>
    </row>
    <row r="387" spans="2:27" customFormat="1" x14ac:dyDescent="0.3">
      <c r="B387" s="332" t="s">
        <v>129</v>
      </c>
      <c r="C387" s="337"/>
      <c r="D387" s="209" t="s">
        <v>128</v>
      </c>
      <c r="E387" s="213">
        <v>0.3</v>
      </c>
      <c r="F387" s="199"/>
      <c r="G387" s="200"/>
      <c r="H387" s="201"/>
      <c r="I387" s="66"/>
      <c r="J387" s="66"/>
      <c r="K387" s="66"/>
      <c r="L387" s="66"/>
      <c r="M387" s="66"/>
      <c r="N387" s="66"/>
      <c r="O387" s="66"/>
      <c r="P387" s="66"/>
      <c r="Q387" s="66"/>
      <c r="Z387" s="126" t="s">
        <v>129</v>
      </c>
    </row>
    <row r="388" spans="2:27" customFormat="1" x14ac:dyDescent="0.3">
      <c r="B388" s="332" t="s">
        <v>130</v>
      </c>
      <c r="C388" s="337"/>
      <c r="D388" s="209" t="s">
        <v>128</v>
      </c>
      <c r="E388" s="213">
        <v>-0.3</v>
      </c>
      <c r="F388" s="199"/>
      <c r="G388" s="200"/>
      <c r="H388" s="201"/>
      <c r="I388" s="66"/>
      <c r="J388" s="66"/>
      <c r="K388" s="66"/>
      <c r="L388" s="66"/>
      <c r="M388" s="66"/>
      <c r="N388" s="66"/>
      <c r="O388" s="66"/>
      <c r="P388" s="66"/>
      <c r="Q388" s="66"/>
      <c r="Z388" s="126" t="s">
        <v>130</v>
      </c>
    </row>
    <row r="389" spans="2:27" customFormat="1" x14ac:dyDescent="0.3">
      <c r="B389" s="332" t="s">
        <v>396</v>
      </c>
      <c r="C389" s="337"/>
      <c r="D389" s="209"/>
      <c r="E389" s="213"/>
      <c r="F389" s="199"/>
      <c r="G389" s="200"/>
      <c r="H389" s="201"/>
      <c r="I389" s="66"/>
      <c r="J389" s="66"/>
      <c r="K389" s="66"/>
      <c r="L389" s="66"/>
      <c r="M389" s="66"/>
      <c r="N389" s="66"/>
      <c r="O389" s="66"/>
      <c r="P389" s="66"/>
      <c r="Q389" s="66"/>
      <c r="Z389" s="126" t="s">
        <v>396</v>
      </c>
    </row>
    <row r="390" spans="2:27" customFormat="1" x14ac:dyDescent="0.3">
      <c r="B390" s="346" t="s">
        <v>131</v>
      </c>
      <c r="C390" s="347"/>
      <c r="D390" s="209" t="s">
        <v>89</v>
      </c>
      <c r="E390" s="213">
        <v>0.25</v>
      </c>
      <c r="F390" s="199"/>
      <c r="G390" s="200"/>
      <c r="H390" s="201"/>
      <c r="I390" s="66"/>
      <c r="J390" s="66"/>
      <c r="K390" s="66"/>
      <c r="L390" s="66"/>
      <c r="M390" s="66"/>
      <c r="N390" s="66"/>
      <c r="O390" s="66"/>
      <c r="P390" s="66"/>
      <c r="Q390" s="66"/>
      <c r="Z390" s="126" t="s">
        <v>131</v>
      </c>
    </row>
    <row r="391" spans="2:27" customFormat="1" x14ac:dyDescent="0.3">
      <c r="B391" s="346" t="s">
        <v>132</v>
      </c>
      <c r="C391" s="347"/>
      <c r="D391" s="209" t="s">
        <v>89</v>
      </c>
      <c r="E391" s="213">
        <v>0.5</v>
      </c>
      <c r="F391" s="199"/>
      <c r="G391" s="200"/>
      <c r="H391" s="201"/>
      <c r="I391" s="66"/>
      <c r="J391" s="66"/>
      <c r="K391" s="66"/>
      <c r="L391" s="66"/>
      <c r="M391" s="66"/>
      <c r="N391" s="66"/>
      <c r="O391" s="66"/>
      <c r="P391" s="66"/>
      <c r="Q391" s="66"/>
      <c r="Z391" s="126" t="s">
        <v>132</v>
      </c>
    </row>
    <row r="392" spans="2:27" customFormat="1" x14ac:dyDescent="0.3">
      <c r="B392" s="332" t="s">
        <v>133</v>
      </c>
      <c r="C392" s="337"/>
      <c r="D392" s="209"/>
      <c r="E392" s="213"/>
      <c r="F392" s="199"/>
      <c r="G392" s="200"/>
      <c r="H392" s="201"/>
      <c r="I392" s="66"/>
      <c r="J392" s="66"/>
      <c r="K392" s="66"/>
      <c r="L392" s="66"/>
      <c r="M392" s="66"/>
      <c r="N392" s="66"/>
      <c r="O392" s="66"/>
      <c r="P392" s="66"/>
      <c r="Q392" s="66"/>
      <c r="Z392" s="126" t="s">
        <v>133</v>
      </c>
    </row>
    <row r="393" spans="2:27" customFormat="1" x14ac:dyDescent="0.3">
      <c r="B393" s="332" t="s">
        <v>134</v>
      </c>
      <c r="C393" s="337"/>
      <c r="D393" s="209"/>
      <c r="E393" s="213"/>
      <c r="F393" s="199"/>
      <c r="G393" s="200"/>
      <c r="H393" s="201"/>
      <c r="I393" s="66"/>
      <c r="J393" s="66"/>
      <c r="K393" s="66"/>
      <c r="L393" s="66"/>
      <c r="M393" s="66"/>
      <c r="N393" s="66"/>
      <c r="O393" s="66"/>
      <c r="P393" s="66"/>
      <c r="Q393" s="66"/>
      <c r="Z393" s="126" t="s">
        <v>134</v>
      </c>
    </row>
    <row r="394" spans="2:27" customFormat="1" x14ac:dyDescent="0.3">
      <c r="B394" s="332" t="s">
        <v>397</v>
      </c>
      <c r="C394" s="337"/>
      <c r="D394" s="209"/>
      <c r="E394" s="213"/>
      <c r="F394" s="199"/>
      <c r="G394" s="200"/>
      <c r="H394" s="201"/>
      <c r="I394" s="66"/>
      <c r="J394" s="66"/>
      <c r="K394" s="66"/>
      <c r="L394" s="66"/>
      <c r="M394" s="66"/>
      <c r="N394" s="66"/>
      <c r="O394" s="66"/>
      <c r="P394" s="66"/>
      <c r="Q394" s="66"/>
      <c r="Z394" s="126" t="s">
        <v>397</v>
      </c>
    </row>
    <row r="395" spans="2:27" customFormat="1" x14ac:dyDescent="0.3">
      <c r="B395" s="346" t="s">
        <v>135</v>
      </c>
      <c r="C395" s="347"/>
      <c r="D395" s="209" t="s">
        <v>89</v>
      </c>
      <c r="E395" s="213" t="s">
        <v>136</v>
      </c>
      <c r="F395" s="199"/>
      <c r="G395" s="200"/>
      <c r="H395" s="201"/>
      <c r="I395" s="66"/>
      <c r="J395" s="66"/>
      <c r="K395" s="66"/>
      <c r="L395" s="66"/>
      <c r="M395" s="66"/>
      <c r="N395" s="66"/>
      <c r="O395" s="66"/>
      <c r="P395" s="66"/>
      <c r="Q395" s="66"/>
      <c r="Z395" s="126" t="s">
        <v>135</v>
      </c>
    </row>
    <row r="396" spans="2:27" customFormat="1" x14ac:dyDescent="0.3">
      <c r="B396" s="346" t="s">
        <v>137</v>
      </c>
      <c r="C396" s="347"/>
      <c r="D396" s="209" t="s">
        <v>89</v>
      </c>
      <c r="E396" s="213">
        <v>2</v>
      </c>
      <c r="F396" s="199"/>
      <c r="G396" s="200"/>
      <c r="H396" s="201"/>
      <c r="I396" s="66"/>
      <c r="J396" s="66"/>
      <c r="K396" s="66"/>
      <c r="L396" s="66"/>
      <c r="M396" s="66"/>
      <c r="N396" s="66"/>
      <c r="O396" s="66"/>
      <c r="P396" s="66"/>
      <c r="Q396" s="66"/>
      <c r="Z396" s="126" t="s">
        <v>137</v>
      </c>
    </row>
    <row r="397" spans="2:27" customFormat="1" x14ac:dyDescent="0.3">
      <c r="B397" s="229"/>
      <c r="C397" s="230"/>
      <c r="D397" s="226"/>
      <c r="E397" s="228"/>
      <c r="F397" s="199"/>
      <c r="G397" s="200"/>
      <c r="H397" s="201"/>
      <c r="I397" s="66"/>
      <c r="J397" s="66"/>
      <c r="K397" s="66"/>
      <c r="L397" s="66"/>
      <c r="M397" s="66"/>
      <c r="N397" s="66"/>
      <c r="O397" s="66"/>
      <c r="P397" s="66"/>
      <c r="Q397" s="66"/>
    </row>
    <row r="398" spans="2:27" customFormat="1" ht="17.399999999999999" x14ac:dyDescent="0.3">
      <c r="B398" s="221" t="s">
        <v>138</v>
      </c>
      <c r="C398" s="218"/>
      <c r="D398" s="218"/>
      <c r="E398" s="219"/>
      <c r="F398" s="199"/>
      <c r="G398" s="200"/>
      <c r="H398" s="201" t="s">
        <v>398</v>
      </c>
      <c r="I398" s="66"/>
      <c r="J398" s="66"/>
      <c r="K398" s="66"/>
      <c r="L398" s="66"/>
      <c r="M398" s="66"/>
      <c r="N398" s="66"/>
      <c r="O398" s="66"/>
      <c r="P398" s="66"/>
      <c r="Q398" s="66"/>
    </row>
    <row r="399" spans="2:27" customFormat="1" ht="17.399999999999999" x14ac:dyDescent="0.3">
      <c r="B399" s="221"/>
      <c r="C399" s="218"/>
      <c r="D399" s="218"/>
      <c r="E399" s="219"/>
      <c r="F399" s="199"/>
      <c r="G399" s="200"/>
      <c r="H399" s="201"/>
      <c r="I399" s="66"/>
      <c r="J399" s="66"/>
      <c r="K399" s="66"/>
      <c r="L399" s="66"/>
      <c r="M399" s="66"/>
      <c r="N399" s="66"/>
      <c r="O399" s="66"/>
      <c r="P399" s="66"/>
      <c r="Q399" s="66"/>
    </row>
    <row r="400" spans="2:27" customFormat="1" ht="20.399999999999999" x14ac:dyDescent="0.3">
      <c r="B400" s="348" t="s">
        <v>139</v>
      </c>
      <c r="C400" s="349"/>
      <c r="D400" s="349"/>
      <c r="E400" s="349"/>
      <c r="F400" s="199"/>
      <c r="G400" s="200"/>
      <c r="H400" s="201"/>
      <c r="I400" s="66"/>
      <c r="J400" s="66"/>
      <c r="K400" s="66"/>
      <c r="L400" s="66"/>
      <c r="M400" s="66"/>
      <c r="N400" s="66"/>
      <c r="O400" s="66"/>
      <c r="P400" s="66"/>
      <c r="Q400" s="66"/>
      <c r="AA400" s="126" t="s">
        <v>139</v>
      </c>
    </row>
    <row r="401" spans="2:26" customFormat="1" x14ac:dyDescent="0.3">
      <c r="B401" s="332" t="s">
        <v>399</v>
      </c>
      <c r="C401" s="337"/>
      <c r="D401" s="209"/>
      <c r="E401" s="213">
        <v>1.036</v>
      </c>
      <c r="F401" s="199"/>
      <c r="G401" s="200"/>
      <c r="H401" s="201"/>
      <c r="I401" s="66"/>
      <c r="J401" s="66"/>
      <c r="K401" s="66"/>
      <c r="L401" s="66"/>
      <c r="M401" s="66"/>
      <c r="N401" s="66"/>
      <c r="O401" s="66"/>
      <c r="P401" s="66"/>
      <c r="Q401" s="66"/>
      <c r="Z401" s="126" t="s">
        <v>399</v>
      </c>
    </row>
    <row r="402" spans="2:26" customFormat="1" x14ac:dyDescent="0.3">
      <c r="B402" s="332" t="s">
        <v>400</v>
      </c>
      <c r="C402" s="337"/>
      <c r="D402" s="209"/>
      <c r="E402" s="213">
        <v>1.0145</v>
      </c>
      <c r="F402" s="199"/>
      <c r="G402" s="200"/>
      <c r="H402" s="201"/>
      <c r="I402" s="66"/>
      <c r="J402" s="66"/>
      <c r="K402" s="66"/>
      <c r="L402" s="66"/>
      <c r="M402" s="66"/>
      <c r="N402" s="66"/>
      <c r="O402" s="66"/>
      <c r="P402" s="66"/>
      <c r="Q402" s="66"/>
      <c r="Z402" s="126" t="s">
        <v>400</v>
      </c>
    </row>
    <row r="403" spans="2:26" customFormat="1" x14ac:dyDescent="0.3">
      <c r="B403" s="332" t="s">
        <v>401</v>
      </c>
      <c r="C403" s="337"/>
      <c r="D403" s="209"/>
      <c r="E403" s="213">
        <v>1.0256000000000001</v>
      </c>
      <c r="F403" s="199"/>
      <c r="G403" s="200"/>
      <c r="H403" s="201"/>
      <c r="I403" s="66"/>
      <c r="J403" s="66"/>
      <c r="K403" s="66"/>
      <c r="L403" s="66"/>
      <c r="M403" s="66"/>
      <c r="N403" s="66"/>
      <c r="O403" s="66"/>
      <c r="P403" s="66"/>
      <c r="Q403" s="66"/>
      <c r="Z403" s="126" t="s">
        <v>401</v>
      </c>
    </row>
    <row r="404" spans="2:26" customFormat="1" x14ac:dyDescent="0.3">
      <c r="B404" s="332" t="s">
        <v>402</v>
      </c>
      <c r="C404" s="337"/>
      <c r="D404" s="209"/>
      <c r="E404" s="213">
        <v>1.0044999999999999</v>
      </c>
      <c r="F404" s="199"/>
      <c r="G404" s="200" t="s">
        <v>403</v>
      </c>
      <c r="H404" s="201"/>
      <c r="I404" s="66"/>
      <c r="J404" s="66"/>
      <c r="K404" s="66"/>
      <c r="L404" s="66"/>
      <c r="M404" s="66"/>
      <c r="N404" s="66"/>
      <c r="O404" s="66"/>
      <c r="P404" s="66"/>
      <c r="Q404" s="66"/>
      <c r="Z404" s="126" t="s">
        <v>402</v>
      </c>
    </row>
    <row r="405" spans="2:26" customFormat="1" x14ac:dyDescent="0.3">
      <c r="B405" s="332"/>
      <c r="C405" s="337"/>
      <c r="D405" s="209"/>
      <c r="E405" s="213"/>
      <c r="F405" s="199"/>
      <c r="G405" s="200"/>
      <c r="H405" s="201"/>
      <c r="I405" s="66"/>
      <c r="J405" s="66"/>
      <c r="K405" s="66"/>
      <c r="L405" s="66"/>
      <c r="M405" s="66"/>
      <c r="N405" s="66"/>
      <c r="O405" s="66"/>
      <c r="P405" s="66"/>
      <c r="Q405" s="66"/>
      <c r="Z405" s="126"/>
    </row>
    <row r="406" spans="2:26" customFormat="1" x14ac:dyDescent="0.3">
      <c r="B406" s="332"/>
      <c r="C406" s="337"/>
      <c r="D406" s="209"/>
      <c r="E406" s="213"/>
      <c r="F406" s="199"/>
      <c r="G406" s="200"/>
      <c r="H406" s="201"/>
      <c r="I406" s="66"/>
      <c r="J406" s="66"/>
      <c r="K406" s="66"/>
      <c r="L406" s="66"/>
      <c r="M406" s="66"/>
      <c r="N406" s="66"/>
      <c r="O406" s="66"/>
      <c r="P406" s="66"/>
      <c r="Q406" s="66"/>
      <c r="Z406" s="126"/>
    </row>
    <row r="407" spans="2:26" customFormat="1" x14ac:dyDescent="0.3">
      <c r="B407" s="332"/>
      <c r="C407" s="337"/>
      <c r="D407" s="209"/>
      <c r="E407" s="213"/>
      <c r="F407" s="199"/>
      <c r="G407" s="200"/>
      <c r="H407" s="201"/>
      <c r="I407" s="66"/>
      <c r="J407" s="66"/>
      <c r="K407" s="66"/>
      <c r="L407" s="66"/>
      <c r="M407" s="66"/>
      <c r="N407" s="66"/>
      <c r="O407" s="66"/>
      <c r="P407" s="66"/>
      <c r="Q407" s="66"/>
      <c r="Z407" s="126"/>
    </row>
    <row r="408" spans="2:26" customFormat="1" x14ac:dyDescent="0.3">
      <c r="B408" s="332"/>
      <c r="C408" s="337"/>
      <c r="D408" s="209"/>
      <c r="E408" s="213"/>
      <c r="F408" s="199"/>
      <c r="G408" s="200"/>
      <c r="H408" s="201"/>
      <c r="I408" s="66"/>
      <c r="J408" s="66"/>
      <c r="K408" s="66"/>
      <c r="L408" s="66"/>
      <c r="M408" s="66"/>
      <c r="N408" s="66"/>
      <c r="O408" s="66"/>
      <c r="P408" s="66"/>
      <c r="Q408" s="66"/>
      <c r="Z408" s="126"/>
    </row>
    <row r="409" spans="2:26" customFormat="1" x14ac:dyDescent="0.3">
      <c r="B409" s="332"/>
      <c r="C409" s="337"/>
      <c r="D409" s="209"/>
      <c r="E409" s="213"/>
      <c r="F409" s="199"/>
      <c r="G409" s="200"/>
      <c r="H409" s="201"/>
      <c r="I409" s="66"/>
      <c r="J409" s="66"/>
      <c r="K409" s="66"/>
      <c r="L409" s="66"/>
      <c r="M409" s="66"/>
      <c r="N409" s="66"/>
      <c r="O409" s="66"/>
      <c r="P409" s="66"/>
      <c r="Q409" s="66"/>
      <c r="Z409" s="126"/>
    </row>
    <row r="410" spans="2:26" customFormat="1" x14ac:dyDescent="0.3">
      <c r="B410" s="332"/>
      <c r="C410" s="337"/>
      <c r="D410" s="209"/>
      <c r="E410" s="213"/>
      <c r="F410" s="199"/>
      <c r="G410" s="200"/>
      <c r="H410" s="201"/>
      <c r="I410" s="66"/>
      <c r="J410" s="66"/>
      <c r="K410" s="66"/>
      <c r="L410" s="66"/>
      <c r="M410" s="66"/>
      <c r="N410" s="66"/>
      <c r="O410" s="66"/>
      <c r="P410" s="66"/>
      <c r="Q410" s="66"/>
      <c r="Z410" s="126"/>
    </row>
    <row r="411" spans="2:26" customFormat="1" ht="15" hidden="1" x14ac:dyDescent="0.25">
      <c r="B411" s="332"/>
      <c r="C411" s="337"/>
      <c r="D411" s="209"/>
      <c r="E411" s="213"/>
      <c r="F411" s="199"/>
      <c r="G411" s="200"/>
      <c r="H411" s="201"/>
      <c r="I411" s="66"/>
      <c r="J411" s="66"/>
      <c r="K411" s="66"/>
      <c r="L411" s="66"/>
      <c r="M411" s="66"/>
      <c r="N411" s="66"/>
      <c r="O411" s="66"/>
      <c r="P411" s="66"/>
      <c r="Q411" s="66"/>
      <c r="Z411" s="126"/>
    </row>
    <row r="412" spans="2:26" customFormat="1" ht="15" hidden="1" x14ac:dyDescent="0.25">
      <c r="B412" s="332"/>
      <c r="C412" s="337"/>
      <c r="D412" s="209"/>
      <c r="E412" s="213"/>
      <c r="F412" s="199"/>
      <c r="G412" s="200"/>
      <c r="H412" s="201"/>
      <c r="I412" s="66"/>
      <c r="J412" s="66"/>
      <c r="K412" s="66"/>
      <c r="L412" s="66"/>
      <c r="M412" s="66"/>
      <c r="N412" s="66"/>
      <c r="O412" s="66"/>
      <c r="P412" s="66"/>
      <c r="Q412" s="66"/>
      <c r="Z412" s="126"/>
    </row>
    <row r="413" spans="2:26" customFormat="1" ht="15" hidden="1" x14ac:dyDescent="0.25">
      <c r="B413" s="332"/>
      <c r="C413" s="337"/>
      <c r="D413" s="209"/>
      <c r="E413" s="213"/>
      <c r="F413" s="199"/>
      <c r="G413" s="200"/>
      <c r="H413" s="201"/>
      <c r="I413" s="66"/>
      <c r="J413" s="66"/>
      <c r="K413" s="66"/>
      <c r="L413" s="66"/>
      <c r="M413" s="66"/>
      <c r="N413" s="66"/>
      <c r="O413" s="66"/>
      <c r="P413" s="66"/>
      <c r="Q413" s="66"/>
      <c r="Z413" s="126"/>
    </row>
    <row r="414" spans="2:26" customFormat="1" ht="15" hidden="1" x14ac:dyDescent="0.25">
      <c r="B414" s="332"/>
      <c r="C414" s="337"/>
      <c r="D414" s="209"/>
      <c r="E414" s="213"/>
      <c r="F414" s="199"/>
      <c r="G414" s="200"/>
      <c r="H414" s="201"/>
      <c r="I414" s="66"/>
      <c r="J414" s="66"/>
      <c r="K414" s="66"/>
      <c r="L414" s="66"/>
      <c r="M414" s="66"/>
      <c r="N414" s="66"/>
      <c r="O414" s="66"/>
      <c r="P414" s="66"/>
      <c r="Q414" s="66"/>
      <c r="Z414" s="126"/>
    </row>
    <row r="415" spans="2:26" customFormat="1" ht="15" hidden="1" x14ac:dyDescent="0.25">
      <c r="B415" s="332"/>
      <c r="C415" s="337"/>
      <c r="D415" s="209"/>
      <c r="E415" s="213"/>
      <c r="F415" s="199"/>
      <c r="G415" s="200"/>
      <c r="H415" s="201"/>
      <c r="I415" s="66"/>
      <c r="J415" s="66"/>
      <c r="K415" s="66"/>
      <c r="L415" s="66"/>
      <c r="M415" s="66"/>
      <c r="N415" s="66"/>
      <c r="O415" s="66"/>
      <c r="P415" s="66"/>
      <c r="Q415" s="66"/>
      <c r="Z415" s="126"/>
    </row>
    <row r="416" spans="2:26" customFormat="1" ht="15" hidden="1" x14ac:dyDescent="0.25">
      <c r="B416" s="332"/>
      <c r="C416" s="337"/>
      <c r="D416" s="209"/>
      <c r="E416" s="213"/>
      <c r="F416" s="199"/>
      <c r="G416" s="200"/>
      <c r="H416" s="201"/>
      <c r="I416" s="66"/>
      <c r="J416" s="66"/>
      <c r="K416" s="66"/>
      <c r="L416" s="66"/>
      <c r="M416" s="66"/>
      <c r="N416" s="66"/>
      <c r="O416" s="66"/>
      <c r="P416" s="66"/>
      <c r="Q416" s="66"/>
      <c r="Z416" s="126"/>
    </row>
    <row r="417" spans="2:26" customFormat="1" ht="15" hidden="1" x14ac:dyDescent="0.25">
      <c r="B417" s="332"/>
      <c r="C417" s="337"/>
      <c r="D417" s="209"/>
      <c r="E417" s="213"/>
      <c r="F417" s="199"/>
      <c r="G417" s="200"/>
      <c r="H417" s="201"/>
      <c r="I417" s="66"/>
      <c r="J417" s="66"/>
      <c r="K417" s="66"/>
      <c r="L417" s="66"/>
      <c r="M417" s="66"/>
      <c r="N417" s="66"/>
      <c r="O417" s="66"/>
      <c r="P417" s="66"/>
      <c r="Q417" s="66"/>
      <c r="Z417" s="126"/>
    </row>
    <row r="418" spans="2:26" customFormat="1" x14ac:dyDescent="0.3">
      <c r="B418" s="332"/>
      <c r="C418" s="337"/>
      <c r="D418" s="209"/>
      <c r="E418" s="213"/>
      <c r="F418" s="199"/>
      <c r="G418" s="200"/>
      <c r="H418" s="201"/>
      <c r="I418" s="66"/>
      <c r="J418" s="66"/>
      <c r="K418" s="66"/>
      <c r="L418" s="66"/>
      <c r="M418" s="66"/>
      <c r="N418" s="66"/>
      <c r="O418" s="66"/>
      <c r="P418" s="66"/>
      <c r="Q418" s="66"/>
      <c r="Z418" s="126"/>
    </row>
  </sheetData>
  <mergeCells count="320">
    <mergeCell ref="B418:C418"/>
    <mergeCell ref="B409:C409"/>
    <mergeCell ref="B410:C410"/>
    <mergeCell ref="B411:C411"/>
    <mergeCell ref="B412:C412"/>
    <mergeCell ref="B413:C413"/>
    <mergeCell ref="B414:C414"/>
    <mergeCell ref="B415:C415"/>
    <mergeCell ref="B416:C416"/>
    <mergeCell ref="B417:C417"/>
    <mergeCell ref="B106:C106"/>
    <mergeCell ref="B405:C405"/>
    <mergeCell ref="B406:C406"/>
    <mergeCell ref="B407:C407"/>
    <mergeCell ref="B408:C408"/>
    <mergeCell ref="B107:E107"/>
    <mergeCell ref="B108:E108"/>
    <mergeCell ref="B109:E109"/>
    <mergeCell ref="B110:E110"/>
    <mergeCell ref="B337:E337"/>
    <mergeCell ref="B373:E373"/>
    <mergeCell ref="B166:C166"/>
    <mergeCell ref="B132:C132"/>
    <mergeCell ref="B333:E333"/>
    <mergeCell ref="B335:C335"/>
    <mergeCell ref="B361:C361"/>
    <mergeCell ref="B362:C362"/>
    <mergeCell ref="B363:C363"/>
    <mergeCell ref="B364:C364"/>
    <mergeCell ref="B365:C365"/>
    <mergeCell ref="B338:C338"/>
    <mergeCell ref="B354:C354"/>
    <mergeCell ref="B355:C355"/>
    <mergeCell ref="B356:C356"/>
    <mergeCell ref="B99:C99"/>
    <mergeCell ref="B105:C105"/>
    <mergeCell ref="B100:E100"/>
    <mergeCell ref="B101:E101"/>
    <mergeCell ref="B102:E102"/>
    <mergeCell ref="B103:E103"/>
    <mergeCell ref="B104:E104"/>
    <mergeCell ref="B89:E89"/>
    <mergeCell ref="B88:E88"/>
    <mergeCell ref="B92:C92"/>
    <mergeCell ref="B95:E95"/>
    <mergeCell ref="B96:E96"/>
    <mergeCell ref="B87:E87"/>
    <mergeCell ref="B93:E93"/>
    <mergeCell ref="B94:E94"/>
    <mergeCell ref="B98:C98"/>
    <mergeCell ref="B97:C97"/>
    <mergeCell ref="B42:E42"/>
    <mergeCell ref="B48:E48"/>
    <mergeCell ref="B44:E44"/>
    <mergeCell ref="B53:E53"/>
    <mergeCell ref="B54:E54"/>
    <mergeCell ref="B55:E55"/>
    <mergeCell ref="B56:E56"/>
    <mergeCell ref="B60:E60"/>
    <mergeCell ref="B61:E61"/>
    <mergeCell ref="B62:E62"/>
    <mergeCell ref="B66:E66"/>
    <mergeCell ref="B67:E67"/>
    <mergeCell ref="B68:E68"/>
    <mergeCell ref="B72:E72"/>
    <mergeCell ref="B73:E73"/>
    <mergeCell ref="B77:E77"/>
    <mergeCell ref="B78:E78"/>
    <mergeCell ref="B90:C90"/>
    <mergeCell ref="B91:C91"/>
    <mergeCell ref="B81:C81"/>
    <mergeCell ref="B82:C82"/>
    <mergeCell ref="B83:C83"/>
    <mergeCell ref="B79:E79"/>
    <mergeCell ref="B80:E80"/>
    <mergeCell ref="B84:E84"/>
    <mergeCell ref="B85:E85"/>
    <mergeCell ref="B86:E86"/>
    <mergeCell ref="B70:C70"/>
    <mergeCell ref="B71:C71"/>
    <mergeCell ref="B74:C74"/>
    <mergeCell ref="B75:C75"/>
    <mergeCell ref="B76:C76"/>
    <mergeCell ref="B63:C63"/>
    <mergeCell ref="B64:C64"/>
    <mergeCell ref="B65:C65"/>
    <mergeCell ref="B69:C69"/>
    <mergeCell ref="B52:C52"/>
    <mergeCell ref="B57:C57"/>
    <mergeCell ref="B58:C58"/>
    <mergeCell ref="B59:C59"/>
    <mergeCell ref="B45:C45"/>
    <mergeCell ref="B46:C46"/>
    <mergeCell ref="B47:C47"/>
    <mergeCell ref="B49:C49"/>
    <mergeCell ref="B50:C50"/>
    <mergeCell ref="B51:C51"/>
    <mergeCell ref="B25:C25"/>
    <mergeCell ref="B200:C200"/>
    <mergeCell ref="B235:C235"/>
    <mergeCell ref="B294:C294"/>
    <mergeCell ref="B264:C264"/>
    <mergeCell ref="B38:C38"/>
    <mergeCell ref="B140:C140"/>
    <mergeCell ref="B174:C174"/>
    <mergeCell ref="B208:C208"/>
    <mergeCell ref="B242:C242"/>
    <mergeCell ref="B271:C271"/>
    <mergeCell ref="B167:C167"/>
    <mergeCell ref="B168:C168"/>
    <mergeCell ref="B170:C170"/>
    <mergeCell ref="B154:E154"/>
    <mergeCell ref="B156:E156"/>
    <mergeCell ref="B27:C27"/>
    <mergeCell ref="B151:E151"/>
    <mergeCell ref="B153:E153"/>
    <mergeCell ref="B158:C158"/>
    <mergeCell ref="B159:C159"/>
    <mergeCell ref="B112:E112"/>
    <mergeCell ref="B114:E114"/>
    <mergeCell ref="B116:E116"/>
    <mergeCell ref="B357:C357"/>
    <mergeCell ref="B348:E348"/>
    <mergeCell ref="B305:E305"/>
    <mergeCell ref="B307:E307"/>
    <mergeCell ref="B309:E309"/>
    <mergeCell ref="B311:E311"/>
    <mergeCell ref="B313:E313"/>
    <mergeCell ref="B315:E315"/>
    <mergeCell ref="B317:E317"/>
    <mergeCell ref="B320:E320"/>
    <mergeCell ref="B331:E331"/>
    <mergeCell ref="B1:E1"/>
    <mergeCell ref="B2:E2"/>
    <mergeCell ref="B3:E3"/>
    <mergeCell ref="B6:E6"/>
    <mergeCell ref="B7:E7"/>
    <mergeCell ref="B8:E8"/>
    <mergeCell ref="B5:E5"/>
    <mergeCell ref="B9:E9"/>
    <mergeCell ref="B11:E11"/>
    <mergeCell ref="B4:E4"/>
    <mergeCell ref="B13:E13"/>
    <mergeCell ref="B15:E15"/>
    <mergeCell ref="B17:E17"/>
    <mergeCell ref="B19:E19"/>
    <mergeCell ref="B21:E21"/>
    <mergeCell ref="B23:C23"/>
    <mergeCell ref="B24:C24"/>
    <mergeCell ref="B26:C26"/>
    <mergeCell ref="B211:E211"/>
    <mergeCell ref="B37:C37"/>
    <mergeCell ref="B39:C39"/>
    <mergeCell ref="B28:C28"/>
    <mergeCell ref="B29:C29"/>
    <mergeCell ref="B31:C31"/>
    <mergeCell ref="B32:C32"/>
    <mergeCell ref="B34:C34"/>
    <mergeCell ref="B36:C36"/>
    <mergeCell ref="B111:E111"/>
    <mergeCell ref="B30:C30"/>
    <mergeCell ref="B142:E142"/>
    <mergeCell ref="B143:E143"/>
    <mergeCell ref="B145:E145"/>
    <mergeCell ref="B147:E147"/>
    <mergeCell ref="B149:E149"/>
    <mergeCell ref="B118:E118"/>
    <mergeCell ref="B120:E120"/>
    <mergeCell ref="B133:C133"/>
    <mergeCell ref="B134:C134"/>
    <mergeCell ref="B139:C139"/>
    <mergeCell ref="B141:C141"/>
    <mergeCell ref="B129:C129"/>
    <mergeCell ref="B130:C130"/>
    <mergeCell ref="B131:C131"/>
    <mergeCell ref="B122:E122"/>
    <mergeCell ref="B124:E124"/>
    <mergeCell ref="B126:C126"/>
    <mergeCell ref="B127:C127"/>
    <mergeCell ref="B128:C128"/>
    <mergeCell ref="B136:C136"/>
    <mergeCell ref="B138:C138"/>
    <mergeCell ref="B163:C163"/>
    <mergeCell ref="B162:C162"/>
    <mergeCell ref="B164:C164"/>
    <mergeCell ref="B251:E251"/>
    <mergeCell ref="B253:E253"/>
    <mergeCell ref="B229:C229"/>
    <mergeCell ref="B230:C230"/>
    <mergeCell ref="B232:C232"/>
    <mergeCell ref="B233:C233"/>
    <mergeCell ref="B238:C238"/>
    <mergeCell ref="B236:C236"/>
    <mergeCell ref="B237:C237"/>
    <mergeCell ref="B241:C241"/>
    <mergeCell ref="B243:C243"/>
    <mergeCell ref="B244:E244"/>
    <mergeCell ref="B247:E247"/>
    <mergeCell ref="B234:C234"/>
    <mergeCell ref="B240:C240"/>
    <mergeCell ref="B245:E245"/>
    <mergeCell ref="B249:E249"/>
    <mergeCell ref="B231:C231"/>
    <mergeCell ref="B197:C197"/>
    <mergeCell ref="B198:C198"/>
    <mergeCell ref="B201:C201"/>
    <mergeCell ref="B255:E255"/>
    <mergeCell ref="B259:C259"/>
    <mergeCell ref="B260:C260"/>
    <mergeCell ref="B261:C261"/>
    <mergeCell ref="B262:C262"/>
    <mergeCell ref="B263:C263"/>
    <mergeCell ref="B257:E257"/>
    <mergeCell ref="B266:C266"/>
    <mergeCell ref="B267:C267"/>
    <mergeCell ref="B284:E284"/>
    <mergeCell ref="B280:E280"/>
    <mergeCell ref="B286:E286"/>
    <mergeCell ref="B288:C288"/>
    <mergeCell ref="B296:C296"/>
    <mergeCell ref="B298:C298"/>
    <mergeCell ref="B265:C265"/>
    <mergeCell ref="B269:C269"/>
    <mergeCell ref="B270:C270"/>
    <mergeCell ref="B404:C404"/>
    <mergeCell ref="B366:C366"/>
    <mergeCell ref="B369:C369"/>
    <mergeCell ref="B370:C370"/>
    <mergeCell ref="B401:C401"/>
    <mergeCell ref="B402:C402"/>
    <mergeCell ref="B403:C403"/>
    <mergeCell ref="B384:C384"/>
    <mergeCell ref="B385:C385"/>
    <mergeCell ref="B386:C386"/>
    <mergeCell ref="B387:C387"/>
    <mergeCell ref="B388:C388"/>
    <mergeCell ref="B389:C389"/>
    <mergeCell ref="B390:C390"/>
    <mergeCell ref="B391:C391"/>
    <mergeCell ref="B392:C392"/>
    <mergeCell ref="B393:C393"/>
    <mergeCell ref="B394:C394"/>
    <mergeCell ref="B395:C395"/>
    <mergeCell ref="B381:E381"/>
    <mergeCell ref="B383:E383"/>
    <mergeCell ref="B396:C396"/>
    <mergeCell ref="B400:E400"/>
    <mergeCell ref="B371:C371"/>
    <mergeCell ref="B377:E377"/>
    <mergeCell ref="B379:E379"/>
    <mergeCell ref="B372:C372"/>
    <mergeCell ref="B375:E375"/>
    <mergeCell ref="B215:E215"/>
    <mergeCell ref="B217:E217"/>
    <mergeCell ref="B219:E219"/>
    <mergeCell ref="B224:E224"/>
    <mergeCell ref="B228:C228"/>
    <mergeCell ref="B359:C359"/>
    <mergeCell ref="B339:C339"/>
    <mergeCell ref="B342:E342"/>
    <mergeCell ref="B352:C352"/>
    <mergeCell ref="B353:C353"/>
    <mergeCell ref="B302:C302"/>
    <mergeCell ref="B301:C301"/>
    <mergeCell ref="B289:C289"/>
    <mergeCell ref="B290:C290"/>
    <mergeCell ref="B291:C291"/>
    <mergeCell ref="B321:E321"/>
    <mergeCell ref="B323:E323"/>
    <mergeCell ref="B221:E221"/>
    <mergeCell ref="B223:E223"/>
    <mergeCell ref="B226:E226"/>
    <mergeCell ref="B207:C207"/>
    <mergeCell ref="B202:C202"/>
    <mergeCell ref="B204:C204"/>
    <mergeCell ref="B209:C209"/>
    <mergeCell ref="B358:C358"/>
    <mergeCell ref="B344:E344"/>
    <mergeCell ref="B346:E346"/>
    <mergeCell ref="B351:C351"/>
    <mergeCell ref="B325:E325"/>
    <mergeCell ref="B327:E327"/>
    <mergeCell ref="B329:E329"/>
    <mergeCell ref="B293:C293"/>
    <mergeCell ref="B319:E319"/>
    <mergeCell ref="B303:C303"/>
    <mergeCell ref="B304:E304"/>
    <mergeCell ref="B272:C272"/>
    <mergeCell ref="B273:E273"/>
    <mergeCell ref="B274:E274"/>
    <mergeCell ref="B276:E276"/>
    <mergeCell ref="B278:E278"/>
    <mergeCell ref="B292:C292"/>
    <mergeCell ref="B295:C295"/>
    <mergeCell ref="B300:C300"/>
    <mergeCell ref="B282:E282"/>
    <mergeCell ref="B161:C161"/>
    <mergeCell ref="B165:C165"/>
    <mergeCell ref="B195:C195"/>
    <mergeCell ref="B199:C199"/>
    <mergeCell ref="B212:E212"/>
    <mergeCell ref="B213:E213"/>
    <mergeCell ref="B160:C160"/>
    <mergeCell ref="B187:E187"/>
    <mergeCell ref="B192:C192"/>
    <mergeCell ref="B193:C193"/>
    <mergeCell ref="B194:C194"/>
    <mergeCell ref="B196:C196"/>
    <mergeCell ref="B172:C172"/>
    <mergeCell ref="B177:E177"/>
    <mergeCell ref="B181:E181"/>
    <mergeCell ref="B183:E183"/>
    <mergeCell ref="B185:E185"/>
    <mergeCell ref="B173:C173"/>
    <mergeCell ref="B175:C175"/>
    <mergeCell ref="B176:E176"/>
    <mergeCell ref="B179:E179"/>
    <mergeCell ref="B188:E188"/>
    <mergeCell ref="B190:E190"/>
    <mergeCell ref="B206:C206"/>
  </mergeCells>
  <dataValidations disablePrompts="1" count="1">
    <dataValidation allowBlank="1" showInputMessage="1" showErrorMessage="1" sqref="AA1:AA9"/>
  </dataValidations>
  <pageMargins left="0" right="0" top="0.19685039370078741" bottom="0.15748031496062992" header="0.31496062992125984" footer="0.31496062992125984"/>
  <pageSetup orientation="portrait" r:id="rId1"/>
  <rowBreaks count="12" manualBreakCount="12">
    <brk id="70" max="16383" man="1"/>
    <brk id="105" max="16383" man="1"/>
    <brk id="110" max="16383" man="1"/>
    <brk id="141" max="16383" man="1"/>
    <brk id="211" max="16383" man="1"/>
    <brk id="243" max="16383" man="1"/>
    <brk id="272" max="16383" man="1"/>
    <brk id="303" max="16383" man="1"/>
    <brk id="319" max="16383" man="1"/>
    <brk id="336" max="16383" man="1"/>
    <brk id="372" max="16383" man="1"/>
    <brk id="40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Button 1">
              <controlPr defaultSize="0" print="0" autoFill="0" autoPict="0" macro="[1]!copysheettonew">
                <anchor moveWithCells="1" sizeWithCells="1">
                  <from>
                    <xdr:col>5</xdr:col>
                    <xdr:colOff>0</xdr:colOff>
                    <xdr:row>0</xdr:row>
                    <xdr:rowOff>106680</xdr:rowOff>
                  </from>
                  <to>
                    <xdr:col>5</xdr:col>
                    <xdr:colOff>0</xdr:colOff>
                    <xdr:row>2</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7:X41"/>
  <sheetViews>
    <sheetView topLeftCell="A22" workbookViewId="0">
      <selection activeCell="E37" sqref="E37"/>
    </sheetView>
  </sheetViews>
  <sheetFormatPr defaultColWidth="9.109375" defaultRowHeight="14.4" x14ac:dyDescent="0.3"/>
  <cols>
    <col min="1" max="1" width="61.5546875" style="2" bestFit="1" customWidth="1"/>
    <col min="2" max="2" width="9.109375" style="2"/>
    <col min="3" max="3" width="23.5546875" style="2" customWidth="1"/>
    <col min="4" max="5" width="16" style="2" bestFit="1" customWidth="1"/>
    <col min="6" max="6" width="12.6640625" style="2" bestFit="1" customWidth="1"/>
    <col min="7" max="7" width="16.5546875" style="2" bestFit="1" customWidth="1"/>
    <col min="8" max="9" width="16.88671875" style="2" bestFit="1" customWidth="1"/>
    <col min="10" max="10" width="19.6640625" style="2" customWidth="1"/>
    <col min="11" max="11" width="15.44140625" style="2" bestFit="1" customWidth="1"/>
    <col min="12" max="13" width="16.88671875" style="2" bestFit="1" customWidth="1"/>
    <col min="14" max="14" width="19.33203125" style="2" bestFit="1" customWidth="1"/>
    <col min="15" max="15" width="23.44140625" style="2" customWidth="1"/>
    <col min="16" max="16" width="17.88671875" style="2" bestFit="1" customWidth="1"/>
    <col min="17" max="18" width="19.33203125" style="2" bestFit="1" customWidth="1"/>
    <col min="19" max="19" width="17.5546875" style="2" bestFit="1" customWidth="1"/>
    <col min="20" max="16384" width="9.109375" style="2"/>
  </cols>
  <sheetData>
    <row r="7" spans="1:20" ht="15" x14ac:dyDescent="0.25">
      <c r="A7" s="2" t="s">
        <v>504</v>
      </c>
      <c r="B7" s="2">
        <v>12</v>
      </c>
    </row>
    <row r="8" spans="1:20" ht="15" x14ac:dyDescent="0.25">
      <c r="A8" s="2" t="s">
        <v>503</v>
      </c>
      <c r="B8" s="2">
        <v>9</v>
      </c>
    </row>
    <row r="12" spans="1:20" ht="15.75" x14ac:dyDescent="0.25">
      <c r="A12" s="112" t="s">
        <v>404</v>
      </c>
    </row>
    <row r="13" spans="1:20" ht="15.75" x14ac:dyDescent="0.25">
      <c r="A13" s="240" t="s">
        <v>405</v>
      </c>
    </row>
    <row r="15" spans="1:20" s="243" customFormat="1" ht="51" x14ac:dyDescent="0.2">
      <c r="A15" s="241" t="s">
        <v>0</v>
      </c>
      <c r="B15" s="242"/>
      <c r="C15" s="242" t="s">
        <v>64</v>
      </c>
      <c r="D15" s="242" t="s">
        <v>63</v>
      </c>
      <c r="E15" s="242" t="s">
        <v>65</v>
      </c>
      <c r="F15" s="242" t="s">
        <v>406</v>
      </c>
      <c r="G15" s="242" t="s">
        <v>407</v>
      </c>
      <c r="H15" s="242" t="s">
        <v>408</v>
      </c>
      <c r="I15" s="242" t="s">
        <v>66</v>
      </c>
      <c r="J15" s="242" t="s">
        <v>67</v>
      </c>
      <c r="K15" s="242" t="s">
        <v>68</v>
      </c>
      <c r="L15" s="242" t="s">
        <v>69</v>
      </c>
      <c r="M15" s="242" t="s">
        <v>409</v>
      </c>
      <c r="N15" s="242" t="s">
        <v>410</v>
      </c>
      <c r="O15" s="242" t="s">
        <v>411</v>
      </c>
      <c r="P15" s="242" t="s">
        <v>70</v>
      </c>
    </row>
    <row r="16" spans="1:20" s="115" customFormat="1" ht="15.75" x14ac:dyDescent="0.25">
      <c r="A16" s="114"/>
      <c r="B16" s="113"/>
      <c r="C16" s="113" t="s">
        <v>71</v>
      </c>
      <c r="D16" s="113" t="s">
        <v>72</v>
      </c>
      <c r="E16" s="113" t="s">
        <v>73</v>
      </c>
      <c r="F16" s="113" t="s">
        <v>74</v>
      </c>
      <c r="G16" s="113" t="s">
        <v>75</v>
      </c>
      <c r="H16" s="113" t="s">
        <v>76</v>
      </c>
      <c r="I16" s="113" t="s">
        <v>77</v>
      </c>
      <c r="J16" s="113" t="s">
        <v>78</v>
      </c>
      <c r="K16" s="113" t="s">
        <v>79</v>
      </c>
      <c r="L16" s="113" t="s">
        <v>80</v>
      </c>
      <c r="M16" s="113" t="s">
        <v>81</v>
      </c>
      <c r="N16" s="113" t="s">
        <v>82</v>
      </c>
      <c r="O16" s="113" t="s">
        <v>83</v>
      </c>
      <c r="P16" s="113" t="s">
        <v>84</v>
      </c>
      <c r="Q16" s="244"/>
      <c r="R16" s="244"/>
      <c r="S16" s="244"/>
      <c r="T16" s="244"/>
    </row>
    <row r="17" spans="1:24" ht="15.75" customHeight="1" thickBot="1" x14ac:dyDescent="0.3">
      <c r="A17" s="245" t="s">
        <v>140</v>
      </c>
      <c r="B17" s="2" t="s">
        <v>412</v>
      </c>
      <c r="C17" s="246">
        <v>176865</v>
      </c>
      <c r="D17" s="247">
        <v>1423857474.8199999</v>
      </c>
      <c r="E17" s="247"/>
      <c r="F17" s="248">
        <v>12.83</v>
      </c>
      <c r="G17" s="249">
        <v>1.29E-2</v>
      </c>
      <c r="H17" s="250"/>
      <c r="I17" s="191">
        <f t="shared" ref="I17:I24" si="0">F17*C17*12</f>
        <v>27230135.400000002</v>
      </c>
      <c r="J17" s="191">
        <f t="shared" ref="J17:K24" si="1">D17*G17</f>
        <v>18367761.425177999</v>
      </c>
      <c r="K17" s="191">
        <f t="shared" si="1"/>
        <v>0</v>
      </c>
      <c r="L17" s="191">
        <f t="shared" ref="L17:L24" si="2">I17+J17+K17</f>
        <v>45597896.825177997</v>
      </c>
      <c r="M17" s="251">
        <f t="shared" ref="M17:M24" si="3">IF(ISERROR(I17/L17),0,I17/L17)</f>
        <v>0.59717963537660834</v>
      </c>
      <c r="N17" s="251">
        <f t="shared" ref="N17:N24" si="4">IF(ISERROR(J17/L17),0,J17/L17)</f>
        <v>0.40282036462339177</v>
      </c>
      <c r="O17" s="251">
        <f t="shared" ref="O17:O24" si="5">IF(ISERROR(K17/L17),0,K17/L17)</f>
        <v>0</v>
      </c>
      <c r="P17" s="251">
        <f>IF(ISERROR(L17/L25),0,L17/L25)</f>
        <v>0.38622283275663399</v>
      </c>
    </row>
    <row r="18" spans="1:24" ht="15.75" customHeight="1" thickBot="1" x14ac:dyDescent="0.3">
      <c r="A18" s="245" t="s">
        <v>141</v>
      </c>
      <c r="B18" s="2" t="s">
        <v>412</v>
      </c>
      <c r="C18" s="252">
        <v>17703</v>
      </c>
      <c r="D18" s="253">
        <v>612188100.89999998</v>
      </c>
      <c r="E18" s="253"/>
      <c r="F18" s="254">
        <v>39.49</v>
      </c>
      <c r="G18" s="255">
        <v>1.15E-2</v>
      </c>
      <c r="H18" s="256"/>
      <c r="I18" s="191">
        <f t="shared" si="0"/>
        <v>8389097.6400000006</v>
      </c>
      <c r="J18" s="191">
        <f t="shared" si="1"/>
        <v>7040163.1603499996</v>
      </c>
      <c r="K18" s="191">
        <f t="shared" si="1"/>
        <v>0</v>
      </c>
      <c r="L18" s="191">
        <f t="shared" si="2"/>
        <v>15429260.800349999</v>
      </c>
      <c r="M18" s="251">
        <f t="shared" si="3"/>
        <v>0.5437135160622667</v>
      </c>
      <c r="N18" s="251">
        <f t="shared" si="4"/>
        <v>0.45628648393773341</v>
      </c>
      <c r="O18" s="251">
        <f t="shared" si="5"/>
        <v>0</v>
      </c>
      <c r="P18" s="251">
        <f>IF(ISERROR(L18/L25),0,L18/L25)</f>
        <v>0.13068876480201133</v>
      </c>
    </row>
    <row r="19" spans="1:24" ht="15.75" customHeight="1" thickBot="1" x14ac:dyDescent="0.3">
      <c r="A19" s="245" t="s">
        <v>143</v>
      </c>
      <c r="B19" s="2" t="s">
        <v>88</v>
      </c>
      <c r="C19" s="252">
        <v>3950</v>
      </c>
      <c r="D19" s="253"/>
      <c r="E19" s="253">
        <v>6222022.0899999999</v>
      </c>
      <c r="F19" s="254">
        <v>69.540000000000006</v>
      </c>
      <c r="G19" s="255"/>
      <c r="H19" s="256">
        <v>4.1852999999999998</v>
      </c>
      <c r="I19" s="191">
        <f t="shared" si="0"/>
        <v>3296196</v>
      </c>
      <c r="J19" s="191">
        <f t="shared" si="1"/>
        <v>0</v>
      </c>
      <c r="K19" s="191">
        <f t="shared" si="1"/>
        <v>26041029.053276997</v>
      </c>
      <c r="L19" s="191">
        <f t="shared" si="2"/>
        <v>29337225.053276997</v>
      </c>
      <c r="M19" s="251">
        <f t="shared" si="3"/>
        <v>0.11235541173420598</v>
      </c>
      <c r="N19" s="251">
        <f t="shared" si="4"/>
        <v>0</v>
      </c>
      <c r="O19" s="251">
        <f t="shared" si="5"/>
        <v>0.88764458826579407</v>
      </c>
      <c r="P19" s="251">
        <f>IF(ISERROR(L19/L25),0,L19/L25)</f>
        <v>0.24849185936661464</v>
      </c>
    </row>
    <row r="20" spans="1:24" ht="15.75" customHeight="1" thickBot="1" x14ac:dyDescent="0.3">
      <c r="A20" s="245" t="s">
        <v>144</v>
      </c>
      <c r="B20" s="2" t="s">
        <v>88</v>
      </c>
      <c r="C20" s="252">
        <v>464</v>
      </c>
      <c r="D20" s="253"/>
      <c r="E20" s="253">
        <v>5154338</v>
      </c>
      <c r="F20" s="254">
        <v>1583.69</v>
      </c>
      <c r="G20" s="255"/>
      <c r="H20" s="256">
        <v>2.1536</v>
      </c>
      <c r="I20" s="191">
        <f t="shared" si="0"/>
        <v>8817985.9199999999</v>
      </c>
      <c r="J20" s="191">
        <f t="shared" si="1"/>
        <v>0</v>
      </c>
      <c r="K20" s="191">
        <f t="shared" si="1"/>
        <v>11100382.3168</v>
      </c>
      <c r="L20" s="191">
        <f t="shared" si="2"/>
        <v>19918368.2368</v>
      </c>
      <c r="M20" s="251">
        <f t="shared" si="3"/>
        <v>0.44270624054978613</v>
      </c>
      <c r="N20" s="251">
        <f t="shared" si="4"/>
        <v>0</v>
      </c>
      <c r="O20" s="251">
        <f t="shared" si="5"/>
        <v>0.55729375945021387</v>
      </c>
      <c r="P20" s="251">
        <f>IF(ISERROR(L20/L25),0,L20/L25)</f>
        <v>0.16871235605013296</v>
      </c>
    </row>
    <row r="21" spans="1:24" ht="15.75" customHeight="1" thickBot="1" x14ac:dyDescent="0.3">
      <c r="A21" s="245" t="s">
        <v>222</v>
      </c>
      <c r="B21" s="2" t="s">
        <v>88</v>
      </c>
      <c r="C21" s="252">
        <v>9</v>
      </c>
      <c r="D21" s="253"/>
      <c r="E21" s="253">
        <v>1737266.52</v>
      </c>
      <c r="F21" s="254">
        <v>12486.8</v>
      </c>
      <c r="G21" s="255"/>
      <c r="H21" s="256">
        <v>2.6730999999999998</v>
      </c>
      <c r="I21" s="191">
        <f t="shared" si="0"/>
        <v>1348574.4</v>
      </c>
      <c r="J21" s="191">
        <f t="shared" si="1"/>
        <v>0</v>
      </c>
      <c r="K21" s="191">
        <f t="shared" si="1"/>
        <v>4643887.1346119996</v>
      </c>
      <c r="L21" s="191">
        <f t="shared" si="2"/>
        <v>5992461.534612</v>
      </c>
      <c r="M21" s="251">
        <f t="shared" si="3"/>
        <v>0.22504514917796922</v>
      </c>
      <c r="N21" s="251">
        <f t="shared" si="4"/>
        <v>0</v>
      </c>
      <c r="O21" s="251">
        <f t="shared" si="5"/>
        <v>0.77495485082203075</v>
      </c>
      <c r="P21" s="251">
        <f>IF(ISERROR(L21/L25),0,L21/L25)</f>
        <v>5.0757285537894506E-2</v>
      </c>
    </row>
    <row r="22" spans="1:24" ht="15.75" customHeight="1" thickBot="1" x14ac:dyDescent="0.3">
      <c r="A22" s="245" t="s">
        <v>142</v>
      </c>
      <c r="B22" s="2" t="s">
        <v>412</v>
      </c>
      <c r="C22" s="252">
        <v>2942</v>
      </c>
      <c r="D22" s="253">
        <v>10383026.67</v>
      </c>
      <c r="E22" s="253"/>
      <c r="F22" s="254">
        <v>8.15</v>
      </c>
      <c r="G22" s="255">
        <v>1.49E-2</v>
      </c>
      <c r="H22" s="256"/>
      <c r="I22" s="191">
        <f t="shared" si="0"/>
        <v>287727.59999999998</v>
      </c>
      <c r="J22" s="191">
        <f t="shared" si="1"/>
        <v>154707.09738299999</v>
      </c>
      <c r="K22" s="191">
        <f t="shared" si="1"/>
        <v>0</v>
      </c>
      <c r="L22" s="191">
        <f t="shared" si="2"/>
        <v>442434.69738299993</v>
      </c>
      <c r="M22" s="251">
        <f t="shared" si="3"/>
        <v>0.65032783753604306</v>
      </c>
      <c r="N22" s="251">
        <f t="shared" si="4"/>
        <v>0.34967216246395694</v>
      </c>
      <c r="O22" s="251">
        <f t="shared" si="5"/>
        <v>0</v>
      </c>
      <c r="P22" s="251">
        <f>IF(ISERROR(L22/L25),0,L22/L25)</f>
        <v>3.7475057849319857E-3</v>
      </c>
    </row>
    <row r="23" spans="1:24" ht="15.75" customHeight="1" thickBot="1" x14ac:dyDescent="0.3">
      <c r="A23" s="245" t="s">
        <v>145</v>
      </c>
      <c r="B23" s="2" t="s">
        <v>412</v>
      </c>
      <c r="C23" s="252">
        <v>49986</v>
      </c>
      <c r="D23" s="253">
        <v>0</v>
      </c>
      <c r="E23" s="253">
        <v>49889</v>
      </c>
      <c r="F23" s="254">
        <v>1.37</v>
      </c>
      <c r="G23" s="255"/>
      <c r="H23" s="256">
        <v>10.457100000000001</v>
      </c>
      <c r="I23" s="191">
        <f t="shared" si="0"/>
        <v>821769.84000000008</v>
      </c>
      <c r="J23" s="191">
        <f t="shared" si="1"/>
        <v>0</v>
      </c>
      <c r="K23" s="191">
        <f t="shared" si="1"/>
        <v>521694.26190000004</v>
      </c>
      <c r="L23" s="191">
        <f t="shared" si="2"/>
        <v>1343464.1019000001</v>
      </c>
      <c r="M23" s="251">
        <f t="shared" si="3"/>
        <v>0.61167979020638397</v>
      </c>
      <c r="N23" s="251">
        <f t="shared" si="4"/>
        <v>0</v>
      </c>
      <c r="O23" s="251">
        <f t="shared" si="5"/>
        <v>0.38832020979361609</v>
      </c>
      <c r="P23" s="251">
        <f>IF(ISERROR(L23/L25),0,L23/L25)</f>
        <v>1.1379395701780589E-2</v>
      </c>
    </row>
    <row r="24" spans="1:24" ht="15.75" customHeight="1" thickBot="1" x14ac:dyDescent="0.3">
      <c r="A24" s="257" t="s">
        <v>234</v>
      </c>
      <c r="B24" s="258" t="s">
        <v>88</v>
      </c>
      <c r="C24" s="259"/>
      <c r="D24" s="260"/>
      <c r="E24" s="260"/>
      <c r="F24" s="261"/>
      <c r="G24" s="262"/>
      <c r="H24" s="263"/>
      <c r="I24" s="195">
        <f t="shared" si="0"/>
        <v>0</v>
      </c>
      <c r="J24" s="195">
        <f t="shared" si="1"/>
        <v>0</v>
      </c>
      <c r="K24" s="195">
        <f t="shared" si="1"/>
        <v>0</v>
      </c>
      <c r="L24" s="195">
        <f t="shared" si="2"/>
        <v>0</v>
      </c>
      <c r="M24" s="264">
        <f t="shared" si="3"/>
        <v>0</v>
      </c>
      <c r="N24" s="264">
        <f t="shared" si="4"/>
        <v>0</v>
      </c>
      <c r="O24" s="264">
        <f t="shared" si="5"/>
        <v>0</v>
      </c>
      <c r="P24" s="264">
        <f>IF(ISERROR(L24/L25),0,L24/L25)</f>
        <v>0</v>
      </c>
      <c r="Q24" s="77"/>
      <c r="R24" s="77"/>
      <c r="S24" s="77"/>
      <c r="T24" s="77"/>
      <c r="U24" s="77"/>
      <c r="V24" s="77"/>
      <c r="W24" s="77"/>
      <c r="X24" s="77"/>
    </row>
    <row r="25" spans="1:24" ht="15" x14ac:dyDescent="0.25">
      <c r="A25" s="119" t="s">
        <v>3</v>
      </c>
      <c r="C25" s="265">
        <f>SUM(C17:C24)</f>
        <v>251919</v>
      </c>
      <c r="D25" s="265">
        <f>SUM(D17:D24)</f>
        <v>2046428602.3899999</v>
      </c>
      <c r="E25" s="265">
        <f>SUM(E17:E24)</f>
        <v>13163515.609999999</v>
      </c>
      <c r="I25" s="191">
        <f>SUM(I17:I24)</f>
        <v>50191486.800000012</v>
      </c>
      <c r="J25" s="191">
        <f>SUM(J17:J24)</f>
        <v>25562631.682910997</v>
      </c>
      <c r="K25" s="191">
        <f>SUM(K17:K24)</f>
        <v>42306992.766589001</v>
      </c>
      <c r="L25" s="191">
        <f>SUM(L17:L24)</f>
        <v>118061111.24949999</v>
      </c>
      <c r="P25" s="192">
        <f>SUM(P17:P24)</f>
        <v>1</v>
      </c>
    </row>
    <row r="28" spans="1:24" ht="38.25" x14ac:dyDescent="0.25">
      <c r="A28" s="266" t="s">
        <v>0</v>
      </c>
      <c r="B28" s="190"/>
      <c r="C28" s="190" t="s">
        <v>413</v>
      </c>
      <c r="D28" s="190" t="s">
        <v>414</v>
      </c>
      <c r="E28" s="190" t="s">
        <v>85</v>
      </c>
      <c r="F28" s="190" t="s">
        <v>415</v>
      </c>
      <c r="G28" s="190"/>
      <c r="H28" s="190"/>
      <c r="I28" s="190"/>
    </row>
    <row r="29" spans="1:24" ht="15.75" customHeight="1" x14ac:dyDescent="0.25">
      <c r="A29" s="245" t="s">
        <v>140</v>
      </c>
      <c r="B29" s="2" t="s">
        <v>412</v>
      </c>
      <c r="C29" s="267">
        <v>1469096847</v>
      </c>
      <c r="D29" s="267">
        <v>0</v>
      </c>
      <c r="E29" s="191">
        <f>P17*E37</f>
        <v>11966.075349628623</v>
      </c>
      <c r="F29" s="268">
        <f>IF(ISERROR(E29/C17), 0,ROUND(E29/C17/12, 2))/B7*B8</f>
        <v>7.5000000000000006E-3</v>
      </c>
      <c r="G29" s="2" t="s">
        <v>416</v>
      </c>
    </row>
    <row r="30" spans="1:24" ht="15.75" customHeight="1" x14ac:dyDescent="0.25">
      <c r="A30" s="245" t="s">
        <v>141</v>
      </c>
      <c r="B30" s="2" t="s">
        <v>412</v>
      </c>
      <c r="C30" s="267">
        <v>647112058</v>
      </c>
      <c r="D30" s="267">
        <v>0</v>
      </c>
      <c r="E30" s="191">
        <f>P18*E37</f>
        <v>4049.0397623802819</v>
      </c>
      <c r="F30" s="269">
        <f>IF(ISERROR(E30/C30), 0,E30/C30)/B8*B7</f>
        <v>8.3427895005685544E-6</v>
      </c>
      <c r="G30" s="2" t="s">
        <v>412</v>
      </c>
    </row>
    <row r="31" spans="1:24" ht="15.75" customHeight="1" x14ac:dyDescent="0.25">
      <c r="A31" s="245" t="s">
        <v>143</v>
      </c>
      <c r="B31" s="2" t="s">
        <v>88</v>
      </c>
      <c r="C31" s="267">
        <v>2104160255</v>
      </c>
      <c r="D31" s="267">
        <v>6035821</v>
      </c>
      <c r="E31" s="191">
        <f>P19*E37</f>
        <v>7698.8517010434452</v>
      </c>
      <c r="F31" s="269">
        <f>IF(ISERROR(E31/D31), 0,E31/D31)/B8*B7</f>
        <v>1.7007024564497954E-3</v>
      </c>
      <c r="G31" s="2" t="s">
        <v>88</v>
      </c>
    </row>
    <row r="32" spans="1:24" ht="15.75" customHeight="1" x14ac:dyDescent="0.25">
      <c r="A32" s="245" t="s">
        <v>144</v>
      </c>
      <c r="B32" s="2" t="s">
        <v>88</v>
      </c>
      <c r="C32" s="267">
        <v>2087036250</v>
      </c>
      <c r="D32" s="267">
        <v>4709432</v>
      </c>
      <c r="E32" s="191">
        <f>P20*E37</f>
        <v>5227.0984356364079</v>
      </c>
      <c r="F32" s="269">
        <f>IF(ISERROR(E32/D32), 0,E32/D32)/B8*B7</f>
        <v>1.4798949386780704E-3</v>
      </c>
      <c r="G32" s="2" t="s">
        <v>88</v>
      </c>
    </row>
    <row r="33" spans="1:7" ht="15.75" customHeight="1" x14ac:dyDescent="0.25">
      <c r="A33" s="245" t="s">
        <v>222</v>
      </c>
      <c r="B33" s="2" t="s">
        <v>88</v>
      </c>
      <c r="C33" s="267">
        <v>1002165608</v>
      </c>
      <c r="D33" s="267">
        <v>1741184</v>
      </c>
      <c r="E33" s="191">
        <f>P21*E37</f>
        <v>1572.5779311234373</v>
      </c>
      <c r="F33" s="269">
        <f>IF(ISERROR(E33/D33), 0,E33/D33)/B8*B7</f>
        <v>1.2042211362103313E-3</v>
      </c>
      <c r="G33" s="2" t="s">
        <v>88</v>
      </c>
    </row>
    <row r="34" spans="1:7" ht="15.75" customHeight="1" x14ac:dyDescent="0.25">
      <c r="A34" s="245" t="s">
        <v>142</v>
      </c>
      <c r="B34" s="2" t="s">
        <v>412</v>
      </c>
      <c r="C34" s="267">
        <v>11501822</v>
      </c>
      <c r="D34" s="267">
        <v>0</v>
      </c>
      <c r="E34" s="191">
        <f>P22*E37</f>
        <v>116.10638417103021</v>
      </c>
      <c r="F34" s="269">
        <f>IF(ISERROR(E34/C34), 0,E34/C34)/B8*B7</f>
        <v>1.3459477309598451E-5</v>
      </c>
      <c r="G34" s="2" t="s">
        <v>412</v>
      </c>
    </row>
    <row r="35" spans="1:7" ht="15.75" customHeight="1" x14ac:dyDescent="0.25">
      <c r="A35" s="245" t="s">
        <v>145</v>
      </c>
      <c r="B35" s="2" t="s">
        <v>88</v>
      </c>
      <c r="C35" s="267">
        <v>31923315</v>
      </c>
      <c r="D35" s="267">
        <v>90307</v>
      </c>
      <c r="E35" s="191">
        <f>P23*E37</f>
        <v>352.5599598264759</v>
      </c>
      <c r="F35" s="269">
        <f>IF(ISERROR(E35/D35), 0,E35/D35)/B8*B7</f>
        <v>5.2053544734660786E-3</v>
      </c>
      <c r="G35" s="2" t="s">
        <v>412</v>
      </c>
    </row>
    <row r="36" spans="1:7" ht="15.75" customHeight="1" thickBot="1" x14ac:dyDescent="0.3">
      <c r="A36" s="257" t="s">
        <v>234</v>
      </c>
      <c r="B36" s="258" t="s">
        <v>88</v>
      </c>
      <c r="C36" s="270">
        <v>0</v>
      </c>
      <c r="D36" s="270">
        <v>0</v>
      </c>
      <c r="E36" s="195">
        <f>P24*E37</f>
        <v>0</v>
      </c>
      <c r="F36" s="271">
        <f>IF(ISERROR(E36/D36), 0,E36/D36)/B8*B7</f>
        <v>0</v>
      </c>
      <c r="G36" s="258" t="s">
        <v>88</v>
      </c>
    </row>
    <row r="37" spans="1:7" ht="15" x14ac:dyDescent="0.25">
      <c r="A37" s="119" t="s">
        <v>3</v>
      </c>
      <c r="C37" s="267">
        <f>SUM(C29:C36)</f>
        <v>7352996155</v>
      </c>
      <c r="D37" s="267">
        <f>SUM(D29:D36)</f>
        <v>12576744</v>
      </c>
      <c r="E37" s="272">
        <v>30982.309523809701</v>
      </c>
      <c r="F37" s="269"/>
    </row>
    <row r="41" spans="1:7" ht="15.75" x14ac:dyDescent="0.25">
      <c r="A41" s="112"/>
    </row>
  </sheetData>
  <pageMargins left="0.70866141732283472" right="0.70866141732283472" top="0.74803149606299213" bottom="0.74803149606299213" header="0.31496062992125984" footer="0.31496062992125984"/>
  <pageSetup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1. Billing Det. for Def-Var</vt:lpstr>
      <vt:lpstr>2. Allocating Def-Var Balances</vt:lpstr>
      <vt:lpstr>3. Calculation of Def-Var RR</vt:lpstr>
      <vt:lpstr>4. Calculation of GA RR</vt:lpstr>
      <vt:lpstr>5. Summary of Def-Var RR</vt:lpstr>
      <vt:lpstr>6. Rev2Cost_GDPIPI</vt:lpstr>
      <vt:lpstr>7. Final Tariff Schedule</vt:lpstr>
      <vt:lpstr>8. Shared Tax - Rate Rider</vt:lpstr>
      <vt:lpstr>COS_RES_CUSTOMERS</vt:lpstr>
      <vt:lpstr>COS_RES_KWH</vt:lpstr>
      <vt:lpstr>'7. Final Tariff Schedule'!Print_Area</vt:lpstr>
      <vt:lpstr>'4. Calculation of GA RR'!Print_Titles</vt:lpstr>
      <vt:lpstr>'7. Final Tariff Schedule'!Print_Titles</vt:lpstr>
      <vt:lpstr>YRS_LEFT</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Belinda Dhaliwal</dc:creator>
  <cp:lastModifiedBy>Judy Wasney</cp:lastModifiedBy>
  <cp:lastPrinted>2016-03-14T14:26:15Z</cp:lastPrinted>
  <dcterms:created xsi:type="dcterms:W3CDTF">2015-06-17T17:28:16Z</dcterms:created>
  <dcterms:modified xsi:type="dcterms:W3CDTF">2016-03-14T15:58:56Z</dcterms:modified>
</cp:coreProperties>
</file>