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376" windowHeight="12468"/>
  </bookViews>
  <sheets>
    <sheet name="2016 IRM Foregone Rev (Base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0">[2]List99!$A$288:$F$346,[2]List99!#REF!,[2]List99!$A$350:$F$466</definedName>
    <definedName name="asasd">[2]List99!$A$288:$F$346,[2]List99!#REF!,[2]List99!$A$350:$F$466</definedName>
    <definedName name="budget" localSheetId="0">'[5]E&amp;O Comparison'!#REF!</definedName>
    <definedName name="budget">'[5]E&amp;O Comparison'!#REF!</definedName>
    <definedName name="Budget3" localSheetId="0">'[5]E&amp;O Comparison'!#REF!</definedName>
    <definedName name="Budget3">'[5]E&amp;O Comparison'!#REF!</definedName>
    <definedName name="Budget4" localSheetId="0">'[5]E&amp;O Comparison'!#REF!</definedName>
    <definedName name="Budget4">'[5]E&amp;O Comparison'!#REF!</definedName>
    <definedName name="Budget5" localSheetId="0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 localSheetId="0">#REF!</definedName>
    <definedName name="CDM_2007">#REF!</definedName>
    <definedName name="contactf" localSheetId="0">#REF!</definedName>
    <definedName name="contactf">#REF!</definedName>
    <definedName name="COVER">[6]SUM95!$AV$14:$BF$37,[6]SUM95!$AV$40:$BF$58</definedName>
    <definedName name="distribution" localSheetId="0">[2]List99!$A$288:$F$346,[2]List99!#REF!,[2]List99!$A$350:$F$466</definedName>
    <definedName name="distribution">[2]List99!$A$288:$F$346,[2]List99!#REF!,[2]List99!$A$350:$F$466</definedName>
    <definedName name="EDR_06_OthInfo" localSheetId="0">'[7]4. 2006 Smart Meter Information'!#REF!</definedName>
    <definedName name="EDR_06_OthInfo">'[7]4. 2006 Smart Meter Information'!#REF!</definedName>
    <definedName name="EDR06Tariffs" localSheetId="0">'[7]3. 2006 Tariff Sheet'!#REF!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 localSheetId="0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 localSheetId="0">#REF!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 localSheetId="0">'[5]E&amp;O Comparison'!#REF!</definedName>
    <definedName name="jjj">'[5]E&amp;O Comparison'!#REF!</definedName>
    <definedName name="john" localSheetId="0">'[5]E&amp;O Comparison'!#REF!</definedName>
    <definedName name="john">'[5]E&amp;O Comparison'!#REF!</definedName>
    <definedName name="LastSheet" hidden="1">"Total Bill Impacts_All Customer"</definedName>
    <definedName name="LIMIT" localSheetId="0">#REF!</definedName>
    <definedName name="LIMIT">#REF!</definedName>
    <definedName name="list" localSheetId="0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te5d" localSheetId="0">#REF!</definedName>
    <definedName name="note5d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[8]RPCAP97!#REF!</definedName>
    <definedName name="page3">[8]RPCAP97!#REF!</definedName>
    <definedName name="page7a" localSheetId="0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0">#REF!</definedName>
    <definedName name="PriceCapParams">#REF!</definedName>
    <definedName name="primary" localSheetId="0">[2]List99!$A$288:$F$346,[2]List99!#REF!,[2]List99!$A$350:$F$466</definedName>
    <definedName name="primary">[2]List99!$A$288:$F$346,[2]List99!#REF!,[2]List99!$A$350:$F$466</definedName>
    <definedName name="Print">'[14]Nov DEGDAYS'!$A$1:$N$36</definedName>
    <definedName name="_xlnm.Print_Area">#REF!</definedName>
    <definedName name="print_end" localSheetId="0">#REF!</definedName>
    <definedName name="print_end">#REF!</definedName>
    <definedName name="Qend">'[15]RSVA &amp; Other'!$A$3</definedName>
    <definedName name="Rate_Riders" localSheetId="0">#REF!</definedName>
    <definedName name="Rate_Riders">#REF!</definedName>
    <definedName name="Ratebase" localSheetId="0">#REF!</definedName>
    <definedName name="Ratebase">#REF!</definedName>
    <definedName name="rearrange95">[6]SUM95!$A$75:$I$109,[6]SUM95!$A$110:$I$141,[6]SUM95!$A$142:$I$177</definedName>
    <definedName name="RPP_Data" localSheetId="0">#REF!</definedName>
    <definedName name="RPP_Data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ubtrans" localSheetId="0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0">#REF!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 localSheetId="0">#REF!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Utility">[10]Financials!$A$1</definedName>
    <definedName name="UtilityInfo" localSheetId="0">#REF!</definedName>
    <definedName name="UtilityInfo">#REF!</definedName>
    <definedName name="utitliy1">[18]Financials!$A$1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Z_Factor_Analysis" localSheetId="0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S28" i="3" l="1"/>
  <c r="I28" i="3" s="1"/>
  <c r="S27" i="3"/>
  <c r="I27" i="3" s="1"/>
  <c r="S26" i="3"/>
  <c r="I26" i="3" s="1"/>
  <c r="S25" i="3"/>
  <c r="I25" i="3" s="1"/>
  <c r="S24" i="3"/>
  <c r="I24" i="3" s="1"/>
  <c r="S23" i="3"/>
  <c r="I23" i="3" s="1"/>
  <c r="S22" i="3"/>
  <c r="I22" i="3" s="1"/>
  <c r="H28" i="3" l="1"/>
  <c r="K28" i="3" s="1"/>
  <c r="H27" i="3"/>
  <c r="K27" i="3" s="1"/>
  <c r="N26" i="3"/>
  <c r="H26" i="3"/>
  <c r="K26" i="3" s="1"/>
  <c r="N25" i="3"/>
  <c r="H25" i="3"/>
  <c r="K25" i="3" s="1"/>
  <c r="N24" i="3"/>
  <c r="H24" i="3"/>
  <c r="H23" i="3"/>
  <c r="Q22" i="3"/>
  <c r="H22" i="3"/>
  <c r="K22" i="3" l="1"/>
  <c r="L22" i="3"/>
  <c r="M22" i="3" s="1"/>
  <c r="L36" i="3" s="1"/>
  <c r="L28" i="3"/>
  <c r="M28" i="3" s="1"/>
  <c r="L23" i="3"/>
  <c r="K23" i="3"/>
  <c r="L24" i="3"/>
  <c r="M24" i="3" s="1"/>
  <c r="K24" i="3"/>
  <c r="Q26" i="3"/>
  <c r="T26" i="3" s="1"/>
  <c r="N27" i="3"/>
  <c r="N28" i="3"/>
  <c r="L26" i="3"/>
  <c r="M26" i="3" s="1"/>
  <c r="L27" i="3"/>
  <c r="Q24" i="3"/>
  <c r="T24" i="3" s="1"/>
  <c r="Q25" i="3"/>
  <c r="T25" i="3" s="1"/>
  <c r="N23" i="3"/>
  <c r="L25" i="3"/>
  <c r="M25" i="3" s="1"/>
  <c r="O26" i="3" l="1"/>
  <c r="L40" i="3"/>
  <c r="O28" i="3"/>
  <c r="L42" i="3"/>
  <c r="T28" i="3"/>
  <c r="Q27" i="3"/>
  <c r="T27" i="3" s="1"/>
  <c r="O25" i="3"/>
  <c r="L39" i="3"/>
  <c r="O24" i="3"/>
  <c r="L38" i="3"/>
  <c r="Q28" i="3"/>
  <c r="O22" i="3"/>
  <c r="M23" i="3"/>
  <c r="M27" i="3"/>
  <c r="Q23" i="3"/>
  <c r="T23" i="3" s="1"/>
  <c r="M30" i="3" l="1"/>
  <c r="R28" i="3"/>
  <c r="N42" i="3"/>
  <c r="R24" i="3"/>
  <c r="N38" i="3"/>
  <c r="O27" i="3"/>
  <c r="L41" i="3"/>
  <c r="R22" i="3"/>
  <c r="N36" i="3"/>
  <c r="O23" i="3"/>
  <c r="L37" i="3"/>
  <c r="R26" i="3"/>
  <c r="N40" i="3"/>
  <c r="R25" i="3"/>
  <c r="N39" i="3"/>
  <c r="L43" i="3" l="1"/>
  <c r="R27" i="3"/>
  <c r="N41" i="3"/>
  <c r="R23" i="3"/>
  <c r="N37" i="3"/>
  <c r="Q7" i="3"/>
  <c r="K11" i="3" l="1"/>
  <c r="L11" i="3"/>
  <c r="K12" i="3"/>
  <c r="L12" i="3"/>
  <c r="K10" i="3"/>
  <c r="L10" i="3"/>
  <c r="L13" i="3"/>
  <c r="K13" i="3"/>
  <c r="L7" i="3"/>
  <c r="K8" i="3" l="1"/>
  <c r="L8" i="3"/>
  <c r="K9" i="3"/>
  <c r="L9" i="3"/>
  <c r="K7" i="3"/>
  <c r="N8" i="3"/>
  <c r="Q8" i="3" s="1"/>
  <c r="M7" i="3" l="1"/>
  <c r="N10" i="3"/>
  <c r="Q10" i="3" s="1"/>
  <c r="N13" i="3"/>
  <c r="N11" i="3"/>
  <c r="Q11" i="3" s="1"/>
  <c r="O7" i="3" l="1"/>
  <c r="R7" i="3" s="1"/>
  <c r="K36" i="3"/>
  <c r="M11" i="3"/>
  <c r="M10" i="3"/>
  <c r="M13" i="3"/>
  <c r="N12" i="3"/>
  <c r="Q12" i="3" s="1"/>
  <c r="M12" i="3"/>
  <c r="Q13" i="3"/>
  <c r="M8" i="3"/>
  <c r="N9" i="3"/>
  <c r="Q9" i="3" s="1"/>
  <c r="O12" i="3" l="1"/>
  <c r="K41" i="3"/>
  <c r="O13" i="3"/>
  <c r="K42" i="3"/>
  <c r="O11" i="3"/>
  <c r="K40" i="3"/>
  <c r="O8" i="3"/>
  <c r="R8" i="3" s="1"/>
  <c r="K37" i="3"/>
  <c r="O10" i="3"/>
  <c r="R10" i="3" s="1"/>
  <c r="K39" i="3"/>
  <c r="M36" i="3"/>
  <c r="O36" i="3" s="1"/>
  <c r="R12" i="3"/>
  <c r="R13" i="3"/>
  <c r="M9" i="3"/>
  <c r="M40" i="3" l="1"/>
  <c r="O40" i="3" s="1"/>
  <c r="M42" i="3"/>
  <c r="O42" i="3" s="1"/>
  <c r="R11" i="3"/>
  <c r="M39" i="3"/>
  <c r="O39" i="3" s="1"/>
  <c r="M37" i="3"/>
  <c r="O37" i="3" s="1"/>
  <c r="O9" i="3"/>
  <c r="R9" i="3" s="1"/>
  <c r="K38" i="3"/>
  <c r="K43" i="3" s="1"/>
  <c r="M41" i="3"/>
  <c r="O41" i="3" s="1"/>
  <c r="M14" i="3"/>
  <c r="R14" i="3" l="1"/>
  <c r="M38" i="3"/>
  <c r="O38" i="3" s="1"/>
</calcChain>
</file>

<file path=xl/comments1.xml><?xml version="1.0" encoding="utf-8"?>
<comments xmlns="http://schemas.openxmlformats.org/spreadsheetml/2006/main">
  <authors>
    <author>Belinda Dhaliwal</author>
  </authors>
  <commentList>
    <comment ref="N22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Dec 31, 2014 customer numbers</t>
        </r>
      </text>
    </comment>
  </commentList>
</comments>
</file>

<file path=xl/sharedStrings.xml><?xml version="1.0" encoding="utf-8"?>
<sst xmlns="http://schemas.openxmlformats.org/spreadsheetml/2006/main" count="74" uniqueCount="32">
  <si>
    <t>Foregone Revenue Calculation</t>
  </si>
  <si>
    <t>Rate Class</t>
  </si>
  <si>
    <t>Forgone Revenue Rate Rider</t>
  </si>
  <si>
    <t>Monthly</t>
  </si>
  <si>
    <t>Volumetric</t>
  </si>
  <si>
    <t>Total Revenue</t>
  </si>
  <si>
    <t>$/kWh or kW</t>
  </si>
  <si>
    <t>Residential</t>
  </si>
  <si>
    <t>General Service &lt; 50 kW</t>
  </si>
  <si>
    <t>Unmetered Scattered Load</t>
  </si>
  <si>
    <t>General Service 50 kW - 499 kW</t>
  </si>
  <si>
    <t>General Service 500 kW - 4999 kW</t>
  </si>
  <si>
    <t>Large Use (&gt; 5000 kW)</t>
  </si>
  <si>
    <t>Street Lighting</t>
  </si>
  <si>
    <t>2015 Board-Approved Base Rates</t>
  </si>
  <si>
    <t>Foregone Revenue</t>
  </si>
  <si>
    <t>$ / kWh / kW</t>
  </si>
  <si>
    <t>2016 Proposed 
Base Rates</t>
  </si>
  <si>
    <t>TOTAL</t>
  </si>
  <si>
    <t>Jan-Mar 2014 Billing Determinants</t>
  </si>
  <si>
    <t>Apr-Dec 2014 Billing Determinants</t>
  </si>
  <si>
    <t>CHECK</t>
  </si>
  <si>
    <t>UNITS</t>
  </si>
  <si>
    <t>REVENUE</t>
  </si>
  <si>
    <t>2015 Rates @ Jan-Mar 2014 Load</t>
  </si>
  <si>
    <t>2016 Rates @ Jan-Mar 2014 Load</t>
  </si>
  <si>
    <t>Jan-Dec 2014 Volumetric BD</t>
  </si>
  <si>
    <t>Based on Monthly BD</t>
  </si>
  <si>
    <t>Based onProrated BD</t>
  </si>
  <si>
    <t>Change</t>
  </si>
  <si>
    <t>Enersource Hydro Mississauga Inc</t>
  </si>
  <si>
    <t>EB - 2015-0065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</si>
</sst>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.0000_);_(&quot;$&quot;* \(#,##0.00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_(* #,##0_);_(* \(#,##0\);_(* &quot;-&quot;_);_(@_)"/>
    <numFmt numFmtId="174" formatCode="#,##0.0000_);\(#,##0.0000\)"/>
    <numFmt numFmtId="175" formatCode="_-&quot;$&quot;* #,##0_-;\-&quot;$&quot;* #,##0_-;_-&quot;$&quot;* &quot;-&quot;??_-;_-@_-"/>
    <numFmt numFmtId="176" formatCode="&quot;$&quot;#,##0\ ;\(&quot;$&quot;#,##0\)"/>
    <numFmt numFmtId="177" formatCode="&quot;$&quot;#,##0.00_);[Red]\(&quot;$&quot;#,##0.00\)"/>
    <numFmt numFmtId="178" formatCode="0.000%"/>
    <numFmt numFmtId="179" formatCode="&quot;£ &quot;#,##0.00;[Red]\-&quot;£ &quot;#,##0.00"/>
    <numFmt numFmtId="180" formatCode="&quot;$&quot;#,##0_);\(&quot;$&quot;#,##0\)"/>
    <numFmt numFmtId="181" formatCode="_([$€-2]* #,##0.00_);_([$€-2]* \(#,##0.00\);_([$€-2]* &quot;-&quot;??_)"/>
    <numFmt numFmtId="182" formatCode="##\-#"/>
    <numFmt numFmtId="183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AF6B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88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70" fontId="5" fillId="0" borderId="0"/>
    <xf numFmtId="170" fontId="5" fillId="0" borderId="0"/>
    <xf numFmtId="17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1" fontId="5" fillId="0" borderId="0"/>
    <xf numFmtId="171" fontId="5" fillId="0" borderId="0"/>
    <xf numFmtId="171" fontId="5" fillId="0" borderId="0"/>
    <xf numFmtId="172" fontId="5" fillId="0" borderId="0"/>
    <xf numFmtId="172" fontId="5" fillId="0" borderId="0"/>
    <xf numFmtId="172" fontId="5" fillId="0" borderId="0"/>
    <xf numFmtId="171" fontId="5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2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4" fillId="21" borderId="13" applyNumberFormat="0" applyAlignment="0" applyProtection="0"/>
    <xf numFmtId="0" fontId="15" fillId="21" borderId="13" applyNumberFormat="0" applyAlignment="0" applyProtection="0"/>
    <xf numFmtId="17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7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6" fontId="18" fillId="0" borderId="0" applyFont="0" applyFill="0" applyBorder="0" applyAlignment="0" applyProtection="0"/>
    <xf numFmtId="4" fontId="20" fillId="0" borderId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38" fontId="25" fillId="22" borderId="0" applyNumberFormat="0" applyBorder="0" applyAlignment="0" applyProtection="0"/>
    <xf numFmtId="38" fontId="25" fillId="22" borderId="0" applyNumberFormat="0" applyBorder="0" applyAlignment="0" applyProtection="0"/>
    <xf numFmtId="0" fontId="26" fillId="0" borderId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1" fillId="0" borderId="17" applyNumberForma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3" fillId="0" borderId="18" applyNumberFormat="0" applyFill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8" fillId="7" borderId="12" applyNumberFormat="0" applyAlignment="0" applyProtection="0"/>
    <xf numFmtId="0" fontId="38" fillId="7" borderId="12" applyNumberFormat="0" applyAlignment="0" applyProtection="0"/>
    <xf numFmtId="0" fontId="37" fillId="7" borderId="12" applyNumberFormat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182" fontId="5" fillId="0" borderId="0"/>
    <xf numFmtId="182" fontId="5" fillId="0" borderId="0"/>
    <xf numFmtId="182" fontId="5" fillId="0" borderId="0"/>
    <xf numFmtId="167" fontId="5" fillId="0" borderId="0"/>
    <xf numFmtId="167" fontId="5" fillId="0" borderId="0"/>
    <xf numFmtId="167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21" applyNumberFormat="0" applyFont="0" applyAlignment="0" applyProtection="0"/>
    <xf numFmtId="0" fontId="5" fillId="25" borderId="21" applyNumberFormat="0" applyFont="0" applyAlignment="0" applyProtection="0"/>
    <xf numFmtId="0" fontId="20" fillId="25" borderId="21" applyNumberFormat="0" applyFont="0" applyAlignment="0" applyProtection="0"/>
    <xf numFmtId="0" fontId="44" fillId="20" borderId="22" applyNumberFormat="0" applyAlignment="0" applyProtection="0"/>
    <xf numFmtId="0" fontId="44" fillId="20" borderId="22" applyNumberFormat="0" applyAlignment="0" applyProtection="0"/>
    <xf numFmtId="0" fontId="45" fillId="20" borderId="22" applyNumberFormat="0" applyAlignment="0" applyProtection="0"/>
    <xf numFmtId="0" fontId="14" fillId="26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18" fillId="0" borderId="25" applyNumberFormat="0" applyFont="0" applyFill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4" fillId="0" borderId="9" xfId="0" applyFont="1" applyFill="1" applyBorder="1" applyAlignment="1">
      <alignment horizontal="left" indent="1"/>
    </xf>
    <xf numFmtId="164" fontId="0" fillId="0" borderId="4" xfId="2" applyFont="1" applyBorder="1"/>
    <xf numFmtId="165" fontId="0" fillId="0" borderId="3" xfId="2" applyNumberFormat="1" applyFont="1" applyBorder="1"/>
    <xf numFmtId="165" fontId="0" fillId="0" borderId="2" xfId="2" applyNumberFormat="1" applyFont="1" applyBorder="1"/>
    <xf numFmtId="167" fontId="0" fillId="0" borderId="4" xfId="1" applyNumberFormat="1" applyFont="1" applyFill="1" applyBorder="1"/>
    <xf numFmtId="167" fontId="0" fillId="0" borderId="3" xfId="1" applyNumberFormat="1" applyFont="1" applyFill="1" applyBorder="1"/>
    <xf numFmtId="168" fontId="0" fillId="0" borderId="1" xfId="2" applyNumberFormat="1" applyFont="1" applyBorder="1"/>
    <xf numFmtId="167" fontId="0" fillId="0" borderId="1" xfId="1" applyNumberFormat="1" applyFont="1" applyFill="1" applyBorder="1"/>
    <xf numFmtId="166" fontId="0" fillId="0" borderId="0" xfId="0" applyNumberFormat="1"/>
    <xf numFmtId="164" fontId="0" fillId="0" borderId="10" xfId="2" applyFont="1" applyBorder="1"/>
    <xf numFmtId="165" fontId="0" fillId="0" borderId="11" xfId="2" applyNumberFormat="1" applyFont="1" applyBorder="1"/>
    <xf numFmtId="165" fontId="0" fillId="0" borderId="0" xfId="2" applyNumberFormat="1" applyFont="1" applyBorder="1"/>
    <xf numFmtId="167" fontId="0" fillId="0" borderId="10" xfId="1" applyNumberFormat="1" applyFont="1" applyFill="1" applyBorder="1"/>
    <xf numFmtId="167" fontId="0" fillId="0" borderId="11" xfId="1" applyNumberFormat="1" applyFont="1" applyFill="1" applyBorder="1"/>
    <xf numFmtId="168" fontId="0" fillId="0" borderId="9" xfId="2" applyNumberFormat="1" applyFont="1" applyBorder="1"/>
    <xf numFmtId="167" fontId="0" fillId="0" borderId="9" xfId="1" applyNumberFormat="1" applyFont="1" applyFill="1" applyBorder="1"/>
    <xf numFmtId="0" fontId="4" fillId="0" borderId="5" xfId="0" applyFont="1" applyFill="1" applyBorder="1" applyAlignment="1">
      <alignment horizontal="left" indent="1"/>
    </xf>
    <xf numFmtId="164" fontId="0" fillId="0" borderId="8" xfId="2" applyFont="1" applyBorder="1"/>
    <xf numFmtId="165" fontId="0" fillId="0" borderId="7" xfId="2" applyNumberFormat="1" applyFont="1" applyBorder="1"/>
    <xf numFmtId="165" fontId="0" fillId="0" borderId="6" xfId="2" applyNumberFormat="1" applyFont="1" applyBorder="1"/>
    <xf numFmtId="167" fontId="0" fillId="0" borderId="8" xfId="1" applyNumberFormat="1" applyFont="1" applyFill="1" applyBorder="1"/>
    <xf numFmtId="168" fontId="0" fillId="0" borderId="5" xfId="2" applyNumberFormat="1" applyFont="1" applyBorder="1"/>
    <xf numFmtId="167" fontId="0" fillId="0" borderId="5" xfId="1" applyNumberFormat="1" applyFont="1" applyFill="1" applyBorder="1"/>
    <xf numFmtId="0" fontId="2" fillId="27" borderId="2" xfId="0" applyFont="1" applyFill="1" applyBorder="1" applyAlignment="1">
      <alignment horizontal="center" wrapText="1"/>
    </xf>
    <xf numFmtId="0" fontId="2" fillId="27" borderId="6" xfId="0" applyFont="1" applyFill="1" applyBorder="1" applyAlignment="1">
      <alignment horizontal="center" wrapText="1"/>
    </xf>
    <xf numFmtId="0" fontId="2" fillId="28" borderId="1" xfId="0" applyFont="1" applyFill="1" applyBorder="1" applyAlignment="1">
      <alignment horizontal="left" wrapText="1"/>
    </xf>
    <xf numFmtId="0" fontId="2" fillId="28" borderId="5" xfId="0" applyFont="1" applyFill="1" applyBorder="1" applyAlignment="1">
      <alignment horizontal="left" wrapText="1"/>
    </xf>
    <xf numFmtId="0" fontId="2" fillId="28" borderId="6" xfId="0" applyFont="1" applyFill="1" applyBorder="1" applyAlignment="1">
      <alignment horizontal="center" wrapText="1"/>
    </xf>
    <xf numFmtId="0" fontId="2" fillId="28" borderId="7" xfId="0" applyFont="1" applyFill="1" applyBorder="1" applyAlignment="1">
      <alignment horizontal="center" wrapText="1"/>
    </xf>
    <xf numFmtId="0" fontId="2" fillId="28" borderId="8" xfId="0" applyFont="1" applyFill="1" applyBorder="1" applyAlignment="1">
      <alignment horizontal="center" wrapText="1"/>
    </xf>
    <xf numFmtId="0" fontId="2" fillId="28" borderId="1" xfId="0" applyFont="1" applyFill="1" applyBorder="1" applyAlignment="1">
      <alignment horizontal="center" wrapText="1"/>
    </xf>
    <xf numFmtId="0" fontId="2" fillId="28" borderId="5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wrapText="1"/>
    </xf>
    <xf numFmtId="164" fontId="0" fillId="0" borderId="3" xfId="2" applyNumberFormat="1" applyFont="1" applyBorder="1"/>
    <xf numFmtId="168" fontId="0" fillId="0" borderId="0" xfId="0" applyNumberFormat="1"/>
    <xf numFmtId="167" fontId="0" fillId="0" borderId="0" xfId="0" applyNumberFormat="1"/>
    <xf numFmtId="183" fontId="0" fillId="0" borderId="11" xfId="1" applyNumberFormat="1" applyFont="1" applyFill="1" applyBorder="1"/>
    <xf numFmtId="183" fontId="0" fillId="0" borderId="7" xfId="1" applyNumberFormat="1" applyFont="1" applyFill="1" applyBorder="1"/>
    <xf numFmtId="168" fontId="2" fillId="0" borderId="0" xfId="0" applyNumberFormat="1" applyFont="1"/>
    <xf numFmtId="168" fontId="2" fillId="0" borderId="19" xfId="0" applyNumberFormat="1" applyFont="1" applyBorder="1"/>
    <xf numFmtId="168" fontId="2" fillId="0" borderId="26" xfId="0" applyNumberFormat="1" applyFont="1" applyBorder="1"/>
    <xf numFmtId="0" fontId="53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Border="1"/>
    <xf numFmtId="0" fontId="52" fillId="0" borderId="19" xfId="0" quotePrefix="1" applyFont="1" applyFill="1" applyBorder="1" applyAlignment="1">
      <alignment horizontal="left"/>
    </xf>
    <xf numFmtId="0" fontId="2" fillId="28" borderId="2" xfId="0" applyFont="1" applyFill="1" applyBorder="1" applyAlignment="1">
      <alignment horizontal="center" wrapText="1"/>
    </xf>
    <xf numFmtId="0" fontId="2" fillId="28" borderId="3" xfId="0" applyFont="1" applyFill="1" applyBorder="1" applyAlignment="1">
      <alignment horizontal="center" wrapText="1"/>
    </xf>
    <xf numFmtId="0" fontId="2" fillId="28" borderId="4" xfId="0" applyFont="1" applyFill="1" applyBorder="1" applyAlignment="1">
      <alignment horizontal="center" wrapText="1"/>
    </xf>
  </cellXfs>
  <cellStyles count="388">
    <cellStyle name="$" xfId="3"/>
    <cellStyle name="$ 2" xfId="4"/>
    <cellStyle name="$ 2 2" xfId="5"/>
    <cellStyle name="$.00" xfId="6"/>
    <cellStyle name="$.00 2" xfId="7"/>
    <cellStyle name="$.00 2 2" xfId="8"/>
    <cellStyle name="$_2. 2011-2014  Rev_ FCast_IRM 2012_COS2013_Ongoing Operations_with CDM" xfId="9"/>
    <cellStyle name="$_2. 2011-2014  Rev_ FCast_IRM 2012_COS2013_Ongoing Operations_with CDM_1. Creation and Assumptions Budget_Revised with CDM" xfId="10"/>
    <cellStyle name="$_CGAAP FA Budget Model v2 james" xfId="11"/>
    <cellStyle name="$_CGAAP FA Budget Model v2 james 2" xfId="12"/>
    <cellStyle name="$_Oct 2010 SM PILs Recognition" xfId="13"/>
    <cellStyle name="$_Xl0000180" xfId="14"/>
    <cellStyle name="$M" xfId="15"/>
    <cellStyle name="$M 2" xfId="16"/>
    <cellStyle name="$M 2 2" xfId="17"/>
    <cellStyle name="$M.00" xfId="18"/>
    <cellStyle name="$M.00 2" xfId="19"/>
    <cellStyle name="$M.00 2 2" xfId="20"/>
    <cellStyle name="$M_2. 2011-2014  Rev_ FCast_IRM 2012_COS2013_Ongoing Operations_with CDM" xfId="21"/>
    <cellStyle name="20% - Accent1 2" xfId="22"/>
    <cellStyle name="20% - Accent1 3" xfId="23"/>
    <cellStyle name="20% - Accent2 2" xfId="24"/>
    <cellStyle name="20% - Accent2 3" xfId="25"/>
    <cellStyle name="20% - Accent3 2" xfId="26"/>
    <cellStyle name="20% - Accent3 3" xfId="27"/>
    <cellStyle name="20% - Accent4 2" xfId="28"/>
    <cellStyle name="20% - Accent4 3" xfId="29"/>
    <cellStyle name="20% - Accent5 2" xfId="30"/>
    <cellStyle name="20% - Accent5 3" xfId="31"/>
    <cellStyle name="20% - Accent6 2" xfId="32"/>
    <cellStyle name="20% - Accent6 3" xfId="33"/>
    <cellStyle name="40% - Accent1 2" xfId="34"/>
    <cellStyle name="40% - Accent1 3" xfId="35"/>
    <cellStyle name="40% - Accent2 2" xfId="36"/>
    <cellStyle name="40% - Accent2 3" xfId="37"/>
    <cellStyle name="40% - Accent3 2" xfId="38"/>
    <cellStyle name="40% - Accent3 3" xfId="39"/>
    <cellStyle name="40% - Accent4 2" xfId="40"/>
    <cellStyle name="40% - Accent4 3" xfId="41"/>
    <cellStyle name="40% - Accent5 2" xfId="42"/>
    <cellStyle name="40% - Accent5 3" xfId="43"/>
    <cellStyle name="40% - Accent6 2" xfId="44"/>
    <cellStyle name="40% - Accent6 3" xfId="45"/>
    <cellStyle name="60% - Accent1 2" xfId="46"/>
    <cellStyle name="60% - Accent1 3" xfId="47"/>
    <cellStyle name="60% - Accent2 2" xfId="48"/>
    <cellStyle name="60% - Accent2 3" xfId="49"/>
    <cellStyle name="60% - Accent3 2" xfId="50"/>
    <cellStyle name="60% - Accent3 3" xfId="51"/>
    <cellStyle name="60% - Accent4 2" xfId="52"/>
    <cellStyle name="60% - Accent4 3" xfId="53"/>
    <cellStyle name="60% - Accent5 2" xfId="54"/>
    <cellStyle name="60% - Accent5 3" xfId="55"/>
    <cellStyle name="60% - Accent6 2" xfId="56"/>
    <cellStyle name="60% - Accent6 3" xfId="57"/>
    <cellStyle name="Accent1 2" xfId="58"/>
    <cellStyle name="Accent1 3" xfId="59"/>
    <cellStyle name="Accent2 2" xfId="60"/>
    <cellStyle name="Accent2 3" xfId="61"/>
    <cellStyle name="Accent3 2" xfId="62"/>
    <cellStyle name="Accent3 3" xfId="63"/>
    <cellStyle name="Accent4 2" xfId="64"/>
    <cellStyle name="Accent4 3" xfId="65"/>
    <cellStyle name="Accent5 2" xfId="66"/>
    <cellStyle name="Accent5 3" xfId="67"/>
    <cellStyle name="Accent6 2" xfId="68"/>
    <cellStyle name="Accent6 3" xfId="69"/>
    <cellStyle name="Bad 2" xfId="70"/>
    <cellStyle name="Bad 3" xfId="71"/>
    <cellStyle name="Calculation 2" xfId="72"/>
    <cellStyle name="Calculation 2 2" xfId="73"/>
    <cellStyle name="Calculation 3" xfId="74"/>
    <cellStyle name="Calculation 4" xfId="75"/>
    <cellStyle name="Check Cell 2" xfId="76"/>
    <cellStyle name="Check Cell 3" xfId="77"/>
    <cellStyle name="Comma" xfId="1" builtinId="3"/>
    <cellStyle name="Comma [0] 2" xfId="78"/>
    <cellStyle name="Comma 10" xfId="79"/>
    <cellStyle name="Comma 10 2" xfId="80"/>
    <cellStyle name="Comma 10 2 2" xfId="81"/>
    <cellStyle name="Comma 10 3" xfId="82"/>
    <cellStyle name="Comma 10 4" xfId="83"/>
    <cellStyle name="Comma 10 5" xfId="84"/>
    <cellStyle name="Comma 10 6" xfId="85"/>
    <cellStyle name="Comma 11" xfId="86"/>
    <cellStyle name="Comma 11 2" xfId="87"/>
    <cellStyle name="Comma 11 2 2" xfId="88"/>
    <cellStyle name="Comma 11 3" xfId="89"/>
    <cellStyle name="Comma 12" xfId="90"/>
    <cellStyle name="Comma 12 2" xfId="91"/>
    <cellStyle name="Comma 12 3" xfId="92"/>
    <cellStyle name="Comma 13" xfId="93"/>
    <cellStyle name="Comma 13 2" xfId="94"/>
    <cellStyle name="Comma 13 3" xfId="95"/>
    <cellStyle name="Comma 14" xfId="96"/>
    <cellStyle name="Comma 14 2" xfId="97"/>
    <cellStyle name="Comma 14 3" xfId="98"/>
    <cellStyle name="Comma 15" xfId="99"/>
    <cellStyle name="Comma 15 2" xfId="100"/>
    <cellStyle name="Comma 15 3" xfId="101"/>
    <cellStyle name="Comma 16" xfId="102"/>
    <cellStyle name="Comma 16 2" xfId="103"/>
    <cellStyle name="Comma 16 3" xfId="104"/>
    <cellStyle name="Comma 17" xfId="105"/>
    <cellStyle name="Comma 18" xfId="106"/>
    <cellStyle name="Comma 19" xfId="107"/>
    <cellStyle name="Comma 2" xfId="108"/>
    <cellStyle name="Comma 2 2" xfId="109"/>
    <cellStyle name="Comma 2 2 2" xfId="110"/>
    <cellStyle name="Comma 2 3" xfId="111"/>
    <cellStyle name="Comma 2 3 2" xfId="112"/>
    <cellStyle name="Comma 2 4" xfId="113"/>
    <cellStyle name="Comma 2 5" xfId="114"/>
    <cellStyle name="Comma 2 6" xfId="115"/>
    <cellStyle name="Comma 2 7" xfId="116"/>
    <cellStyle name="Comma 2 8" xfId="117"/>
    <cellStyle name="Comma 2 9" xfId="118"/>
    <cellStyle name="Comma 2_2.1556 Regulatory Reporting without PILs YTD March 11" xfId="119"/>
    <cellStyle name="Comma 20" xfId="120"/>
    <cellStyle name="Comma 20 2" xfId="121"/>
    <cellStyle name="Comma 21" xfId="122"/>
    <cellStyle name="Comma 22" xfId="123"/>
    <cellStyle name="Comma 23" xfId="124"/>
    <cellStyle name="Comma 24" xfId="125"/>
    <cellStyle name="Comma 25" xfId="126"/>
    <cellStyle name="Comma 26" xfId="127"/>
    <cellStyle name="Comma 3" xfId="128"/>
    <cellStyle name="Comma 3 2" xfId="129"/>
    <cellStyle name="Comma 3 2 2" xfId="130"/>
    <cellStyle name="Comma 3 2 3" xfId="131"/>
    <cellStyle name="Comma 3 3" xfId="132"/>
    <cellStyle name="Comma 3 4" xfId="133"/>
    <cellStyle name="Comma 3_2. 2011-2014  Rev_ FCast_IRM 2012_COS2013_Ongoing Operations_with CDM" xfId="134"/>
    <cellStyle name="Comma 37" xfId="387"/>
    <cellStyle name="Comma 4" xfId="135"/>
    <cellStyle name="Comma 4 2" xfId="136"/>
    <cellStyle name="Comma 4 2 2" xfId="137"/>
    <cellStyle name="Comma 4 3" xfId="138"/>
    <cellStyle name="Comma 5" xfId="139"/>
    <cellStyle name="Comma 5 2" xfId="140"/>
    <cellStyle name="Comma 6" xfId="141"/>
    <cellStyle name="Comma 6 2" xfId="142"/>
    <cellStyle name="Comma 6 2 2" xfId="143"/>
    <cellStyle name="Comma 6 3" xfId="144"/>
    <cellStyle name="Comma 7" xfId="145"/>
    <cellStyle name="Comma 7 2" xfId="146"/>
    <cellStyle name="Comma 7 2 2" xfId="147"/>
    <cellStyle name="Comma 7 3" xfId="148"/>
    <cellStyle name="Comma 8" xfId="149"/>
    <cellStyle name="Comma 8 2" xfId="150"/>
    <cellStyle name="Comma 8 2 2" xfId="151"/>
    <cellStyle name="Comma 8 3" xfId="152"/>
    <cellStyle name="Comma 9" xfId="153"/>
    <cellStyle name="Comma 9 2" xfId="154"/>
    <cellStyle name="Comma 9 2 2" xfId="155"/>
    <cellStyle name="Comma 9 2 3" xfId="156"/>
    <cellStyle name="Comma 9 3" xfId="157"/>
    <cellStyle name="Comma 9 4" xfId="158"/>
    <cellStyle name="Comma0" xfId="159"/>
    <cellStyle name="Comma0 2" xfId="160"/>
    <cellStyle name="Comma0 2 2" xfId="161"/>
    <cellStyle name="Comma0 3" xfId="162"/>
    <cellStyle name="Currency 10" xfId="163"/>
    <cellStyle name="Currency 10 2" xfId="164"/>
    <cellStyle name="Currency 11" xfId="2"/>
    <cellStyle name="Currency 12" xfId="165"/>
    <cellStyle name="Currency 13" xfId="166"/>
    <cellStyle name="Currency 13 2" xfId="167"/>
    <cellStyle name="Currency 2" xfId="168"/>
    <cellStyle name="Currency 2 2" xfId="169"/>
    <cellStyle name="Currency 2 2 2" xfId="170"/>
    <cellStyle name="Currency 2 3" xfId="171"/>
    <cellStyle name="Currency 2 3 2" xfId="172"/>
    <cellStyle name="Currency 2 4" xfId="173"/>
    <cellStyle name="Currency 3" xfId="174"/>
    <cellStyle name="Currency 3 2" xfId="175"/>
    <cellStyle name="Currency 3 2 2" xfId="176"/>
    <cellStyle name="Currency 3_2.1556 Regulatory Reporting without PILs YTD March 11" xfId="177"/>
    <cellStyle name="Currency 4" xfId="178"/>
    <cellStyle name="Currency 4 2" xfId="179"/>
    <cellStyle name="Currency 4 2 2" xfId="180"/>
    <cellStyle name="Currency 4 3" xfId="181"/>
    <cellStyle name="Currency 5" xfId="182"/>
    <cellStyle name="Currency 5 2" xfId="183"/>
    <cellStyle name="Currency 6" xfId="184"/>
    <cellStyle name="Currency 6 2" xfId="185"/>
    <cellStyle name="Currency 7" xfId="186"/>
    <cellStyle name="Currency 8" xfId="187"/>
    <cellStyle name="Currency 9" xfId="188"/>
    <cellStyle name="Currency0" xfId="189"/>
    <cellStyle name="Currency0 2" xfId="190"/>
    <cellStyle name="Currency0 2 2" xfId="191"/>
    <cellStyle name="Currency0 3" xfId="192"/>
    <cellStyle name="custom" xfId="193"/>
    <cellStyle name="Date" xfId="194"/>
    <cellStyle name="Date 2" xfId="195"/>
    <cellStyle name="Date 2 2" xfId="196"/>
    <cellStyle name="Date 3" xfId="197"/>
    <cellStyle name="Euro" xfId="198"/>
    <cellStyle name="Euro 2" xfId="199"/>
    <cellStyle name="Explanatory Text 2" xfId="200"/>
    <cellStyle name="Explanatory Text 3" xfId="201"/>
    <cellStyle name="Fixed" xfId="202"/>
    <cellStyle name="Fixed 2" xfId="203"/>
    <cellStyle name="Fixed 2 2" xfId="204"/>
    <cellStyle name="Fixed 3" xfId="205"/>
    <cellStyle name="Good 2" xfId="206"/>
    <cellStyle name="Good 3" xfId="207"/>
    <cellStyle name="Grey" xfId="208"/>
    <cellStyle name="Grey 2" xfId="209"/>
    <cellStyle name="header" xfId="210"/>
    <cellStyle name="Header1" xfId="211"/>
    <cellStyle name="Header2" xfId="212"/>
    <cellStyle name="Header2 2" xfId="213"/>
    <cellStyle name="Header2 3" xfId="214"/>
    <cellStyle name="Header2 3 2" xfId="215"/>
    <cellStyle name="Heading 1 10" xfId="216"/>
    <cellStyle name="Heading 1 11" xfId="217"/>
    <cellStyle name="Heading 1 12" xfId="218"/>
    <cellStyle name="Heading 1 13" xfId="219"/>
    <cellStyle name="Heading 1 14" xfId="220"/>
    <cellStyle name="Heading 1 15" xfId="221"/>
    <cellStyle name="Heading 1 2" xfId="222"/>
    <cellStyle name="Heading 1 2 2" xfId="223"/>
    <cellStyle name="Heading 1 2 3" xfId="224"/>
    <cellStyle name="Heading 1 3" xfId="225"/>
    <cellStyle name="Heading 1 4" xfId="226"/>
    <cellStyle name="Heading 1 5" xfId="227"/>
    <cellStyle name="Heading 1 6" xfId="228"/>
    <cellStyle name="Heading 1 7" xfId="229"/>
    <cellStyle name="Heading 1 8" xfId="230"/>
    <cellStyle name="Heading 1 9" xfId="231"/>
    <cellStyle name="Heading 2 10" xfId="232"/>
    <cellStyle name="Heading 2 11" xfId="233"/>
    <cellStyle name="Heading 2 12" xfId="234"/>
    <cellStyle name="Heading 2 13" xfId="235"/>
    <cellStyle name="Heading 2 14" xfId="236"/>
    <cellStyle name="Heading 2 15" xfId="237"/>
    <cellStyle name="Heading 2 2" xfId="238"/>
    <cellStyle name="Heading 2 2 2" xfId="239"/>
    <cellStyle name="Heading 2 3" xfId="240"/>
    <cellStyle name="Heading 2 3 2" xfId="241"/>
    <cellStyle name="Heading 2 4" xfId="242"/>
    <cellStyle name="Heading 2 5" xfId="243"/>
    <cellStyle name="Heading 2 6" xfId="244"/>
    <cellStyle name="Heading 2 7" xfId="245"/>
    <cellStyle name="Heading 2 8" xfId="246"/>
    <cellStyle name="Heading 2 9" xfId="247"/>
    <cellStyle name="Heading 3 2" xfId="248"/>
    <cellStyle name="Heading 3 3" xfId="249"/>
    <cellStyle name="Heading 4 2" xfId="250"/>
    <cellStyle name="Heading 4 3" xfId="251"/>
    <cellStyle name="Hyperlink 2" xfId="252"/>
    <cellStyle name="Hyperlink 3" xfId="253"/>
    <cellStyle name="Input [yellow]" xfId="254"/>
    <cellStyle name="Input [yellow] 2" xfId="255"/>
    <cellStyle name="Input [yellow] 2 2" xfId="256"/>
    <cellStyle name="Input [yellow] 2 3" xfId="257"/>
    <cellStyle name="Input 2" xfId="258"/>
    <cellStyle name="Input 2 2" xfId="259"/>
    <cellStyle name="Input 3" xfId="260"/>
    <cellStyle name="Input 4" xfId="261"/>
    <cellStyle name="Input 5" xfId="262"/>
    <cellStyle name="Linked Cell 2" xfId="263"/>
    <cellStyle name="Linked Cell 3" xfId="264"/>
    <cellStyle name="M" xfId="265"/>
    <cellStyle name="M 2" xfId="266"/>
    <cellStyle name="M 2 2" xfId="267"/>
    <cellStyle name="M.00" xfId="268"/>
    <cellStyle name="M.00 2" xfId="269"/>
    <cellStyle name="M.00 2 2" xfId="270"/>
    <cellStyle name="M_2. 2011-2014  Rev_ FCast_IRM 2012_COS2013_Ongoing Operations_with CDM" xfId="271"/>
    <cellStyle name="M_2. 2011-2014  Rev_ FCast_IRM 2012_COS2013_Ongoing Operations_with CDM_1. Creation and Assumptions Budget_Revised with CDM" xfId="272"/>
    <cellStyle name="M_CGAAP FA Budget Model v2 james" xfId="273"/>
    <cellStyle name="M_CGAAP FA Budget Model v2 james 2" xfId="274"/>
    <cellStyle name="M_Oct 2010 SM PILs Recognition" xfId="275"/>
    <cellStyle name="M_Xl0000180" xfId="276"/>
    <cellStyle name="Neutral 2" xfId="277"/>
    <cellStyle name="Neutral 3" xfId="278"/>
    <cellStyle name="Normal" xfId="0" builtinId="0"/>
    <cellStyle name="Normal - Style1" xfId="279"/>
    <cellStyle name="Normal - Style1 2" xfId="280"/>
    <cellStyle name="Normal - Style1 2 2" xfId="281"/>
    <cellStyle name="Normal - Style1 3" xfId="282"/>
    <cellStyle name="Normal - Style1 3 2" xfId="283"/>
    <cellStyle name="Normal - Style1 3 3" xfId="284"/>
    <cellStyle name="Normal - Style1 4" xfId="285"/>
    <cellStyle name="Normal - Style1_1595 FIT Support" xfId="286"/>
    <cellStyle name="Normal 10" xfId="287"/>
    <cellStyle name="Normal 10 2" xfId="288"/>
    <cellStyle name="Normal 10 2 2" xfId="289"/>
    <cellStyle name="Normal 10 2 3" xfId="290"/>
    <cellStyle name="Normal 10 3" xfId="291"/>
    <cellStyle name="Normal 10 4" xfId="292"/>
    <cellStyle name="Normal 11" xfId="293"/>
    <cellStyle name="Normal 11 2" xfId="294"/>
    <cellStyle name="Normal 11 3" xfId="295"/>
    <cellStyle name="Normal 12" xfId="296"/>
    <cellStyle name="Normal 12 2" xfId="297"/>
    <cellStyle name="Normal 13" xfId="298"/>
    <cellStyle name="Normal 14" xfId="299"/>
    <cellStyle name="Normal 15" xfId="300"/>
    <cellStyle name="Normal 16" xfId="301"/>
    <cellStyle name="Normal 17" xfId="302"/>
    <cellStyle name="Normal 18" xfId="303"/>
    <cellStyle name="Normal 19" xfId="304"/>
    <cellStyle name="Normal 2" xfId="305"/>
    <cellStyle name="Normal 2 2" xfId="306"/>
    <cellStyle name="Normal 2 2 2" xfId="307"/>
    <cellStyle name="Normal 2 3" xfId="308"/>
    <cellStyle name="Normal 20" xfId="309"/>
    <cellStyle name="Normal 21" xfId="310"/>
    <cellStyle name="Normal 22" xfId="311"/>
    <cellStyle name="Normal 23" xfId="312"/>
    <cellStyle name="Normal 25" xfId="313"/>
    <cellStyle name="Normal 3" xfId="314"/>
    <cellStyle name="Normal 3 2" xfId="315"/>
    <cellStyle name="Normal 3 3" xfId="316"/>
    <cellStyle name="Normal 37" xfId="386"/>
    <cellStyle name="Normal 4" xfId="317"/>
    <cellStyle name="Normal 4 2" xfId="318"/>
    <cellStyle name="Normal 4 3" xfId="319"/>
    <cellStyle name="Normal 5" xfId="320"/>
    <cellStyle name="Normal 5 2" xfId="321"/>
    <cellStyle name="Normal 6" xfId="322"/>
    <cellStyle name="Normal 6 2" xfId="323"/>
    <cellStyle name="Normal 6 3" xfId="324"/>
    <cellStyle name="Normal 7" xfId="325"/>
    <cellStyle name="Normal 7 2" xfId="326"/>
    <cellStyle name="Normal 8" xfId="327"/>
    <cellStyle name="Normal 8 2" xfId="328"/>
    <cellStyle name="Normal 8 3" xfId="329"/>
    <cellStyle name="Normal 9" xfId="330"/>
    <cellStyle name="Normal 9 2" xfId="331"/>
    <cellStyle name="Normal 9 2 2" xfId="332"/>
    <cellStyle name="Normal 9 2 3" xfId="333"/>
    <cellStyle name="Normal 9 3" xfId="334"/>
    <cellStyle name="Normal 9 4" xfId="335"/>
    <cellStyle name="Note 2" xfId="336"/>
    <cellStyle name="Note 2 2" xfId="337"/>
    <cellStyle name="Note 3" xfId="338"/>
    <cellStyle name="Output 2" xfId="339"/>
    <cellStyle name="Output 2 2" xfId="340"/>
    <cellStyle name="Output 3" xfId="341"/>
    <cellStyle name="Output Line Items" xfId="342"/>
    <cellStyle name="Percent [2]" xfId="343"/>
    <cellStyle name="Percent [2] 2" xfId="344"/>
    <cellStyle name="Percent [2] 2 2" xfId="345"/>
    <cellStyle name="Percent [2] 3" xfId="346"/>
    <cellStyle name="Percent 10" xfId="347"/>
    <cellStyle name="Percent 11" xfId="348"/>
    <cellStyle name="Percent 11 2" xfId="349"/>
    <cellStyle name="Percent 2" xfId="350"/>
    <cellStyle name="Percent 2 2" xfId="351"/>
    <cellStyle name="Percent 3" xfId="352"/>
    <cellStyle name="Percent 3 2" xfId="353"/>
    <cellStyle name="Percent 3 2 2" xfId="354"/>
    <cellStyle name="Percent 3 3" xfId="355"/>
    <cellStyle name="Percent 4" xfId="356"/>
    <cellStyle name="Percent 4 2" xfId="357"/>
    <cellStyle name="Percent 5" xfId="358"/>
    <cellStyle name="Percent 5 2" xfId="359"/>
    <cellStyle name="Percent 5 3" xfId="360"/>
    <cellStyle name="Percent 6" xfId="361"/>
    <cellStyle name="Percent 6 2" xfId="362"/>
    <cellStyle name="Percent 7" xfId="363"/>
    <cellStyle name="Percent 8" xfId="364"/>
    <cellStyle name="Percent 9" xfId="365"/>
    <cellStyle name="Title 2" xfId="366"/>
    <cellStyle name="Total 10" xfId="367"/>
    <cellStyle name="Total 11" xfId="368"/>
    <cellStyle name="Total 12" xfId="369"/>
    <cellStyle name="Total 13" xfId="370"/>
    <cellStyle name="Total 14" xfId="371"/>
    <cellStyle name="Total 15" xfId="372"/>
    <cellStyle name="Total 2" xfId="373"/>
    <cellStyle name="Total 2 2" xfId="374"/>
    <cellStyle name="Total 2 3" xfId="375"/>
    <cellStyle name="Total 2 4" xfId="376"/>
    <cellStyle name="Total 3" xfId="377"/>
    <cellStyle name="Total 4" xfId="378"/>
    <cellStyle name="Total 5" xfId="379"/>
    <cellStyle name="Total 6" xfId="380"/>
    <cellStyle name="Total 7" xfId="381"/>
    <cellStyle name="Total 8" xfId="382"/>
    <cellStyle name="Total 9" xfId="383"/>
    <cellStyle name="Warning Text 2" xfId="384"/>
    <cellStyle name="Warning Text 3" xfId="385"/>
  </cellStyles>
  <dxfs count="0"/>
  <tableStyles count="0" defaultTableStyle="TableStyleMedium2" defaultPivotStyle="PivotStyleLight16"/>
  <colors>
    <mruColors>
      <color rgb="FFAAF6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ates\B.%20OEB%20Reporting%20by%20Year\2015\1.%20December%202014%20Quarterly%20Filing\Section%202.1.2%20-%20Market%20Monitoring%20Customers\1.%20Customer%20Numbers%20by%20Billing%20Option_Revi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16%20IRM%20Application\2.%20Enersource%20Disposition%20Adjustment_March%203%20Dec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FORECAST"/>
      <sheetName val="Summary"/>
      <sheetName val="EBO Summary by Class"/>
      <sheetName val="UNMETERED SUMMARY"/>
      <sheetName val="current count by DPO EBO"/>
      <sheetName val="unoccupied"/>
      <sheetName val="count by prem type"/>
      <sheetName val="Fixed Revenue"/>
      <sheetName val="Actual 2011"/>
      <sheetName val="Actual 2012"/>
      <sheetName val="table"/>
      <sheetName val="SQL"/>
      <sheetName val="Actual 2013"/>
    </sheetNames>
    <sheetDataSet>
      <sheetData sheetId="0"/>
      <sheetData sheetId="1">
        <row r="64">
          <cell r="O64">
            <v>179182</v>
          </cell>
        </row>
        <row r="66">
          <cell r="O66">
            <v>17809</v>
          </cell>
        </row>
        <row r="68">
          <cell r="O68">
            <v>3890</v>
          </cell>
        </row>
        <row r="69">
          <cell r="O69">
            <v>469</v>
          </cell>
        </row>
        <row r="70">
          <cell r="O70">
            <v>9</v>
          </cell>
        </row>
        <row r="110">
          <cell r="O110">
            <v>49829</v>
          </cell>
        </row>
        <row r="111">
          <cell r="O111">
            <v>2967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est"/>
      <sheetName val="3. Continuity Schedule"/>
      <sheetName val="1. Billing Det. for Def-Var"/>
      <sheetName val="2. Allocating Def-Var Balances"/>
      <sheetName val="3. Calculation of Def-Var RR"/>
      <sheetName val="4. Calculation of GA RR"/>
      <sheetName val="5. Summary of Def-Var RR"/>
      <sheetName val="7. STS - Tax Change"/>
      <sheetName val="8. Shared Tax - Rate Rider"/>
      <sheetName val="9.RTSR Current Rates"/>
      <sheetName val="10. RTSR - UTR's and Sub-tx"/>
      <sheetName val="11. RTSR - Historical Wholesale"/>
      <sheetName val="12. RTSR - Current Wholesale"/>
      <sheetName val="13. RTSR - Forecast Wholesale"/>
      <sheetName val="14. RTSR  Rates to Forecast "/>
      <sheetName val="6. Rev2Cost_GDPIPI"/>
      <sheetName val="16. Additional Rates"/>
      <sheetName val="7. Final Tariff Schedule"/>
      <sheetName val="Bill Impacts"/>
      <sheetName val="RTSR % Change"/>
    </sheetNames>
    <sheetDataSet>
      <sheetData sheetId="0"/>
      <sheetData sheetId="1"/>
      <sheetData sheetId="2"/>
      <sheetData sheetId="3"/>
      <sheetData sheetId="4">
        <row r="21">
          <cell r="C21">
            <v>1469096846.7337606</v>
          </cell>
        </row>
        <row r="22">
          <cell r="C22">
            <v>647112057.82811737</v>
          </cell>
        </row>
        <row r="23">
          <cell r="D23">
            <v>6035820.8381782649</v>
          </cell>
        </row>
        <row r="24">
          <cell r="D24">
            <v>4709431.8067152184</v>
          </cell>
        </row>
        <row r="25">
          <cell r="D25">
            <v>1741184.6735238209</v>
          </cell>
        </row>
        <row r="26">
          <cell r="C26">
            <v>11501822.442284448</v>
          </cell>
        </row>
        <row r="27">
          <cell r="D27">
            <v>90306.301017051665</v>
          </cell>
        </row>
      </sheetData>
      <sheetData sheetId="5">
        <row r="16">
          <cell r="D16">
            <v>75541.52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Normal="100" workbookViewId="0">
      <selection activeCell="M18" sqref="M18"/>
    </sheetView>
  </sheetViews>
  <sheetFormatPr defaultRowHeight="14.4" x14ac:dyDescent="0.3"/>
  <cols>
    <col min="1" max="1" width="38.6640625" bestFit="1" customWidth="1"/>
    <col min="2" max="3" width="11.88671875" customWidth="1"/>
    <col min="4" max="4" width="1.44140625" hidden="1" customWidth="1"/>
    <col min="5" max="6" width="11.88671875" customWidth="1"/>
    <col min="7" max="7" width="1.44140625" hidden="1" customWidth="1"/>
    <col min="8" max="8" width="9" bestFit="1" customWidth="1"/>
    <col min="9" max="9" width="12.5546875" bestFit="1" customWidth="1"/>
    <col min="10" max="10" width="1.44140625" hidden="1" customWidth="1"/>
    <col min="11" max="12" width="17.6640625" customWidth="1"/>
    <col min="13" max="13" width="12.33203125" bestFit="1" customWidth="1"/>
    <col min="14" max="14" width="20.44140625" customWidth="1"/>
    <col min="15" max="15" width="17.33203125" bestFit="1" customWidth="1"/>
    <col min="16" max="16" width="5" customWidth="1"/>
    <col min="17" max="17" width="15.33203125" hidden="1" customWidth="1"/>
    <col min="18" max="18" width="14.33203125" hidden="1" customWidth="1"/>
    <col min="19" max="19" width="14.33203125" bestFit="1" customWidth="1"/>
    <col min="20" max="20" width="9.88671875" bestFit="1" customWidth="1"/>
    <col min="21" max="21" width="11.5546875" bestFit="1" customWidth="1"/>
    <col min="22" max="22" width="13.33203125" bestFit="1" customWidth="1"/>
    <col min="23" max="23" width="11.5546875" bestFit="1" customWidth="1"/>
  </cols>
  <sheetData>
    <row r="1" spans="1:19" ht="20.25" x14ac:dyDescent="0.25">
      <c r="A1" s="45" t="s">
        <v>30</v>
      </c>
    </row>
    <row r="2" spans="1:19" ht="20.25" x14ac:dyDescent="0.25">
      <c r="A2" s="45" t="s">
        <v>31</v>
      </c>
    </row>
    <row r="3" spans="1:19" ht="20.25" x14ac:dyDescent="0.25">
      <c r="A3" s="45" t="s">
        <v>0</v>
      </c>
    </row>
    <row r="4" spans="1:19" ht="21.75" thickBot="1" x14ac:dyDescent="0.4">
      <c r="A4" s="1"/>
      <c r="M4" s="2"/>
    </row>
    <row r="5" spans="1:19" ht="45" x14ac:dyDescent="0.25">
      <c r="A5" s="29" t="s">
        <v>1</v>
      </c>
      <c r="B5" s="48" t="s">
        <v>14</v>
      </c>
      <c r="C5" s="49"/>
      <c r="D5" s="27"/>
      <c r="E5" s="50" t="s">
        <v>17</v>
      </c>
      <c r="F5" s="49"/>
      <c r="G5" s="27"/>
      <c r="H5" s="50" t="s">
        <v>19</v>
      </c>
      <c r="I5" s="49"/>
      <c r="J5" s="27"/>
      <c r="K5" s="34" t="s">
        <v>24</v>
      </c>
      <c r="L5" s="34" t="s">
        <v>25</v>
      </c>
      <c r="M5" s="34"/>
      <c r="N5" s="34" t="s">
        <v>20</v>
      </c>
      <c r="O5" s="34" t="s">
        <v>2</v>
      </c>
      <c r="Q5" s="34" t="s">
        <v>21</v>
      </c>
      <c r="R5" s="34" t="s">
        <v>21</v>
      </c>
    </row>
    <row r="6" spans="1:19" ht="30.75" thickBot="1" x14ac:dyDescent="0.3">
      <c r="A6" s="30"/>
      <c r="B6" s="31" t="s">
        <v>3</v>
      </c>
      <c r="C6" s="32" t="s">
        <v>4</v>
      </c>
      <c r="D6" s="28"/>
      <c r="E6" s="33" t="s">
        <v>3</v>
      </c>
      <c r="F6" s="32" t="s">
        <v>4</v>
      </c>
      <c r="G6" s="28"/>
      <c r="H6" s="33" t="s">
        <v>3</v>
      </c>
      <c r="I6" s="32" t="s">
        <v>4</v>
      </c>
      <c r="J6" s="28"/>
      <c r="K6" s="35" t="s">
        <v>5</v>
      </c>
      <c r="L6" s="35" t="s">
        <v>5</v>
      </c>
      <c r="M6" s="36" t="s">
        <v>15</v>
      </c>
      <c r="N6" s="36" t="s">
        <v>16</v>
      </c>
      <c r="O6" s="36" t="s">
        <v>6</v>
      </c>
      <c r="Q6" s="36" t="s">
        <v>22</v>
      </c>
      <c r="R6" s="36" t="s">
        <v>23</v>
      </c>
    </row>
    <row r="7" spans="1:19" ht="15" x14ac:dyDescent="0.25">
      <c r="A7" s="4" t="s">
        <v>7</v>
      </c>
      <c r="B7" s="5">
        <v>13.22</v>
      </c>
      <c r="C7" s="6">
        <v>1.3299999999999999E-2</v>
      </c>
      <c r="D7" s="7"/>
      <c r="E7" s="5">
        <v>15.75</v>
      </c>
      <c r="F7" s="6">
        <v>1.0200000000000001E-2</v>
      </c>
      <c r="G7" s="7"/>
      <c r="H7" s="8">
        <v>179182</v>
      </c>
      <c r="I7" s="9">
        <v>405602435.53502482</v>
      </c>
      <c r="J7" s="7"/>
      <c r="K7" s="10">
        <f>+(B7*H7*3)+(C7*I7)</f>
        <v>12500870.51261583</v>
      </c>
      <c r="L7" s="10">
        <f>(E7*H7*3)+(F7*I7)</f>
        <v>12603494.342457253</v>
      </c>
      <c r="M7" s="10">
        <f>+L7-K7</f>
        <v>102623.82984142378</v>
      </c>
      <c r="N7" s="11">
        <v>179182</v>
      </c>
      <c r="O7" s="37">
        <f>+ROUND(M7/N7/9,2)</f>
        <v>0.06</v>
      </c>
      <c r="P7" s="12"/>
      <c r="Q7" s="11">
        <f>+N7</f>
        <v>179182</v>
      </c>
      <c r="R7" s="11">
        <f>+N7*O7*9</f>
        <v>96758.28</v>
      </c>
      <c r="S7" s="39"/>
    </row>
    <row r="8" spans="1:19" ht="15" x14ac:dyDescent="0.25">
      <c r="A8" s="4" t="s">
        <v>8</v>
      </c>
      <c r="B8" s="13">
        <v>40.68</v>
      </c>
      <c r="C8" s="14">
        <v>1.1900000000000001E-2</v>
      </c>
      <c r="D8" s="15"/>
      <c r="E8" s="13">
        <v>41.47</v>
      </c>
      <c r="F8" s="14">
        <v>1.21E-2</v>
      </c>
      <c r="G8" s="15"/>
      <c r="H8" s="16">
        <v>17809</v>
      </c>
      <c r="I8" s="17">
        <v>175408239.10645342</v>
      </c>
      <c r="J8" s="15"/>
      <c r="K8" s="18">
        <f t="shared" ref="K8:K12" si="0">+(B8*H8*3)+(C8*I8)</f>
        <v>4260768.4053667951</v>
      </c>
      <c r="L8" s="18">
        <f t="shared" ref="L8:L12" si="1">(E8*H8*3)+(F8*I8)</f>
        <v>4338057.3831880856</v>
      </c>
      <c r="M8" s="18">
        <f t="shared" ref="M8:M13" si="2">+L8-K8</f>
        <v>77288.977821290493</v>
      </c>
      <c r="N8" s="19">
        <f>647112058-I8</f>
        <v>471703818.89354658</v>
      </c>
      <c r="O8" s="14">
        <f>+ROUND(M8/N8,4)</f>
        <v>2.0000000000000001E-4</v>
      </c>
      <c r="P8" s="12"/>
      <c r="Q8" s="19">
        <f>+I8+N8</f>
        <v>647112058</v>
      </c>
      <c r="R8" s="19">
        <f>N8*O8</f>
        <v>94340.763778709326</v>
      </c>
      <c r="S8" s="39"/>
    </row>
    <row r="9" spans="1:19" ht="15" x14ac:dyDescent="0.25">
      <c r="A9" s="4" t="s">
        <v>9</v>
      </c>
      <c r="B9" s="13">
        <v>8.4</v>
      </c>
      <c r="C9" s="14">
        <v>1.5299999999999999E-2</v>
      </c>
      <c r="D9" s="15"/>
      <c r="E9" s="13">
        <v>8.56</v>
      </c>
      <c r="F9" s="14">
        <v>1.5599999999999999E-2</v>
      </c>
      <c r="G9" s="15"/>
      <c r="H9" s="16">
        <v>2967</v>
      </c>
      <c r="I9" s="17">
        <v>2639651.1307225595</v>
      </c>
      <c r="J9" s="15"/>
      <c r="K9" s="18">
        <f t="shared" si="0"/>
        <v>115155.06230005516</v>
      </c>
      <c r="L9" s="18">
        <f t="shared" si="1"/>
        <v>117371.11763927192</v>
      </c>
      <c r="M9" s="18">
        <f t="shared" si="2"/>
        <v>2216.055339216764</v>
      </c>
      <c r="N9" s="19">
        <f>11501822-I9</f>
        <v>8862170.86927744</v>
      </c>
      <c r="O9" s="14">
        <f t="shared" ref="O9:O13" si="3">+ROUND(M9/N9,4)</f>
        <v>2.9999999999999997E-4</v>
      </c>
      <c r="P9" s="12"/>
      <c r="Q9" s="19">
        <f t="shared" ref="Q9:Q13" si="4">+I9+N9</f>
        <v>11501822</v>
      </c>
      <c r="R9" s="19">
        <f t="shared" ref="R9:R13" si="5">N9*O9</f>
        <v>2658.6512607832319</v>
      </c>
      <c r="S9" s="39"/>
    </row>
    <row r="10" spans="1:19" ht="15" x14ac:dyDescent="0.25">
      <c r="A10" s="4" t="s">
        <v>10</v>
      </c>
      <c r="B10" s="13">
        <v>71.64</v>
      </c>
      <c r="C10" s="14">
        <v>4.3117999999999999</v>
      </c>
      <c r="D10" s="15"/>
      <c r="E10" s="13">
        <v>73.040000000000006</v>
      </c>
      <c r="F10" s="14">
        <v>4.3959000000000001</v>
      </c>
      <c r="G10" s="15"/>
      <c r="H10" s="16">
        <v>3890</v>
      </c>
      <c r="I10" s="17">
        <v>1510593.946167239</v>
      </c>
      <c r="J10" s="15"/>
      <c r="K10" s="18">
        <f t="shared" si="0"/>
        <v>7349417.7770839008</v>
      </c>
      <c r="L10" s="18">
        <f t="shared" si="1"/>
        <v>7492796.727956566</v>
      </c>
      <c r="M10" s="18">
        <f t="shared" si="2"/>
        <v>143378.95087266527</v>
      </c>
      <c r="N10" s="19">
        <f>6035821-I10</f>
        <v>4525227.053832761</v>
      </c>
      <c r="O10" s="14">
        <f t="shared" si="3"/>
        <v>3.1699999999999999E-2</v>
      </c>
      <c r="P10" s="12"/>
      <c r="Q10" s="19">
        <f t="shared" si="4"/>
        <v>6035821</v>
      </c>
      <c r="R10" s="19">
        <f t="shared" si="5"/>
        <v>143449.69760649852</v>
      </c>
      <c r="S10" s="39"/>
    </row>
    <row r="11" spans="1:19" ht="15" x14ac:dyDescent="0.25">
      <c r="A11" s="4" t="s">
        <v>11</v>
      </c>
      <c r="B11" s="13">
        <v>1631.56</v>
      </c>
      <c r="C11" s="14">
        <v>2.2187000000000001</v>
      </c>
      <c r="D11" s="15"/>
      <c r="E11" s="13">
        <v>1663.38</v>
      </c>
      <c r="F11" s="14">
        <v>2.262</v>
      </c>
      <c r="G11" s="15"/>
      <c r="H11" s="16">
        <v>469</v>
      </c>
      <c r="I11" s="17">
        <v>1136630.9510745315</v>
      </c>
      <c r="J11" s="15"/>
      <c r="K11" s="18">
        <f t="shared" si="0"/>
        <v>4817448.0111490637</v>
      </c>
      <c r="L11" s="18">
        <f t="shared" si="1"/>
        <v>4911434.8713305909</v>
      </c>
      <c r="M11" s="18">
        <f t="shared" si="2"/>
        <v>93986.860181527212</v>
      </c>
      <c r="N11" s="19">
        <f>4709432-I11</f>
        <v>3572801.0489254687</v>
      </c>
      <c r="O11" s="14">
        <f t="shared" si="3"/>
        <v>2.63E-2</v>
      </c>
      <c r="P11" s="12"/>
      <c r="Q11" s="19">
        <f t="shared" si="4"/>
        <v>4709432</v>
      </c>
      <c r="R11" s="19">
        <f t="shared" si="5"/>
        <v>93964.66758673983</v>
      </c>
      <c r="S11" s="39"/>
    </row>
    <row r="12" spans="1:19" ht="15" x14ac:dyDescent="0.25">
      <c r="A12" s="4" t="s">
        <v>12</v>
      </c>
      <c r="B12" s="13">
        <v>12864.22</v>
      </c>
      <c r="C12" s="14">
        <v>2.7538999999999998</v>
      </c>
      <c r="D12" s="15"/>
      <c r="E12" s="13">
        <v>13115.07</v>
      </c>
      <c r="F12" s="14">
        <v>2.8075999999999999</v>
      </c>
      <c r="G12" s="15"/>
      <c r="H12" s="16">
        <v>9</v>
      </c>
      <c r="I12" s="17">
        <v>419738.94271504879</v>
      </c>
      <c r="J12" s="15"/>
      <c r="K12" s="18">
        <f t="shared" si="0"/>
        <v>1503253.0143429728</v>
      </c>
      <c r="L12" s="18">
        <f t="shared" si="1"/>
        <v>1532565.9455667711</v>
      </c>
      <c r="M12" s="18">
        <f t="shared" si="2"/>
        <v>29312.93122379831</v>
      </c>
      <c r="N12" s="19">
        <f>1741185-I12</f>
        <v>1321446.0572849512</v>
      </c>
      <c r="O12" s="14">
        <f t="shared" si="3"/>
        <v>2.2200000000000001E-2</v>
      </c>
      <c r="P12" s="12"/>
      <c r="Q12" s="19">
        <f t="shared" si="4"/>
        <v>1741185</v>
      </c>
      <c r="R12" s="19">
        <f t="shared" si="5"/>
        <v>29336.102471725917</v>
      </c>
      <c r="S12" s="39"/>
    </row>
    <row r="13" spans="1:19" ht="15.75" thickBot="1" x14ac:dyDescent="0.3">
      <c r="A13" s="4" t="s">
        <v>13</v>
      </c>
      <c r="B13" s="13">
        <v>1.41</v>
      </c>
      <c r="C13" s="14">
        <v>10.773199999999999</v>
      </c>
      <c r="D13" s="15"/>
      <c r="E13" s="13">
        <v>1.44</v>
      </c>
      <c r="F13" s="14">
        <v>10.9833</v>
      </c>
      <c r="G13" s="15"/>
      <c r="H13" s="16">
        <v>49829</v>
      </c>
      <c r="I13" s="17">
        <v>23428.11699563056</v>
      </c>
      <c r="J13" s="15"/>
      <c r="K13" s="18">
        <f>+(B13*H13*3)+(C13*I13)</f>
        <v>463172.4600173271</v>
      </c>
      <c r="L13" s="18">
        <f>(E13*H13*3)+(F13*I13)</f>
        <v>472579.31739810912</v>
      </c>
      <c r="M13" s="18">
        <f t="shared" si="2"/>
        <v>9406.8573807820212</v>
      </c>
      <c r="N13" s="19">
        <f>90306-I13</f>
        <v>66877.883004369447</v>
      </c>
      <c r="O13" s="14">
        <f t="shared" si="3"/>
        <v>0.14069999999999999</v>
      </c>
      <c r="P13" s="12"/>
      <c r="Q13" s="26">
        <f t="shared" si="4"/>
        <v>90306</v>
      </c>
      <c r="R13" s="26">
        <f t="shared" si="5"/>
        <v>9409.7181387147812</v>
      </c>
      <c r="S13" s="39"/>
    </row>
    <row r="14" spans="1:19" s="3" customFormat="1" ht="15" x14ac:dyDescent="0.25">
      <c r="A14" s="47" t="s">
        <v>18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3">
        <f>SUM(M7:M13)</f>
        <v>458214.46266070387</v>
      </c>
      <c r="N14" s="46"/>
      <c r="O14" s="46"/>
      <c r="R14" s="42">
        <f>SUM(R7:R13)</f>
        <v>469917.88084317156</v>
      </c>
    </row>
    <row r="15" spans="1:19" ht="15" x14ac:dyDescent="0.25">
      <c r="R15" s="38"/>
    </row>
    <row r="20" spans="1:20" ht="45" hidden="1" x14ac:dyDescent="0.25">
      <c r="A20" s="29" t="s">
        <v>1</v>
      </c>
      <c r="B20" s="48" t="s">
        <v>14</v>
      </c>
      <c r="C20" s="49"/>
      <c r="D20" s="27"/>
      <c r="E20" s="50" t="s">
        <v>17</v>
      </c>
      <c r="F20" s="49"/>
      <c r="G20" s="27"/>
      <c r="H20" s="50" t="s">
        <v>19</v>
      </c>
      <c r="I20" s="49"/>
      <c r="J20" s="27"/>
      <c r="K20" s="34" t="s">
        <v>24</v>
      </c>
      <c r="L20" s="34" t="s">
        <v>25</v>
      </c>
      <c r="M20" s="34"/>
      <c r="N20" s="34" t="s">
        <v>20</v>
      </c>
      <c r="O20" s="34" t="s">
        <v>2</v>
      </c>
      <c r="Q20" s="34" t="s">
        <v>21</v>
      </c>
      <c r="R20" s="34" t="s">
        <v>21</v>
      </c>
      <c r="S20" s="34" t="s">
        <v>26</v>
      </c>
    </row>
    <row r="21" spans="1:20" ht="30.75" hidden="1" thickBot="1" x14ac:dyDescent="0.3">
      <c r="A21" s="30"/>
      <c r="B21" s="31" t="s">
        <v>3</v>
      </c>
      <c r="C21" s="32" t="s">
        <v>4</v>
      </c>
      <c r="D21" s="28"/>
      <c r="E21" s="33" t="s">
        <v>3</v>
      </c>
      <c r="F21" s="32" t="s">
        <v>4</v>
      </c>
      <c r="G21" s="28"/>
      <c r="H21" s="33" t="s">
        <v>3</v>
      </c>
      <c r="I21" s="32" t="s">
        <v>4</v>
      </c>
      <c r="J21" s="28"/>
      <c r="K21" s="35" t="s">
        <v>5</v>
      </c>
      <c r="L21" s="35" t="s">
        <v>5</v>
      </c>
      <c r="M21" s="36" t="s">
        <v>15</v>
      </c>
      <c r="N21" s="36" t="s">
        <v>16</v>
      </c>
      <c r="O21" s="36" t="s">
        <v>6</v>
      </c>
      <c r="Q21" s="36" t="s">
        <v>22</v>
      </c>
      <c r="R21" s="36" t="s">
        <v>23</v>
      </c>
      <c r="S21" s="36"/>
    </row>
    <row r="22" spans="1:20" ht="15" hidden="1" x14ac:dyDescent="0.25">
      <c r="A22" s="4" t="s">
        <v>7</v>
      </c>
      <c r="B22" s="5">
        <v>13.22</v>
      </c>
      <c r="C22" s="6">
        <v>1.3299999999999999E-2</v>
      </c>
      <c r="D22" s="7"/>
      <c r="E22" s="5">
        <v>15.75</v>
      </c>
      <c r="F22" s="6">
        <v>1.0200000000000001E-2</v>
      </c>
      <c r="G22" s="7"/>
      <c r="H22" s="8">
        <f>[19]Summary!$O$64</f>
        <v>179182</v>
      </c>
      <c r="I22" s="40">
        <f t="shared" ref="I22:I28" si="6">S22/12*3</f>
        <v>367274211.68344015</v>
      </c>
      <c r="J22" s="7"/>
      <c r="K22" s="10">
        <f t="shared" ref="K22:K28" si="7">+(B22*H22*3)+(C22*I22)</f>
        <v>11991105.135389753</v>
      </c>
      <c r="L22" s="10">
        <f>(E22*H22*3)+(F22*I22)</f>
        <v>12212546.45917109</v>
      </c>
      <c r="M22" s="10">
        <f>+L22-K22</f>
        <v>221441.32378133759</v>
      </c>
      <c r="N22" s="11">
        <v>179182</v>
      </c>
      <c r="O22" s="37">
        <f>+ROUND(M22/N22/9,2)</f>
        <v>0.14000000000000001</v>
      </c>
      <c r="P22" s="12"/>
      <c r="Q22" s="11">
        <f>+N22</f>
        <v>179182</v>
      </c>
      <c r="R22" s="11">
        <f>+N22*O22*9</f>
        <v>225769.32000000004</v>
      </c>
      <c r="S22" s="11">
        <f>+'[20]3. Calculation of Def-Var RR'!$C$21</f>
        <v>1469096846.7337606</v>
      </c>
    </row>
    <row r="23" spans="1:20" ht="15" hidden="1" x14ac:dyDescent="0.25">
      <c r="A23" s="4" t="s">
        <v>8</v>
      </c>
      <c r="B23" s="13">
        <v>40.68</v>
      </c>
      <c r="C23" s="14">
        <v>1.1900000000000001E-2</v>
      </c>
      <c r="D23" s="15"/>
      <c r="E23" s="13">
        <v>41.47</v>
      </c>
      <c r="F23" s="14">
        <v>1.21E-2</v>
      </c>
      <c r="G23" s="15"/>
      <c r="H23" s="16">
        <f>+[19]Summary!$O$66</f>
        <v>17809</v>
      </c>
      <c r="I23" s="40">
        <f t="shared" si="6"/>
        <v>161778014.45702934</v>
      </c>
      <c r="J23" s="15"/>
      <c r="K23" s="18">
        <f t="shared" si="7"/>
        <v>4098568.7320386493</v>
      </c>
      <c r="L23" s="18">
        <f>(E23*H23*3)+(F23*I23)</f>
        <v>4173131.6649300549</v>
      </c>
      <c r="M23" s="18">
        <f t="shared" ref="M23:M28" si="8">+L23-K23</f>
        <v>74562.932891405653</v>
      </c>
      <c r="N23" s="19">
        <f>647112058-I23</f>
        <v>485334043.54297066</v>
      </c>
      <c r="O23" s="14">
        <f>+ROUND(M23/N23,4)</f>
        <v>2.0000000000000001E-4</v>
      </c>
      <c r="P23" s="12"/>
      <c r="Q23" s="19">
        <f>+I23+N23</f>
        <v>647112058</v>
      </c>
      <c r="R23" s="19">
        <f>N23*O23</f>
        <v>97066.808708594137</v>
      </c>
      <c r="S23" s="19">
        <f>+'[20]3. Calculation of Def-Var RR'!$C$22</f>
        <v>647112057.82811737</v>
      </c>
      <c r="T23" s="39">
        <f>I23+N23-Q23</f>
        <v>0</v>
      </c>
    </row>
    <row r="24" spans="1:20" ht="15" hidden="1" x14ac:dyDescent="0.25">
      <c r="A24" s="4" t="s">
        <v>9</v>
      </c>
      <c r="B24" s="13">
        <v>8.4</v>
      </c>
      <c r="C24" s="14">
        <v>1.5299999999999999E-2</v>
      </c>
      <c r="D24" s="15"/>
      <c r="E24" s="13">
        <v>8.56</v>
      </c>
      <c r="F24" s="14">
        <v>1.5599999999999999E-2</v>
      </c>
      <c r="G24" s="15"/>
      <c r="H24" s="16">
        <f>+[19]Summary!$O$111</f>
        <v>2967</v>
      </c>
      <c r="I24" s="40">
        <f t="shared" si="6"/>
        <v>2875455.610571112</v>
      </c>
      <c r="J24" s="15"/>
      <c r="K24" s="18">
        <f t="shared" si="7"/>
        <v>118762.87084173801</v>
      </c>
      <c r="L24" s="18">
        <f>(E24*H24*3)+(F24*I24)</f>
        <v>121049.66752490934</v>
      </c>
      <c r="M24" s="18">
        <f t="shared" si="8"/>
        <v>2286.7966831713275</v>
      </c>
      <c r="N24" s="19">
        <f>11501822-I24</f>
        <v>8626366.3894288875</v>
      </c>
      <c r="O24" s="14">
        <f t="shared" ref="O24:O28" si="9">+ROUND(M24/N24,4)</f>
        <v>2.9999999999999997E-4</v>
      </c>
      <c r="P24" s="12"/>
      <c r="Q24" s="19">
        <f t="shared" ref="Q24:Q28" si="10">+I24+N24</f>
        <v>11501822</v>
      </c>
      <c r="R24" s="19">
        <f t="shared" ref="R24:R28" si="11">N24*O24</f>
        <v>2587.9099168286662</v>
      </c>
      <c r="S24" s="19">
        <f>+'[20]3. Calculation of Def-Var RR'!$C$26</f>
        <v>11501822.442284448</v>
      </c>
      <c r="T24" s="39">
        <f t="shared" ref="T24:T28" si="12">I24+N24-Q24</f>
        <v>0</v>
      </c>
    </row>
    <row r="25" spans="1:20" ht="15" hidden="1" x14ac:dyDescent="0.25">
      <c r="A25" s="4" t="s">
        <v>10</v>
      </c>
      <c r="B25" s="13">
        <v>71.64</v>
      </c>
      <c r="C25" s="14">
        <v>4.3117999999999999</v>
      </c>
      <c r="D25" s="15"/>
      <c r="E25" s="13">
        <v>73.040000000000006</v>
      </c>
      <c r="F25" s="14">
        <v>4.3959000000000001</v>
      </c>
      <c r="G25" s="15"/>
      <c r="H25" s="16">
        <f>+[19]Summary!$O$68</f>
        <v>3890</v>
      </c>
      <c r="I25" s="40">
        <f t="shared" si="6"/>
        <v>1508955.2095445662</v>
      </c>
      <c r="J25" s="15"/>
      <c r="K25" s="18">
        <f t="shared" si="7"/>
        <v>7342351.87251426</v>
      </c>
      <c r="L25" s="18">
        <f t="shared" ref="L25:L27" si="13">(E25*H25*3)+(F25*I25)</f>
        <v>7485593.0056369584</v>
      </c>
      <c r="M25" s="18">
        <f t="shared" si="8"/>
        <v>143241.1331226984</v>
      </c>
      <c r="N25" s="19">
        <f>6035821-I25</f>
        <v>4526865.7904554335</v>
      </c>
      <c r="O25" s="14">
        <f t="shared" si="9"/>
        <v>3.1600000000000003E-2</v>
      </c>
      <c r="P25" s="12"/>
      <c r="Q25" s="19">
        <f t="shared" si="10"/>
        <v>6035821</v>
      </c>
      <c r="R25" s="19">
        <f t="shared" si="11"/>
        <v>143048.95897839172</v>
      </c>
      <c r="S25" s="19">
        <f>+'[20]3. Calculation of Def-Var RR'!$D$23</f>
        <v>6035820.8381782649</v>
      </c>
      <c r="T25" s="39">
        <f t="shared" si="12"/>
        <v>0</v>
      </c>
    </row>
    <row r="26" spans="1:20" ht="15" hidden="1" x14ac:dyDescent="0.25">
      <c r="A26" s="4" t="s">
        <v>11</v>
      </c>
      <c r="B26" s="13">
        <v>1631.56</v>
      </c>
      <c r="C26" s="14">
        <v>2.2187000000000001</v>
      </c>
      <c r="D26" s="15"/>
      <c r="E26" s="13">
        <v>1663.38</v>
      </c>
      <c r="F26" s="14">
        <v>2.262</v>
      </c>
      <c r="G26" s="15"/>
      <c r="H26" s="16">
        <f>+[19]Summary!$O$69</f>
        <v>469</v>
      </c>
      <c r="I26" s="40">
        <f t="shared" si="6"/>
        <v>1177357.9516788046</v>
      </c>
      <c r="J26" s="15"/>
      <c r="K26" s="18">
        <f t="shared" si="7"/>
        <v>4907809.0073897634</v>
      </c>
      <c r="L26" s="18">
        <f t="shared" si="13"/>
        <v>5003559.3466974562</v>
      </c>
      <c r="M26" s="18">
        <f t="shared" si="8"/>
        <v>95750.339307692833</v>
      </c>
      <c r="N26" s="19">
        <f>4709432-I26</f>
        <v>3532074.0483211954</v>
      </c>
      <c r="O26" s="14">
        <f t="shared" si="9"/>
        <v>2.7099999999999999E-2</v>
      </c>
      <c r="P26" s="12"/>
      <c r="Q26" s="19">
        <f t="shared" si="10"/>
        <v>4709432</v>
      </c>
      <c r="R26" s="19">
        <f t="shared" si="11"/>
        <v>95719.206709504389</v>
      </c>
      <c r="S26" s="19">
        <f>+'[20]3. Calculation of Def-Var RR'!$D$24</f>
        <v>4709431.8067152184</v>
      </c>
      <c r="T26" s="39">
        <f t="shared" si="12"/>
        <v>0</v>
      </c>
    </row>
    <row r="27" spans="1:20" ht="15" hidden="1" x14ac:dyDescent="0.25">
      <c r="A27" s="4" t="s">
        <v>12</v>
      </c>
      <c r="B27" s="13">
        <v>12864.22</v>
      </c>
      <c r="C27" s="14">
        <v>2.7538999999999998</v>
      </c>
      <c r="D27" s="15"/>
      <c r="E27" s="13">
        <v>13115.07</v>
      </c>
      <c r="F27" s="14">
        <v>2.8075999999999999</v>
      </c>
      <c r="G27" s="15"/>
      <c r="H27" s="16">
        <f>+[19]Summary!$O$70</f>
        <v>9</v>
      </c>
      <c r="I27" s="40">
        <f t="shared" si="6"/>
        <v>435296.16838095523</v>
      </c>
      <c r="J27" s="15"/>
      <c r="K27" s="18">
        <f t="shared" si="7"/>
        <v>1546096.0581043125</v>
      </c>
      <c r="L27" s="18">
        <f t="shared" si="13"/>
        <v>1576244.4123463701</v>
      </c>
      <c r="M27" s="18">
        <f t="shared" si="8"/>
        <v>30148.35424205754</v>
      </c>
      <c r="N27" s="19">
        <f>1741185-I27</f>
        <v>1305888.8316190448</v>
      </c>
      <c r="O27" s="14">
        <f t="shared" si="9"/>
        <v>2.3099999999999999E-2</v>
      </c>
      <c r="P27" s="12"/>
      <c r="Q27" s="19">
        <f t="shared" si="10"/>
        <v>1741185</v>
      </c>
      <c r="R27" s="19">
        <f t="shared" si="11"/>
        <v>30166.032010399933</v>
      </c>
      <c r="S27" s="19">
        <f>+'[20]3. Calculation of Def-Var RR'!$D$25</f>
        <v>1741184.6735238209</v>
      </c>
      <c r="T27" s="39">
        <f t="shared" si="12"/>
        <v>0</v>
      </c>
    </row>
    <row r="28" spans="1:20" ht="15.75" hidden="1" thickBot="1" x14ac:dyDescent="0.3">
      <c r="A28" s="20" t="s">
        <v>13</v>
      </c>
      <c r="B28" s="21">
        <v>1.41</v>
      </c>
      <c r="C28" s="22">
        <v>10.773199999999999</v>
      </c>
      <c r="D28" s="23"/>
      <c r="E28" s="21">
        <v>1.44</v>
      </c>
      <c r="F28" s="22">
        <v>10.9833</v>
      </c>
      <c r="G28" s="23"/>
      <c r="H28" s="24">
        <f>+[19]Summary!$O$110</f>
        <v>49829</v>
      </c>
      <c r="I28" s="41">
        <f t="shared" si="6"/>
        <v>22576.575254262916</v>
      </c>
      <c r="J28" s="23"/>
      <c r="K28" s="25">
        <f t="shared" si="7"/>
        <v>453998.63052922522</v>
      </c>
      <c r="L28" s="25">
        <f>(E28*H28*3)+(F28*I28)</f>
        <v>463226.57899014582</v>
      </c>
      <c r="M28" s="25">
        <f t="shared" si="8"/>
        <v>9227.9484609205974</v>
      </c>
      <c r="N28" s="26">
        <f>90306-I28</f>
        <v>67729.42474573708</v>
      </c>
      <c r="O28" s="22">
        <f t="shared" si="9"/>
        <v>0.13619999999999999</v>
      </c>
      <c r="P28" s="12"/>
      <c r="Q28" s="26">
        <f t="shared" si="10"/>
        <v>90306</v>
      </c>
      <c r="R28" s="26">
        <f t="shared" si="11"/>
        <v>9224.7476503693888</v>
      </c>
      <c r="S28" s="26">
        <f>+'[20]3. Calculation of Def-Var RR'!$D$27</f>
        <v>90306.301017051665</v>
      </c>
      <c r="T28" s="39">
        <f t="shared" si="12"/>
        <v>0</v>
      </c>
    </row>
    <row r="29" spans="1:20" ht="15" hidden="1" x14ac:dyDescent="0.25"/>
    <row r="30" spans="1:20" ht="15" hidden="1" x14ac:dyDescent="0.25">
      <c r="M30" s="38">
        <f>SUM(M22:M29)</f>
        <v>576658.82848928391</v>
      </c>
    </row>
    <row r="31" spans="1:20" ht="15" hidden="1" x14ac:dyDescent="0.25"/>
    <row r="32" spans="1:20" ht="15" hidden="1" x14ac:dyDescent="0.25"/>
    <row r="33" spans="11:15" ht="15.75" hidden="1" thickBot="1" x14ac:dyDescent="0.3"/>
    <row r="34" spans="11:15" ht="45" hidden="1" x14ac:dyDescent="0.25">
      <c r="K34" s="34" t="s">
        <v>15</v>
      </c>
      <c r="L34" s="34" t="s">
        <v>15</v>
      </c>
      <c r="M34" s="34" t="s">
        <v>2</v>
      </c>
      <c r="N34" s="34" t="s">
        <v>2</v>
      </c>
      <c r="O34" s="34"/>
    </row>
    <row r="35" spans="11:15" ht="45.75" hidden="1" thickBot="1" x14ac:dyDescent="0.3">
      <c r="K35" s="36" t="s">
        <v>27</v>
      </c>
      <c r="L35" s="36" t="s">
        <v>28</v>
      </c>
      <c r="M35" s="36" t="s">
        <v>27</v>
      </c>
      <c r="N35" s="36" t="s">
        <v>28</v>
      </c>
      <c r="O35" s="36" t="s">
        <v>29</v>
      </c>
    </row>
    <row r="36" spans="11:15" ht="15" hidden="1" x14ac:dyDescent="0.25">
      <c r="K36" s="10">
        <f t="shared" ref="K36:K42" si="14">M7</f>
        <v>102623.82984142378</v>
      </c>
      <c r="L36" s="10">
        <f t="shared" ref="L36:L42" si="15">M22</f>
        <v>221441.32378133759</v>
      </c>
      <c r="M36" s="37">
        <f t="shared" ref="M36:M42" si="16">O7</f>
        <v>0.06</v>
      </c>
      <c r="N36" s="37">
        <f>O22</f>
        <v>0.14000000000000001</v>
      </c>
      <c r="O36" s="37">
        <f>N36-M36</f>
        <v>8.0000000000000016E-2</v>
      </c>
    </row>
    <row r="37" spans="11:15" ht="15" hidden="1" x14ac:dyDescent="0.25">
      <c r="K37" s="18">
        <f t="shared" si="14"/>
        <v>77288.977821290493</v>
      </c>
      <c r="L37" s="18">
        <f t="shared" si="15"/>
        <v>74562.932891405653</v>
      </c>
      <c r="M37" s="14">
        <f t="shared" si="16"/>
        <v>2.0000000000000001E-4</v>
      </c>
      <c r="N37" s="14">
        <f t="shared" ref="N37:N42" si="17">O23</f>
        <v>2.0000000000000001E-4</v>
      </c>
      <c r="O37" s="14">
        <f t="shared" ref="O37:O42" si="18">N37-M37</f>
        <v>0</v>
      </c>
    </row>
    <row r="38" spans="11:15" ht="15" hidden="1" x14ac:dyDescent="0.25">
      <c r="K38" s="18">
        <f t="shared" si="14"/>
        <v>2216.055339216764</v>
      </c>
      <c r="L38" s="18">
        <f t="shared" si="15"/>
        <v>2286.7966831713275</v>
      </c>
      <c r="M38" s="14">
        <f t="shared" si="16"/>
        <v>2.9999999999999997E-4</v>
      </c>
      <c r="N38" s="14">
        <f t="shared" si="17"/>
        <v>2.9999999999999997E-4</v>
      </c>
      <c r="O38" s="14">
        <f t="shared" si="18"/>
        <v>0</v>
      </c>
    </row>
    <row r="39" spans="11:15" ht="15" hidden="1" x14ac:dyDescent="0.25">
      <c r="K39" s="18">
        <f t="shared" si="14"/>
        <v>143378.95087266527</v>
      </c>
      <c r="L39" s="18">
        <f t="shared" si="15"/>
        <v>143241.1331226984</v>
      </c>
      <c r="M39" s="14">
        <f t="shared" si="16"/>
        <v>3.1699999999999999E-2</v>
      </c>
      <c r="N39" s="14">
        <f t="shared" si="17"/>
        <v>3.1600000000000003E-2</v>
      </c>
      <c r="O39" s="14">
        <f t="shared" si="18"/>
        <v>-9.9999999999995925E-5</v>
      </c>
    </row>
    <row r="40" spans="11:15" ht="15" hidden="1" x14ac:dyDescent="0.25">
      <c r="K40" s="18">
        <f t="shared" si="14"/>
        <v>93986.860181527212</v>
      </c>
      <c r="L40" s="18">
        <f t="shared" si="15"/>
        <v>95750.339307692833</v>
      </c>
      <c r="M40" s="14">
        <f t="shared" si="16"/>
        <v>2.63E-2</v>
      </c>
      <c r="N40" s="14">
        <f t="shared" si="17"/>
        <v>2.7099999999999999E-2</v>
      </c>
      <c r="O40" s="14">
        <f t="shared" si="18"/>
        <v>7.9999999999999863E-4</v>
      </c>
    </row>
    <row r="41" spans="11:15" ht="15" hidden="1" x14ac:dyDescent="0.25">
      <c r="K41" s="18">
        <f t="shared" si="14"/>
        <v>29312.93122379831</v>
      </c>
      <c r="L41" s="18">
        <f t="shared" si="15"/>
        <v>30148.35424205754</v>
      </c>
      <c r="M41" s="14">
        <f t="shared" si="16"/>
        <v>2.2200000000000001E-2</v>
      </c>
      <c r="N41" s="14">
        <f t="shared" si="17"/>
        <v>2.3099999999999999E-2</v>
      </c>
      <c r="O41" s="14">
        <f t="shared" si="18"/>
        <v>8.9999999999999802E-4</v>
      </c>
    </row>
    <row r="42" spans="11:15" ht="15.75" hidden="1" thickBot="1" x14ac:dyDescent="0.3">
      <c r="K42" s="18">
        <f t="shared" si="14"/>
        <v>9406.8573807820212</v>
      </c>
      <c r="L42" s="18">
        <f t="shared" si="15"/>
        <v>9227.9484609205974</v>
      </c>
      <c r="M42" s="22">
        <f t="shared" si="16"/>
        <v>0.14069999999999999</v>
      </c>
      <c r="N42" s="22">
        <f t="shared" si="17"/>
        <v>0.13619999999999999</v>
      </c>
      <c r="O42" s="22">
        <f t="shared" si="18"/>
        <v>-4.500000000000004E-3</v>
      </c>
    </row>
    <row r="43" spans="11:15" ht="15.75" hidden="1" thickBot="1" x14ac:dyDescent="0.3">
      <c r="K43" s="44">
        <f>SUM(K36:K42)</f>
        <v>458214.46266070387</v>
      </c>
      <c r="L43" s="44">
        <f>SUM(L36:L42)</f>
        <v>576658.82848928391</v>
      </c>
    </row>
    <row r="44" spans="11:15" ht="15.75" hidden="1" thickTop="1" x14ac:dyDescent="0.25"/>
    <row r="45" spans="11:15" ht="15" hidden="1" x14ac:dyDescent="0.25"/>
    <row r="46" spans="11:15" ht="15" hidden="1" x14ac:dyDescent="0.25"/>
  </sheetData>
  <mergeCells count="6">
    <mergeCell ref="B5:C5"/>
    <mergeCell ref="E5:F5"/>
    <mergeCell ref="H5:I5"/>
    <mergeCell ref="B20:C20"/>
    <mergeCell ref="E20:F20"/>
    <mergeCell ref="H20:I20"/>
  </mergeCells>
  <pageMargins left="0" right="0" top="0.74803149606299213" bottom="0.74803149606299213" header="0.31496062992125984" footer="0.31496062992125984"/>
  <pageSetup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IRM Foregone Rev (Base)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Judy Wasney</cp:lastModifiedBy>
  <cp:lastPrinted>2016-03-09T15:25:55Z</cp:lastPrinted>
  <dcterms:created xsi:type="dcterms:W3CDTF">2015-12-02T15:27:12Z</dcterms:created>
  <dcterms:modified xsi:type="dcterms:W3CDTF">2016-03-14T16:00:44Z</dcterms:modified>
</cp:coreProperties>
</file>