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80" windowWidth="20376" windowHeight="12420" tabRatio="919" firstSheet="1" activeTab="1"/>
  </bookViews>
  <sheets>
    <sheet name="January 01, 2016 Rates" sheetId="1" state="hidden" r:id="rId1"/>
    <sheet name="Bill Impact Summary" sheetId="16" r:id="rId2"/>
    <sheet name="Bill Impact- Res RPP" sheetId="3" r:id="rId3"/>
    <sheet name="Bill Impact- Res Non RPP" sheetId="4" r:id="rId4"/>
    <sheet name="Bill Impact- GS &lt;50kW RPP" sheetId="5" r:id="rId5"/>
    <sheet name="Bill Impact- GS &lt;50kW Non RPP" sheetId="6" r:id="rId6"/>
    <sheet name="USL RPP" sheetId="7" r:id="rId7"/>
    <sheet name="USL Non RPP" sheetId="8" r:id="rId8"/>
    <sheet name="Bill Impact-GS50-499 NonRPP Int" sheetId="9" r:id="rId9"/>
    <sheet name="BI GS50-499 NonRPP NonInterval " sheetId="35" r:id="rId10"/>
    <sheet name="BI- GS500-4999 Non RPP Interval" sheetId="11" r:id="rId11"/>
    <sheet name="BI- GS500-4999 Non RPP Non Int" sheetId="37" r:id="rId12"/>
    <sheet name="BI- Large Use Class A" sheetId="13" r:id="rId13"/>
    <sheet name="BI- Large Use Class B" sheetId="38" r:id="rId14"/>
    <sheet name="BI- Street Light Non RPP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AllHistory" localSheetId="0">'[1]Work Units'!$B$2:$R$48,'[1]Work Units'!$B$51:$R$86</definedName>
    <definedName name="AllHistory">'[1]Work Units'!$B$2:$R$48,'[1]Work Units'!$B$51:$R$86</definedName>
    <definedName name="AllPages" localSheetId="0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 localSheetId="0">[3]SUM2001!$A$6:$K$45,[3]SUM2001!$A$46:$K$79,[3]SUM2001!$A$80:$K$135</definedName>
    <definedName name="AllSum98">[3]SUM2001!$A$6:$K$45,[3]SUM2001!$A$46:$K$79,[3]SUM2001!$A$80:$K$135</definedName>
    <definedName name="area1" localSheetId="0">[4]CALC1!$AH$1:$AO$50,[4]CALC1!$CB$1:$CH$23,[4]CALC1!$AR$1:$AW$47,[4]CALC1!$AZ$1:$BH$51,[4]CALC1!$BK$1:$BS$49,[4]CALC1!$BV$1:$BY$33</definedName>
    <definedName name="area1">[4]CALC1!$AH$1:$AO$50,[4]CALC1!$CB$1:$CH$23,[4]CALC1!$AR$1:$AW$47,[4]CALC1!$AZ$1:$BH$51,[4]CALC1!$BK$1:$BS$49,[4]CALC1!$BV$1:$BY$33</definedName>
    <definedName name="area2" localSheetId="0">[4]CALC1!$CB$1:$CH$23,[4]CALC1!$S$1:$Z$33</definedName>
    <definedName name="area2">[4]CALC1!$CB$1:$CH$23,[4]CALC1!$S$1:$Z$33</definedName>
    <definedName name="AS2DocOpenMode" hidden="1">"AS2DocumentEdit"</definedName>
    <definedName name="asasd" localSheetId="11">[2]List99!$A$288:$F$346,[2]List99!#REF!,[2]List99!$A$350:$F$466</definedName>
    <definedName name="asasd" localSheetId="9">[2]List99!$A$288:$F$346,[2]List99!#REF!,[2]List99!$A$350:$F$466</definedName>
    <definedName name="asasd" localSheetId="13">[2]List99!$A$288:$F$346,[2]List99!#REF!,[2]List99!$A$350:$F$466</definedName>
    <definedName name="asasd" localSheetId="5">[2]List99!$A$288:$F$346,[2]List99!#REF!,[2]List99!$A$350:$F$466</definedName>
    <definedName name="asasd" localSheetId="1">[2]List99!$A$288:$F$346,[2]List99!#REF!,[2]List99!$A$350:$F$466</definedName>
    <definedName name="asasd" localSheetId="0">[2]List99!$A$288:$F$346,[2]List99!#REF!,[2]List99!$A$350:$F$466</definedName>
    <definedName name="asasd">[2]List99!$A$288:$F$346,[2]List99!#REF!,[2]List99!$A$350:$F$466</definedName>
    <definedName name="BI_LDCLIST">'[5]3. Rate Class Selection'!$B$19:$B$26</definedName>
    <definedName name="budget" localSheetId="11">'[6]E&amp;O Comparison'!#REF!</definedName>
    <definedName name="budget" localSheetId="9">'[6]E&amp;O Comparison'!#REF!</definedName>
    <definedName name="budget" localSheetId="13">'[6]E&amp;O Comparison'!#REF!</definedName>
    <definedName name="budget" localSheetId="5">'[6]E&amp;O Comparison'!#REF!</definedName>
    <definedName name="budget" localSheetId="1">'[6]E&amp;O Comparison'!#REF!</definedName>
    <definedName name="budget" localSheetId="0">'[6]E&amp;O Comparison'!#REF!</definedName>
    <definedName name="budget">'[6]E&amp;O Comparison'!#REF!</definedName>
    <definedName name="Budget3" localSheetId="11">'[6]E&amp;O Comparison'!#REF!</definedName>
    <definedName name="Budget3" localSheetId="9">'[6]E&amp;O Comparison'!#REF!</definedName>
    <definedName name="Budget3" localSheetId="13">'[6]E&amp;O Comparison'!#REF!</definedName>
    <definedName name="Budget3" localSheetId="5">'[6]E&amp;O Comparison'!#REF!</definedName>
    <definedName name="Budget3" localSheetId="0">'[6]E&amp;O Comparison'!#REF!</definedName>
    <definedName name="Budget3">'[6]E&amp;O Comparison'!#REF!</definedName>
    <definedName name="Budget4" localSheetId="11">'[6]E&amp;O Comparison'!#REF!</definedName>
    <definedName name="Budget4" localSheetId="9">'[6]E&amp;O Comparison'!#REF!</definedName>
    <definedName name="Budget4" localSheetId="13">'[6]E&amp;O Comparison'!#REF!</definedName>
    <definedName name="Budget4" localSheetId="5">'[6]E&amp;O Comparison'!#REF!</definedName>
    <definedName name="Budget4" localSheetId="0">'[6]E&amp;O Comparison'!#REF!</definedName>
    <definedName name="Budget4">'[6]E&amp;O Comparison'!#REF!</definedName>
    <definedName name="Budget5" localSheetId="11">'[6]E&amp;O Comparison'!#REF!</definedName>
    <definedName name="Budget5" localSheetId="9">'[6]E&amp;O Comparison'!#REF!</definedName>
    <definedName name="Budget5" localSheetId="13">'[6]E&amp;O Comparison'!#REF!</definedName>
    <definedName name="Budget5" localSheetId="5">'[6]E&amp;O Comparison'!#REF!</definedName>
    <definedName name="Budget5" localSheetId="0">'[6]E&amp;O Comparison'!#REF!</definedName>
    <definedName name="Budget5">'[6]E&amp;O Comparison'!#REF!</definedName>
    <definedName name="BudgetBook" localSheetId="0">[7]Budget!$B$3:$P$33,[7]Budget!$B$37:$N$86,[7]Budget!$B$142:$K$195,[7]Budget!$B$198:$K$237</definedName>
    <definedName name="BudgetBook">[7]Budget!$B$3:$P$33,[7]Budget!$B$37:$N$86,[7]Budget!$B$142:$K$195,[7]Budget!$B$198:$K$237</definedName>
    <definedName name="CDM_2007" localSheetId="11">#REF!</definedName>
    <definedName name="CDM_2007" localSheetId="9">#REF!</definedName>
    <definedName name="CDM_2007" localSheetId="13">#REF!</definedName>
    <definedName name="CDM_2007" localSheetId="5">#REF!</definedName>
    <definedName name="CDM_2007" localSheetId="1">#REF!</definedName>
    <definedName name="CDM_2007" localSheetId="0">#REF!</definedName>
    <definedName name="CDM_2007">#REF!</definedName>
    <definedName name="contactf" localSheetId="11">#REF!</definedName>
    <definedName name="contactf" localSheetId="9">#REF!</definedName>
    <definedName name="contactf" localSheetId="13">#REF!</definedName>
    <definedName name="contactf" localSheetId="5">#REF!</definedName>
    <definedName name="contactf" localSheetId="1">#REF!</definedName>
    <definedName name="contactf" localSheetId="0">#REF!</definedName>
    <definedName name="contactf">#REF!</definedName>
    <definedName name="COVER" localSheetId="0">[7]SUM95!$AV$14:$BF$37,[7]SUM95!$AV$40:$BF$58</definedName>
    <definedName name="COVER">[7]SUM95!$AV$14:$BF$37,[7]SUM95!$AV$40:$BF$58</definedName>
    <definedName name="d" localSheetId="11">#REF!</definedName>
    <definedName name="d" localSheetId="9">#REF!</definedName>
    <definedName name="d" localSheetId="13">#REF!</definedName>
    <definedName name="d" localSheetId="5">#REF!</definedName>
    <definedName name="d" localSheetId="1">#REF!</definedName>
    <definedName name="d">#REF!</definedName>
    <definedName name="distribution" localSheetId="11">[2]List99!$A$288:$F$346,[2]List99!#REF!,[2]List99!$A$350:$F$466</definedName>
    <definedName name="distribution" localSheetId="9">[2]List99!$A$288:$F$346,[2]List99!#REF!,[2]List99!$A$350:$F$466</definedName>
    <definedName name="distribution" localSheetId="13">[2]List99!$A$288:$F$346,[2]List99!#REF!,[2]List99!$A$350:$F$466</definedName>
    <definedName name="distribution" localSheetId="5">[2]List99!$A$288:$F$346,[2]List99!#REF!,[2]List99!$A$350:$F$466</definedName>
    <definedName name="distribution" localSheetId="1">[2]List99!$A$288:$F$346,[2]List99!#REF!,[2]List99!$A$350:$F$466</definedName>
    <definedName name="distribution" localSheetId="0">[2]List99!$A$288:$F$346,[2]List99!#REF!,[2]List99!$A$350:$F$466</definedName>
    <definedName name="distribution">[2]List99!$A$288:$F$346,[2]List99!#REF!,[2]List99!$A$350:$F$466</definedName>
    <definedName name="EDR_06_OthInfo" localSheetId="11">'[8]4. 2006 Smart Meter Information'!#REF!</definedName>
    <definedName name="EDR_06_OthInfo" localSheetId="9">'[8]4. 2006 Smart Meter Information'!#REF!</definedName>
    <definedName name="EDR_06_OthInfo" localSheetId="13">'[8]4. 2006 Smart Meter Information'!#REF!</definedName>
    <definedName name="EDR_06_OthInfo" localSheetId="5">'[8]4. 2006 Smart Meter Information'!#REF!</definedName>
    <definedName name="EDR_06_OthInfo" localSheetId="1">'[8]4. 2006 Smart Meter Information'!#REF!</definedName>
    <definedName name="EDR_06_OthInfo" localSheetId="0">'[8]4. 2006 Smart Meter Information'!#REF!</definedName>
    <definedName name="EDR_06_OthInfo">'[8]4. 2006 Smart Meter Information'!#REF!</definedName>
    <definedName name="EDR06Tariffs" localSheetId="11">'[8]3. 2006 Tariff Sheet'!#REF!</definedName>
    <definedName name="EDR06Tariffs" localSheetId="9">'[8]3. 2006 Tariff Sheet'!#REF!</definedName>
    <definedName name="EDR06Tariffs" localSheetId="13">'[8]3. 2006 Tariff Sheet'!#REF!</definedName>
    <definedName name="EDR06Tariffs" localSheetId="5">'[8]3. 2006 Tariff Sheet'!#REF!</definedName>
    <definedName name="EDR06Tariffs" localSheetId="0">'[8]3. 2006 Tariff Sheet'!#REF!</definedName>
    <definedName name="EDR06Tariffs">'[8]3. 2006 Tariff Sheet'!#REF!</definedName>
    <definedName name="Final98" localSheetId="0">[9]Items98!$A$1:$G$58,[9]Items98!$A$62:$G$120,[9]Items98!$A$123:$G$181,[9]Items98!$A$184:$G$242,[9]Items98!$A$245:$G$303,[9]Items98!$A$306:$G$364,[9]Items98!$A$367:$G$425,[9]Items98!$A$428:$G$486,[9]Items98!$A$489:$G$545,[9]Items98!$A$548:$G$604,[9]Items98!$A$607:$G$657,[9]Items98!$A$662:$G$716</definedName>
    <definedName name="Final98">[9]Items98!$A$1:$G$58,[9]Items98!$A$62:$G$120,[9]Items98!$A$123:$G$181,[9]Items98!$A$184:$G$242,[9]Items98!$A$245:$G$303,[9]Items98!$A$306:$G$364,[9]Items98!$A$367:$G$425,[9]Items98!$A$428:$G$486,[9]Items98!$A$489:$G$545,[9]Items98!$A$548:$G$604,[9]Items98!$A$607:$G$657,[9]Items98!$A$662:$G$716</definedName>
    <definedName name="FinalList" localSheetId="11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9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3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5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0">[2]List99!$A$1:$F$59,[2]List99!$A$60:$F$111,[2]List99!#REF!,[2]List99!$A$112:$F$164,[2]List99!$A$165:$F$228,[2]List99!$A$288:$F$346,[2]List99!#REF!,[2]List99!$A$350:$F$466,[2]List99!$A$229:$F$287,[2]List99!$A$467:$F$519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 localSheetId="11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9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3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5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0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97" localSheetId="0">[10]Forecast97!$S$3:$V$32,[10]Forecast97!$X$3:$AC$32</definedName>
    <definedName name="forecast97">[10]Forecast97!$S$3:$V$32,[10]Forecast97!$X$3:$AC$32</definedName>
    <definedName name="Group1" localSheetId="0">[7]SUM96!$A$203:$K$252,[7]SUM96!$A$253:$K$299,[7]SUM96!$A$300:$K$342,[7]SUM96!$A$343:$L$391</definedName>
    <definedName name="Group1">[7]SUM96!$A$203:$K$252,[7]SUM96!$A$253:$K$299,[7]SUM96!$A$300:$K$342,[7]SUM96!$A$343:$L$391</definedName>
    <definedName name="hello" localSheetId="11">#REF!</definedName>
    <definedName name="hello" localSheetId="9">#REF!</definedName>
    <definedName name="hello" localSheetId="13">#REF!</definedName>
    <definedName name="hello" localSheetId="5">#REF!</definedName>
    <definedName name="hello" localSheetId="1">#REF!</definedName>
    <definedName name="hello" localSheetId="0">#REF!</definedName>
    <definedName name="hello">#REF!</definedName>
    <definedName name="histdate">[11]Financials!$E$76</definedName>
    <definedName name="HOEPApr" localSheetId="0">[12]Hoep!$E$6</definedName>
    <definedName name="HOEPApr">[12]Hoep!$E$6</definedName>
    <definedName name="HOEPAug" localSheetId="0">[12]Hoep!$E$10</definedName>
    <definedName name="HOEPAug">[12]Hoep!$E$10</definedName>
    <definedName name="HOEPDec" localSheetId="0">[12]Hoep!$E$14</definedName>
    <definedName name="HOEPDec">[12]Hoep!$E$14</definedName>
    <definedName name="HOEPFeb" localSheetId="0">[12]Hoep!$E$4</definedName>
    <definedName name="HOEPFeb">[12]Hoep!$E$4</definedName>
    <definedName name="HOEPJan" localSheetId="0">[12]Hoep!$E$3</definedName>
    <definedName name="HOEPJan">[12]Hoep!$E$3</definedName>
    <definedName name="HOEPJul" localSheetId="0">[12]Hoep!$E$9</definedName>
    <definedName name="HOEPJul">[12]Hoep!$E$9</definedName>
    <definedName name="HOEPJun" localSheetId="0">[12]Hoep!$E$8</definedName>
    <definedName name="HOEPJun">[12]Hoep!$E$8</definedName>
    <definedName name="HOEPMar" localSheetId="0">[12]Hoep!$E$5</definedName>
    <definedName name="HOEPMar">[12]Hoep!$E$5</definedName>
    <definedName name="HOEPMay" localSheetId="0">[12]Hoep!$E$7</definedName>
    <definedName name="HOEPMay">[12]Hoep!$E$7</definedName>
    <definedName name="HOEPNov" localSheetId="0">[12]Hoep!$E$13</definedName>
    <definedName name="HOEPNov">[12]Hoep!$E$13</definedName>
    <definedName name="HOEPOct" localSheetId="0">[12]Hoep!$E$12</definedName>
    <definedName name="HOEPOct">[12]Hoep!$E$12</definedName>
    <definedName name="HOEPSep" localSheetId="0">[12]Hoep!$E$11</definedName>
    <definedName name="HOEPSep">[12]Hoep!$E$11</definedName>
    <definedName name="impactdata" localSheetId="0">'[13]8-7 OTHER CHGS, COMMOD (Input)'!$B$15:$AS$118</definedName>
    <definedName name="impactdata">'[14]8-7 OTHER CHGS, COMMOD (Input)'!$B$15:$AS$118</definedName>
    <definedName name="Incr2000" localSheetId="11">#REF!</definedName>
    <definedName name="Incr2000" localSheetId="9">#REF!</definedName>
    <definedName name="Incr2000" localSheetId="13">#REF!</definedName>
    <definedName name="Incr2000" localSheetId="5">#REF!</definedName>
    <definedName name="Incr2000" localSheetId="1">#REF!</definedName>
    <definedName name="Incr2000" localSheetId="0">#REF!</definedName>
    <definedName name="Incr2000">#REF!</definedName>
    <definedName name="increase" localSheetId="11">#REF!</definedName>
    <definedName name="increase" localSheetId="9">#REF!</definedName>
    <definedName name="increase" localSheetId="13">#REF!</definedName>
    <definedName name="increase" localSheetId="5">#REF!</definedName>
    <definedName name="increase" localSheetId="1">#REF!</definedName>
    <definedName name="increase" localSheetId="0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 localSheetId="0">[15]Items!$C$4:$E$29,[15]Items!$C$30:$E$59,[15]Items!$C$62:$E$95,[15]Items!$C$102:$E$137,[15]Items!$C$145:$E$169</definedName>
    <definedName name="Items1997">[15]Items!$C$4:$E$29,[15]Items!$C$30:$E$59,[15]Items!$C$62:$E$95,[15]Items!$C$102:$E$137,[15]Items!$C$145:$E$169</definedName>
    <definedName name="Items98" localSheetId="0">[9]Items98!$A$2:$F$58,[9]Items98!$A$62:$F$120,[9]Items98!$A$123:$F$181,[9]Items98!$A$184:$F$242,[9]Items98!$A$245:$F$303,[9]Items98!$A$306:$F$364,[9]Items98!$A$367:$F$486,[9]Items98!$A$489:$F$545,[9]Items98!$A$548:$F$604,[9]Items98!$A$607:$F$657,[9]Items98!$A$662:$F$716</definedName>
    <definedName name="Items98">[9]Items98!$A$2:$F$58,[9]Items98!$A$62:$F$120,[9]Items98!$A$123:$F$181,[9]Items98!$A$184:$F$242,[9]Items98!$A$245:$F$303,[9]Items98!$A$306:$F$364,[9]Items98!$A$367:$F$486,[9]Items98!$A$489:$F$545,[9]Items98!$A$548:$F$604,[9]Items98!$A$607:$F$657,[9]Items98!$A$662:$F$716</definedName>
    <definedName name="jjj" localSheetId="11">'[6]E&amp;O Comparison'!#REF!</definedName>
    <definedName name="jjj" localSheetId="9">'[6]E&amp;O Comparison'!#REF!</definedName>
    <definedName name="jjj" localSheetId="13">'[6]E&amp;O Comparison'!#REF!</definedName>
    <definedName name="jjj" localSheetId="5">'[6]E&amp;O Comparison'!#REF!</definedName>
    <definedName name="jjj" localSheetId="1">'[6]E&amp;O Comparison'!#REF!</definedName>
    <definedName name="jjj" localSheetId="0">'[6]E&amp;O Comparison'!#REF!</definedName>
    <definedName name="jjj">'[6]E&amp;O Comparison'!#REF!</definedName>
    <definedName name="john" localSheetId="11">'[6]E&amp;O Comparison'!#REF!</definedName>
    <definedName name="john" localSheetId="9">'[6]E&amp;O Comparison'!#REF!</definedName>
    <definedName name="john" localSheetId="13">'[6]E&amp;O Comparison'!#REF!</definedName>
    <definedName name="john" localSheetId="5">'[6]E&amp;O Comparison'!#REF!</definedName>
    <definedName name="john" localSheetId="0">'[6]E&amp;O Comparison'!#REF!</definedName>
    <definedName name="john">'[6]E&amp;O Comparison'!#REF!</definedName>
    <definedName name="LastSheet" localSheetId="0" hidden="1">"Details"</definedName>
    <definedName name="LastSheet" hidden="1">"Total Bill Impacts_All Customer"</definedName>
    <definedName name="LIMIT" localSheetId="11">#REF!</definedName>
    <definedName name="LIMIT" localSheetId="9">#REF!</definedName>
    <definedName name="LIMIT" localSheetId="13">#REF!</definedName>
    <definedName name="LIMIT" localSheetId="5">#REF!</definedName>
    <definedName name="LIMIT" localSheetId="1">#REF!</definedName>
    <definedName name="LIMIT" localSheetId="0">#REF!</definedName>
    <definedName name="LIMIT">#REF!</definedName>
    <definedName name="list" localSheetId="11">[2]List99!$A$1:$F$59,[2]List99!$A$60:$F$111,[2]List99!#REF!,[2]List99!$A$112:$F$164,[2]List99!$A$165:$F$228,[2]List99!$A$229:$F$287,[2]List99!$A$467:$F$519,[2]List99!$A$288:$F$346,[2]List99!#REF!,[2]List99!$A$350:$F$466</definedName>
    <definedName name="list" localSheetId="9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3">[2]List99!$A$1:$F$59,[2]List99!$A$60:$F$111,[2]List99!#REF!,[2]List99!$A$112:$F$164,[2]List99!$A$165:$F$228,[2]List99!$A$229:$F$287,[2]List99!$A$467:$F$519,[2]List99!$A$288:$F$346,[2]List99!#REF!,[2]List99!$A$350:$F$466</definedName>
    <definedName name="list" localSheetId="5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">[2]List99!$A$1:$F$59,[2]List99!$A$60:$F$111,[2]List99!#REF!,[2]List99!$A$112:$F$164,[2]List99!$A$165:$F$228,[2]List99!$A$229:$F$287,[2]List99!$A$467:$F$519,[2]List99!$A$288:$F$346,[2]List99!#REF!,[2]List99!$A$350:$F$466</definedName>
    <definedName name="list" localSheetId="0">[2]List99!$A$1:$F$59,[2]List99!$A$60:$F$111,[2]List99!#REF!,[2]List99!$A$112:$F$164,[2]List99!$A$165:$F$228,[2]List99!$A$229:$F$287,[2]List99!$A$467:$F$519,[2]List99!$A$288:$F$346,[2]List99!#REF!,[2]List99!$A$350:$F$466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 localSheetId="0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 localSheetId="11">#REF!</definedName>
    <definedName name="man_beg_bud" localSheetId="9">#REF!</definedName>
    <definedName name="man_beg_bud" localSheetId="13">#REF!</definedName>
    <definedName name="man_beg_bud" localSheetId="5">#REF!</definedName>
    <definedName name="man_beg_bud" localSheetId="1">#REF!</definedName>
    <definedName name="man_beg_bud" localSheetId="0">#REF!</definedName>
    <definedName name="man_beg_bud">#REF!</definedName>
    <definedName name="man_end_bud" localSheetId="11">#REF!</definedName>
    <definedName name="man_end_bud" localSheetId="9">#REF!</definedName>
    <definedName name="man_end_bud" localSheetId="13">#REF!</definedName>
    <definedName name="man_end_bud" localSheetId="5">#REF!</definedName>
    <definedName name="man_end_bud" localSheetId="1">#REF!</definedName>
    <definedName name="man_end_bud" localSheetId="0">#REF!</definedName>
    <definedName name="man_end_bud">#REF!</definedName>
    <definedName name="man12ACT" localSheetId="11">#REF!</definedName>
    <definedName name="man12ACT" localSheetId="9">#REF!</definedName>
    <definedName name="man12ACT" localSheetId="13">#REF!</definedName>
    <definedName name="man12ACT" localSheetId="5">#REF!</definedName>
    <definedName name="man12ACT" localSheetId="1">#REF!</definedName>
    <definedName name="man12ACT" localSheetId="0">#REF!</definedName>
    <definedName name="man12ACT">#REF!</definedName>
    <definedName name="MANBUD" localSheetId="11">#REF!</definedName>
    <definedName name="MANBUD" localSheetId="9">#REF!</definedName>
    <definedName name="MANBUD" localSheetId="13">#REF!</definedName>
    <definedName name="MANBUD" localSheetId="5">#REF!</definedName>
    <definedName name="MANBUD" localSheetId="1">#REF!</definedName>
    <definedName name="MANBUD" localSheetId="0">#REF!</definedName>
    <definedName name="MANBUD">#REF!</definedName>
    <definedName name="manCYACT" localSheetId="11">#REF!</definedName>
    <definedName name="manCYACT" localSheetId="9">#REF!</definedName>
    <definedName name="manCYACT" localSheetId="13">#REF!</definedName>
    <definedName name="manCYACT" localSheetId="5">#REF!</definedName>
    <definedName name="manCYACT" localSheetId="1">#REF!</definedName>
    <definedName name="manCYACT" localSheetId="0">#REF!</definedName>
    <definedName name="manCYACT">#REF!</definedName>
    <definedName name="manCYBUD" localSheetId="11">#REF!</definedName>
    <definedName name="manCYBUD" localSheetId="9">#REF!</definedName>
    <definedName name="manCYBUD" localSheetId="13">#REF!</definedName>
    <definedName name="manCYBUD" localSheetId="5">#REF!</definedName>
    <definedName name="manCYBUD" localSheetId="1">#REF!</definedName>
    <definedName name="manCYBUD" localSheetId="0">#REF!</definedName>
    <definedName name="manCYBUD">#REF!</definedName>
    <definedName name="manCYF" localSheetId="11">#REF!</definedName>
    <definedName name="manCYF" localSheetId="9">#REF!</definedName>
    <definedName name="manCYF" localSheetId="13">#REF!</definedName>
    <definedName name="manCYF" localSheetId="5">#REF!</definedName>
    <definedName name="manCYF" localSheetId="1">#REF!</definedName>
    <definedName name="manCYF" localSheetId="0">#REF!</definedName>
    <definedName name="manCYF">#REF!</definedName>
    <definedName name="MANEND" localSheetId="11">#REF!</definedName>
    <definedName name="MANEND" localSheetId="9">#REF!</definedName>
    <definedName name="MANEND" localSheetId="13">#REF!</definedName>
    <definedName name="MANEND" localSheetId="5">#REF!</definedName>
    <definedName name="MANEND" localSheetId="1">#REF!</definedName>
    <definedName name="MANEND" localSheetId="0">#REF!</definedName>
    <definedName name="MANEND">#REF!</definedName>
    <definedName name="manNYbud" localSheetId="11">#REF!</definedName>
    <definedName name="manNYbud" localSheetId="9">#REF!</definedName>
    <definedName name="manNYbud" localSheetId="13">#REF!</definedName>
    <definedName name="manNYbud" localSheetId="5">#REF!</definedName>
    <definedName name="manNYbud" localSheetId="1">#REF!</definedName>
    <definedName name="manNYbud" localSheetId="0">#REF!</definedName>
    <definedName name="manNYbud">#REF!</definedName>
    <definedName name="manpower_costs" localSheetId="11">#REF!</definedName>
    <definedName name="manpower_costs" localSheetId="9">#REF!</definedName>
    <definedName name="manpower_costs" localSheetId="13">#REF!</definedName>
    <definedName name="manpower_costs" localSheetId="5">#REF!</definedName>
    <definedName name="manpower_costs" localSheetId="1">#REF!</definedName>
    <definedName name="manpower_costs" localSheetId="0">#REF!</definedName>
    <definedName name="manpower_costs">#REF!</definedName>
    <definedName name="manPYACT" localSheetId="11">#REF!</definedName>
    <definedName name="manPYACT" localSheetId="9">#REF!</definedName>
    <definedName name="manPYACT" localSheetId="13">#REF!</definedName>
    <definedName name="manPYACT" localSheetId="5">#REF!</definedName>
    <definedName name="manPYACT" localSheetId="1">#REF!</definedName>
    <definedName name="manPYACT" localSheetId="0">#REF!</definedName>
    <definedName name="manPYACT">#REF!</definedName>
    <definedName name="MANSTART" localSheetId="11">#REF!</definedName>
    <definedName name="MANSTART" localSheetId="9">#REF!</definedName>
    <definedName name="MANSTART" localSheetId="13">#REF!</definedName>
    <definedName name="MANSTART" localSheetId="5">#REF!</definedName>
    <definedName name="MANSTART" localSheetId="1">#REF!</definedName>
    <definedName name="MANSTART" localSheetId="0">#REF!</definedName>
    <definedName name="MANSTART">#REF!</definedName>
    <definedName name="mat_beg_bud" localSheetId="11">#REF!</definedName>
    <definedName name="mat_beg_bud" localSheetId="9">#REF!</definedName>
    <definedName name="mat_beg_bud" localSheetId="13">#REF!</definedName>
    <definedName name="mat_beg_bud" localSheetId="5">#REF!</definedName>
    <definedName name="mat_beg_bud" localSheetId="1">#REF!</definedName>
    <definedName name="mat_beg_bud" localSheetId="0">#REF!</definedName>
    <definedName name="mat_beg_bud">#REF!</definedName>
    <definedName name="mat_end_bud" localSheetId="11">#REF!</definedName>
    <definedName name="mat_end_bud" localSheetId="9">#REF!</definedName>
    <definedName name="mat_end_bud" localSheetId="13">#REF!</definedName>
    <definedName name="mat_end_bud" localSheetId="5">#REF!</definedName>
    <definedName name="mat_end_bud" localSheetId="1">#REF!</definedName>
    <definedName name="mat_end_bud" localSheetId="0">#REF!</definedName>
    <definedName name="mat_end_bud">#REF!</definedName>
    <definedName name="mat12ACT" localSheetId="11">#REF!</definedName>
    <definedName name="mat12ACT" localSheetId="9">#REF!</definedName>
    <definedName name="mat12ACT" localSheetId="13">#REF!</definedName>
    <definedName name="mat12ACT" localSheetId="5">#REF!</definedName>
    <definedName name="mat12ACT" localSheetId="1">#REF!</definedName>
    <definedName name="mat12ACT" localSheetId="0">#REF!</definedName>
    <definedName name="mat12ACT">#REF!</definedName>
    <definedName name="MATBUD" localSheetId="11">#REF!</definedName>
    <definedName name="MATBUD" localSheetId="9">#REF!</definedName>
    <definedName name="MATBUD" localSheetId="13">#REF!</definedName>
    <definedName name="MATBUD" localSheetId="5">#REF!</definedName>
    <definedName name="MATBUD" localSheetId="1">#REF!</definedName>
    <definedName name="MATBUD" localSheetId="0">#REF!</definedName>
    <definedName name="MATBUD">#REF!</definedName>
    <definedName name="matCYACT" localSheetId="11">#REF!</definedName>
    <definedName name="matCYACT" localSheetId="9">#REF!</definedName>
    <definedName name="matCYACT" localSheetId="13">#REF!</definedName>
    <definedName name="matCYACT" localSheetId="5">#REF!</definedName>
    <definedName name="matCYACT" localSheetId="1">#REF!</definedName>
    <definedName name="matCYACT" localSheetId="0">#REF!</definedName>
    <definedName name="matCYACT">#REF!</definedName>
    <definedName name="matCYBUD" localSheetId="11">#REF!</definedName>
    <definedName name="matCYBUD" localSheetId="9">#REF!</definedName>
    <definedName name="matCYBUD" localSheetId="13">#REF!</definedName>
    <definedName name="matCYBUD" localSheetId="5">#REF!</definedName>
    <definedName name="matCYBUD" localSheetId="1">#REF!</definedName>
    <definedName name="matCYBUD" localSheetId="0">#REF!</definedName>
    <definedName name="matCYBUD">#REF!</definedName>
    <definedName name="matCYF" localSheetId="11">#REF!</definedName>
    <definedName name="matCYF" localSheetId="9">#REF!</definedName>
    <definedName name="matCYF" localSheetId="13">#REF!</definedName>
    <definedName name="matCYF" localSheetId="5">#REF!</definedName>
    <definedName name="matCYF" localSheetId="1">#REF!</definedName>
    <definedName name="matCYF" localSheetId="0">#REF!</definedName>
    <definedName name="matCYF">#REF!</definedName>
    <definedName name="MATEND" localSheetId="11">#REF!</definedName>
    <definedName name="MATEND" localSheetId="9">#REF!</definedName>
    <definedName name="MATEND" localSheetId="13">#REF!</definedName>
    <definedName name="MATEND" localSheetId="5">#REF!</definedName>
    <definedName name="MATEND" localSheetId="1">#REF!</definedName>
    <definedName name="MATEND" localSheetId="0">#REF!</definedName>
    <definedName name="MATEND">#REF!</definedName>
    <definedName name="material_costs" localSheetId="11">#REF!</definedName>
    <definedName name="material_costs" localSheetId="9">#REF!</definedName>
    <definedName name="material_costs" localSheetId="13">#REF!</definedName>
    <definedName name="material_costs" localSheetId="5">#REF!</definedName>
    <definedName name="material_costs" localSheetId="1">#REF!</definedName>
    <definedName name="material_costs" localSheetId="0">#REF!</definedName>
    <definedName name="material_costs">#REF!</definedName>
    <definedName name="matNYbud" localSheetId="11">#REF!</definedName>
    <definedName name="matNYbud" localSheetId="9">#REF!</definedName>
    <definedName name="matNYbud" localSheetId="13">#REF!</definedName>
    <definedName name="matNYbud" localSheetId="5">#REF!</definedName>
    <definedName name="matNYbud" localSheetId="1">#REF!</definedName>
    <definedName name="matNYbud" localSheetId="0">#REF!</definedName>
    <definedName name="matNYbud">#REF!</definedName>
    <definedName name="matPYACT" localSheetId="11">#REF!</definedName>
    <definedName name="matPYACT" localSheetId="9">#REF!</definedName>
    <definedName name="matPYACT" localSheetId="13">#REF!</definedName>
    <definedName name="matPYACT" localSheetId="5">#REF!</definedName>
    <definedName name="matPYACT" localSheetId="1">#REF!</definedName>
    <definedName name="matPYACT" localSheetId="0">#REF!</definedName>
    <definedName name="matPYACT">#REF!</definedName>
    <definedName name="MATSTART" localSheetId="11">#REF!</definedName>
    <definedName name="MATSTART" localSheetId="9">#REF!</definedName>
    <definedName name="MATSTART" localSheetId="13">#REF!</definedName>
    <definedName name="MATSTART" localSheetId="5">#REF!</definedName>
    <definedName name="MATSTART" localSheetId="1">#REF!</definedName>
    <definedName name="MATSTART" localSheetId="0">#REF!</definedName>
    <definedName name="MATSTART">#REF!</definedName>
    <definedName name="Model_Organization" localSheetId="11">#REF!</definedName>
    <definedName name="Model_Organization" localSheetId="9">#REF!</definedName>
    <definedName name="Model_Organization" localSheetId="13">#REF!</definedName>
    <definedName name="Model_Organization" localSheetId="5">#REF!</definedName>
    <definedName name="Model_Organization" localSheetId="1">#REF!</definedName>
    <definedName name="Model_Organization" localSheetId="0">#REF!</definedName>
    <definedName name="Model_Organization">#REF!</definedName>
    <definedName name="MofF" localSheetId="11">#REF!</definedName>
    <definedName name="MofF" localSheetId="9">#REF!</definedName>
    <definedName name="MofF" localSheetId="13">#REF!</definedName>
    <definedName name="MofF" localSheetId="5">#REF!</definedName>
    <definedName name="MofF" localSheetId="1">#REF!</definedName>
    <definedName name="MofF" localSheetId="0">#REF!</definedName>
    <definedName name="MofF">#REF!</definedName>
    <definedName name="NONBENF" localSheetId="11">#REF!</definedName>
    <definedName name="NONBENF" localSheetId="9">#REF!</definedName>
    <definedName name="NONBENF" localSheetId="13">#REF!</definedName>
    <definedName name="NONBENF" localSheetId="5">#REF!</definedName>
    <definedName name="NONBENF" localSheetId="1">#REF!</definedName>
    <definedName name="NONBENF" localSheetId="0">#REF!</definedName>
    <definedName name="NONBENF">#REF!</definedName>
    <definedName name="nonreg" localSheetId="11">#REF!</definedName>
    <definedName name="nonreg" localSheetId="9">#REF!</definedName>
    <definedName name="nonreg" localSheetId="13">#REF!</definedName>
    <definedName name="nonreg" localSheetId="5">#REF!</definedName>
    <definedName name="nonreg" localSheetId="1">#REF!</definedName>
    <definedName name="nonreg" localSheetId="0">#REF!</definedName>
    <definedName name="nonreg">#REF!</definedName>
    <definedName name="nonregf" localSheetId="11">#REF!</definedName>
    <definedName name="nonregf" localSheetId="9">#REF!</definedName>
    <definedName name="nonregf" localSheetId="13">#REF!</definedName>
    <definedName name="nonregf" localSheetId="5">#REF!</definedName>
    <definedName name="nonregf" localSheetId="1">#REF!</definedName>
    <definedName name="nonregf" localSheetId="0">#REF!</definedName>
    <definedName name="nonregf">#REF!</definedName>
    <definedName name="note5d" localSheetId="11">#REF!</definedName>
    <definedName name="note5d" localSheetId="9">#REF!</definedName>
    <definedName name="note5d" localSheetId="13">#REF!</definedName>
    <definedName name="note5d" localSheetId="5">#REF!</definedName>
    <definedName name="note5d" localSheetId="1">#REF!</definedName>
    <definedName name="note5d" localSheetId="0">#REF!</definedName>
    <definedName name="note5d">#REF!</definedName>
    <definedName name="oth_beg_bud" localSheetId="11">#REF!</definedName>
    <definedName name="oth_beg_bud" localSheetId="9">#REF!</definedName>
    <definedName name="oth_beg_bud" localSheetId="13">#REF!</definedName>
    <definedName name="oth_beg_bud" localSheetId="5">#REF!</definedName>
    <definedName name="oth_beg_bud" localSheetId="1">#REF!</definedName>
    <definedName name="oth_beg_bud" localSheetId="0">#REF!</definedName>
    <definedName name="oth_beg_bud">#REF!</definedName>
    <definedName name="oth_end_bud" localSheetId="11">#REF!</definedName>
    <definedName name="oth_end_bud" localSheetId="9">#REF!</definedName>
    <definedName name="oth_end_bud" localSheetId="13">#REF!</definedName>
    <definedName name="oth_end_bud" localSheetId="5">#REF!</definedName>
    <definedName name="oth_end_bud" localSheetId="1">#REF!</definedName>
    <definedName name="oth_end_bud" localSheetId="0">#REF!</definedName>
    <definedName name="oth_end_bud">#REF!</definedName>
    <definedName name="oth12ACT" localSheetId="11">#REF!</definedName>
    <definedName name="oth12ACT" localSheetId="9">#REF!</definedName>
    <definedName name="oth12ACT" localSheetId="13">#REF!</definedName>
    <definedName name="oth12ACT" localSheetId="5">#REF!</definedName>
    <definedName name="oth12ACT" localSheetId="1">#REF!</definedName>
    <definedName name="oth12ACT" localSheetId="0">#REF!</definedName>
    <definedName name="oth12ACT">#REF!</definedName>
    <definedName name="othCYACT" localSheetId="11">#REF!</definedName>
    <definedName name="othCYACT" localSheetId="9">#REF!</definedName>
    <definedName name="othCYACT" localSheetId="13">#REF!</definedName>
    <definedName name="othCYACT" localSheetId="5">#REF!</definedName>
    <definedName name="othCYACT" localSheetId="1">#REF!</definedName>
    <definedName name="othCYACT" localSheetId="0">#REF!</definedName>
    <definedName name="othCYACT">#REF!</definedName>
    <definedName name="othCYBUD" localSheetId="11">#REF!</definedName>
    <definedName name="othCYBUD" localSheetId="9">#REF!</definedName>
    <definedName name="othCYBUD" localSheetId="13">#REF!</definedName>
    <definedName name="othCYBUD" localSheetId="5">#REF!</definedName>
    <definedName name="othCYBUD" localSheetId="1">#REF!</definedName>
    <definedName name="othCYBUD" localSheetId="0">#REF!</definedName>
    <definedName name="othCYBUD">#REF!</definedName>
    <definedName name="othCYF" localSheetId="11">#REF!</definedName>
    <definedName name="othCYF" localSheetId="9">#REF!</definedName>
    <definedName name="othCYF" localSheetId="13">#REF!</definedName>
    <definedName name="othCYF" localSheetId="5">#REF!</definedName>
    <definedName name="othCYF" localSheetId="1">#REF!</definedName>
    <definedName name="othCYF" localSheetId="0">#REF!</definedName>
    <definedName name="othCYF">#REF!</definedName>
    <definedName name="OTHEND" localSheetId="11">#REF!</definedName>
    <definedName name="OTHEND" localSheetId="9">#REF!</definedName>
    <definedName name="OTHEND" localSheetId="13">#REF!</definedName>
    <definedName name="OTHEND" localSheetId="5">#REF!</definedName>
    <definedName name="OTHEND" localSheetId="1">#REF!</definedName>
    <definedName name="OTHEND" localSheetId="0">#REF!</definedName>
    <definedName name="OTHEND">#REF!</definedName>
    <definedName name="other_costs" localSheetId="11">#REF!</definedName>
    <definedName name="other_costs" localSheetId="9">#REF!</definedName>
    <definedName name="other_costs" localSheetId="13">#REF!</definedName>
    <definedName name="other_costs" localSheetId="5">#REF!</definedName>
    <definedName name="other_costs" localSheetId="1">#REF!</definedName>
    <definedName name="other_costs" localSheetId="0">#REF!</definedName>
    <definedName name="other_costs">#REF!</definedName>
    <definedName name="OTHERBUD" localSheetId="11">#REF!</definedName>
    <definedName name="OTHERBUD" localSheetId="9">#REF!</definedName>
    <definedName name="OTHERBUD" localSheetId="13">#REF!</definedName>
    <definedName name="OTHERBUD" localSheetId="5">#REF!</definedName>
    <definedName name="OTHERBUD" localSheetId="1">#REF!</definedName>
    <definedName name="OTHERBUD" localSheetId="0">#REF!</definedName>
    <definedName name="OTHERBUD">#REF!</definedName>
    <definedName name="OtherRateCharges" localSheetId="11">#REF!</definedName>
    <definedName name="OtherRateCharges" localSheetId="9">#REF!</definedName>
    <definedName name="OtherRateCharges" localSheetId="13">#REF!</definedName>
    <definedName name="OtherRateCharges" localSheetId="5">#REF!</definedName>
    <definedName name="OtherRateCharges" localSheetId="1">#REF!</definedName>
    <definedName name="OtherRateCharges" localSheetId="0">#REF!</definedName>
    <definedName name="OtherRateCharges">#REF!</definedName>
    <definedName name="othNYbud" localSheetId="11">#REF!</definedName>
    <definedName name="othNYbud" localSheetId="9">#REF!</definedName>
    <definedName name="othNYbud" localSheetId="13">#REF!</definedName>
    <definedName name="othNYbud" localSheetId="5">#REF!</definedName>
    <definedName name="othNYbud" localSheetId="1">#REF!</definedName>
    <definedName name="othNYbud" localSheetId="0">#REF!</definedName>
    <definedName name="othNYbud">#REF!</definedName>
    <definedName name="othPYACT" localSheetId="11">#REF!</definedName>
    <definedName name="othPYACT" localSheetId="9">#REF!</definedName>
    <definedName name="othPYACT" localSheetId="13">#REF!</definedName>
    <definedName name="othPYACT" localSheetId="5">#REF!</definedName>
    <definedName name="othPYACT" localSheetId="1">#REF!</definedName>
    <definedName name="othPYACT" localSheetId="0">#REF!</definedName>
    <definedName name="othPYACT">#REF!</definedName>
    <definedName name="OTHSTART" localSheetId="11">#REF!</definedName>
    <definedName name="OTHSTART" localSheetId="9">#REF!</definedName>
    <definedName name="OTHSTART" localSheetId="13">#REF!</definedName>
    <definedName name="OTHSTART" localSheetId="5">#REF!</definedName>
    <definedName name="OTHSTART" localSheetId="1">#REF!</definedName>
    <definedName name="OTHSTART" localSheetId="0">#REF!</definedName>
    <definedName name="OTHSTART">#REF!</definedName>
    <definedName name="page3" localSheetId="11">[9]RPCAP97!#REF!</definedName>
    <definedName name="page3" localSheetId="9">[9]RPCAP97!#REF!</definedName>
    <definedName name="page3" localSheetId="13">[9]RPCAP97!#REF!</definedName>
    <definedName name="page3" localSheetId="5">[9]RPCAP97!#REF!</definedName>
    <definedName name="page3" localSheetId="1">[9]RPCAP97!#REF!</definedName>
    <definedName name="page3" localSheetId="0">[9]RPCAP97!#REF!</definedName>
    <definedName name="page3">[9]RPCAP97!#REF!</definedName>
    <definedName name="page7a" localSheetId="11">[9]RPCAP97!#REF!</definedName>
    <definedName name="page7a" localSheetId="9">[9]RPCAP97!#REF!</definedName>
    <definedName name="page7a" localSheetId="13">[9]RPCAP97!#REF!</definedName>
    <definedName name="page7a" localSheetId="5">[9]RPCAP97!#REF!</definedName>
    <definedName name="page7a" localSheetId="0">[9]RPCAP97!#REF!</definedName>
    <definedName name="page7a">[9]RPCAP97!#REF!</definedName>
    <definedName name="PageAll" localSheetId="0">[9]RPCAP97!$A$1:$F$59,[9]RPCAP97!$A$60:$F$111,[9]RPCAP97!$A$112:$F$164,[9]RPCAP97!$A$165:$F$223,[9]RPCAP97!$A$283:$F$341,[9]RPCAP97!$A$345:$F$403,[9]RPCAP97!$A$224:$F$282,[9]RPCAP97!$A$404:$F$456,[9]RPCAP97!$A$459:$F$511</definedName>
    <definedName name="PageAll">[9]RPCAP97!$A$1:$F$59,[9]RPCAP97!$A$60:$F$111,[9]RPCAP97!$A$112:$F$164,[9]RPCAP97!$A$165:$F$223,[9]RPCAP97!$A$283:$F$341,[9]RPCAP97!$A$345:$F$403,[9]RPCAP97!$A$224:$F$282,[9]RPCAP97!$A$404:$F$456,[9]RPCAP97!$A$459:$F$511</definedName>
    <definedName name="PagePart" localSheetId="0">[9]RPCAP97!$A$1:$F$59,[9]RPCAP97!$A$60:$F$111,[9]RPCAP97!$A$112:$F$164,[9]RPCAP97!$A$165:$F$223</definedName>
    <definedName name="PagePart">[9]RPCAP97!$A$1:$F$59,[9]RPCAP97!$A$60:$F$111,[9]RPCAP97!$A$112:$F$164,[9]RPCAP97!$A$165:$F$223</definedName>
    <definedName name="Pages2000a" localSheetId="0">[2]List99!$A$1:$F$58,[2]List99!$A$62:$F$120,[2]List99!$A$123:$F$186,[2]List99!$A$189:$F$247,[2]List99!$A$250:$F$308,[2]List99!$A$311:$F$370</definedName>
    <definedName name="Pages2000a">[2]List99!$A$1:$F$58,[2]List99!$A$62:$F$120,[2]List99!$A$123:$F$186,[2]List99!$A$189:$F$247,[2]List99!$A$250:$F$308,[2]List99!$A$311:$F$370</definedName>
    <definedName name="Pages2000b" localSheetId="0">[2]List99!$A$373:$F$427,[2]List99!$A$430:$F$488,[2]List99!$A$491:$F$549,[2]List99!$A$551:$F$608,[2]List99!$A$610:$F$667,[2]List99!$A$669:$F$720,[2]List99!$A$724:$F$779</definedName>
    <definedName name="Pages2000b">[2]List99!$A$373:$F$427,[2]List99!$A$430:$F$488,[2]List99!$A$491:$F$549,[2]List99!$A$551:$F$608,[2]List99!$A$610:$F$667,[2]List99!$A$669:$F$720,[2]List99!$A$724:$F$779</definedName>
    <definedName name="PagesAll" localSheetId="0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 localSheetId="11">#REF!</definedName>
    <definedName name="PriceCapParams" localSheetId="9">#REF!</definedName>
    <definedName name="PriceCapParams" localSheetId="13">#REF!</definedName>
    <definedName name="PriceCapParams" localSheetId="5">#REF!</definedName>
    <definedName name="PriceCapParams" localSheetId="1">#REF!</definedName>
    <definedName name="PriceCapParams" localSheetId="0">#REF!</definedName>
    <definedName name="PriceCapParams">#REF!</definedName>
    <definedName name="primary" localSheetId="11">[2]List99!$A$288:$F$346,[2]List99!#REF!,[2]List99!$A$350:$F$466</definedName>
    <definedName name="primary" localSheetId="9">[2]List99!$A$288:$F$346,[2]List99!#REF!,[2]List99!$A$350:$F$466</definedName>
    <definedName name="primary" localSheetId="13">[2]List99!$A$288:$F$346,[2]List99!#REF!,[2]List99!$A$350:$F$466</definedName>
    <definedName name="primary" localSheetId="5">[2]List99!$A$288:$F$346,[2]List99!#REF!,[2]List99!$A$350:$F$466</definedName>
    <definedName name="primary" localSheetId="0">[2]List99!$A$288:$F$346,[2]List99!#REF!,[2]List99!$A$350:$F$466</definedName>
    <definedName name="primary">[2]List99!$A$288:$F$346,[2]List99!#REF!,[2]List99!$A$350:$F$466</definedName>
    <definedName name="Print" localSheetId="0">'[16]Nov DEGDAYS'!$A$1:$N$36</definedName>
    <definedName name="Print">'[16]Nov DEGDAYS'!$A$1:$N$36</definedName>
    <definedName name="_xlnm.Print_Area" localSheetId="11">#REF!</definedName>
    <definedName name="_xlnm.Print_Area" localSheetId="9">#REF!</definedName>
    <definedName name="_xlnm.Print_Area" localSheetId="13">#REF!</definedName>
    <definedName name="_xlnm.Print_Area" localSheetId="5">#REF!</definedName>
    <definedName name="_xlnm.Print_Area" localSheetId="1">'Bill Impact Summary'!$A$1:$E$29,'Bill Impact Summary'!#REF!</definedName>
    <definedName name="_xlnm.Print_Area" localSheetId="0">'January 01, 2016 Rates'!$B$1:$M$135</definedName>
    <definedName name="_xlnm.Print_Area">#REF!</definedName>
    <definedName name="print_end" localSheetId="11">#REF!</definedName>
    <definedName name="print_end" localSheetId="9">#REF!</definedName>
    <definedName name="print_end" localSheetId="13">#REF!</definedName>
    <definedName name="print_end" localSheetId="5">#REF!</definedName>
    <definedName name="print_end" localSheetId="1">#REF!</definedName>
    <definedName name="print_end" localSheetId="0">#REF!</definedName>
    <definedName name="print_end">#REF!</definedName>
    <definedName name="_xlnm.Print_Titles" localSheetId="0">'January 01, 2016 Rates'!$1:$2</definedName>
    <definedName name="Qend" localSheetId="0">'[17]RSVA &amp; Other'!$A$3</definedName>
    <definedName name="Qend">'[17]RSVA &amp; Other'!$A$3</definedName>
    <definedName name="Rate_Riders" localSheetId="11">#REF!</definedName>
    <definedName name="Rate_Riders" localSheetId="9">#REF!</definedName>
    <definedName name="Rate_Riders" localSheetId="13">#REF!</definedName>
    <definedName name="Rate_Riders" localSheetId="5">#REF!</definedName>
    <definedName name="Rate_Riders" localSheetId="1">#REF!</definedName>
    <definedName name="Rate_Riders" localSheetId="0">#REF!</definedName>
    <definedName name="Rate_Riders">#REF!</definedName>
    <definedName name="Ratebase" localSheetId="11">#REF!</definedName>
    <definedName name="Ratebase" localSheetId="9">#REF!</definedName>
    <definedName name="Ratebase" localSheetId="13">#REF!</definedName>
    <definedName name="Ratebase" localSheetId="5">#REF!</definedName>
    <definedName name="Ratebase" localSheetId="1">#REF!</definedName>
    <definedName name="Ratebase" localSheetId="0">#REF!</definedName>
    <definedName name="Ratebase">#REF!</definedName>
    <definedName name="rearrange95" localSheetId="0">[7]SUM95!$A$75:$I$109,[7]SUM95!$A$110:$I$141,[7]SUM95!$A$142:$I$177</definedName>
    <definedName name="rearrange95">[7]SUM95!$A$75:$I$109,[7]SUM95!$A$110:$I$141,[7]SUM95!$A$142:$I$177</definedName>
    <definedName name="RPP_Data" localSheetId="11">#REF!</definedName>
    <definedName name="RPP_Data" localSheetId="9">#REF!</definedName>
    <definedName name="RPP_Data" localSheetId="13">#REF!</definedName>
    <definedName name="RPP_Data" localSheetId="5">#REF!</definedName>
    <definedName name="RPP_Data" localSheetId="1">#REF!</definedName>
    <definedName name="RPP_Data" localSheetId="0">#REF!</definedName>
    <definedName name="RPP_Data">#REF!</definedName>
    <definedName name="SALBENF" localSheetId="11">#REF!</definedName>
    <definedName name="SALBENF" localSheetId="9">#REF!</definedName>
    <definedName name="SALBENF" localSheetId="13">#REF!</definedName>
    <definedName name="SALBENF" localSheetId="5">#REF!</definedName>
    <definedName name="SALBENF" localSheetId="1">#REF!</definedName>
    <definedName name="SALBENF" localSheetId="0">#REF!</definedName>
    <definedName name="SALBENF">#REF!</definedName>
    <definedName name="salreg" localSheetId="11">#REF!</definedName>
    <definedName name="salreg" localSheetId="9">#REF!</definedName>
    <definedName name="salreg" localSheetId="13">#REF!</definedName>
    <definedName name="salreg" localSheetId="5">#REF!</definedName>
    <definedName name="salreg" localSheetId="1">#REF!</definedName>
    <definedName name="salreg" localSheetId="0">#REF!</definedName>
    <definedName name="salreg">#REF!</definedName>
    <definedName name="SALREGF" localSheetId="11">#REF!</definedName>
    <definedName name="SALREGF" localSheetId="9">#REF!</definedName>
    <definedName name="SALREGF" localSheetId="13">#REF!</definedName>
    <definedName name="SALREGF" localSheetId="5">#REF!</definedName>
    <definedName name="SALREGF" localSheetId="1">#REF!</definedName>
    <definedName name="SALREGF" localSheetId="0">#REF!</definedName>
    <definedName name="SALREGF">#REF!</definedName>
    <definedName name="subtrans" localSheetId="11">[2]List99!$A$1:$F$59,[2]List99!$A$60:$F$111,[2]List99!#REF!,[2]List99!$A$112:$F$164,[2]List99!$A$165:$F$228</definedName>
    <definedName name="subtrans" localSheetId="9">[2]List99!$A$1:$F$59,[2]List99!$A$60:$F$111,[2]List99!#REF!,[2]List99!$A$112:$F$164,[2]List99!$A$165:$F$228</definedName>
    <definedName name="subtrans" localSheetId="13">[2]List99!$A$1:$F$59,[2]List99!$A$60:$F$111,[2]List99!#REF!,[2]List99!$A$112:$F$164,[2]List99!$A$165:$F$228</definedName>
    <definedName name="subtrans" localSheetId="5">[2]List99!$A$1:$F$59,[2]List99!$A$60:$F$111,[2]List99!#REF!,[2]List99!$A$112:$F$164,[2]List99!$A$165:$F$228</definedName>
    <definedName name="subtrans" localSheetId="1">[2]List99!$A$1:$F$59,[2]List99!$A$60:$F$111,[2]List99!#REF!,[2]List99!$A$112:$F$164,[2]List99!$A$165:$F$228</definedName>
    <definedName name="subtrans" localSheetId="0">[2]List99!$A$1:$F$59,[2]List99!$A$60:$F$111,[2]List99!#REF!,[2]List99!$A$112:$F$164,[2]List99!$A$165:$F$228</definedName>
    <definedName name="subtrans">[2]List99!$A$1:$F$59,[2]List99!$A$60:$F$111,[2]List99!#REF!,[2]List99!$A$112:$F$164,[2]List99!$A$165:$F$228</definedName>
    <definedName name="Surtax" localSheetId="11">#REF!</definedName>
    <definedName name="Surtax" localSheetId="9">#REF!</definedName>
    <definedName name="Surtax" localSheetId="13">#REF!</definedName>
    <definedName name="Surtax" localSheetId="5">#REF!</definedName>
    <definedName name="Surtax" localSheetId="1">#REF!</definedName>
    <definedName name="Surtax" localSheetId="0">#REF!</definedName>
    <definedName name="Surtax">#REF!</definedName>
    <definedName name="SysPageAll" localSheetId="0">'[15]MSCalc (2)'!$H$14:$AF$42,'[15]MSCalc (2)'!$H$43:$AF$85,'[15]MSCalc (2)'!$H$86:$AF$129,'[15]MSCalc (2)'!$H$130:$AF$201,'[15]MSCalc (2)'!$H$202:$AF$256,'[15]MSCalc (2)'!$H$257:$AF$279</definedName>
    <definedName name="SysPageAll">'[15]MSCalc (2)'!$H$14:$AF$42,'[15]MSCalc (2)'!$H$43:$AF$85,'[15]MSCalc (2)'!$H$86:$AF$129,'[15]MSCalc (2)'!$H$130:$AF$201,'[15]MSCalc (2)'!$H$202:$AF$256,'[15]MSCalc (2)'!$H$257:$AF$279</definedName>
    <definedName name="SYSTEM" localSheetId="0">[18]OPTTABLE!$A$2:$E$15,[18]OPTTABLE!$Q$2:$T$15,[18]OPTTABLE!$AA$2:$AE$15,[18]OPTTABLE!$AG$2:$AK$15,[18]OPTTABLE!$AW$2:$AZ$15,[18]OPTTABLE!$BB$2:$BF$15,[18]OPTTABLE!$U$2:$Y$15,[18]OPTTABLE!$BH$2:$BH$15</definedName>
    <definedName name="SYSTEM">[18]OPTTABLE!$A$2:$E$15,[18]OPTTABLE!$Q$2:$T$15,[18]OPTTABLE!$AA$2:$AE$15,[18]OPTTABLE!$AG$2:$AK$15,[18]OPTTABLE!$AW$2:$AZ$15,[18]OPTTABLE!$BB$2:$BF$15,[18]OPTTABLE!$U$2:$Y$15,[18]OPTTABLE!$BH$2:$BH$15</definedName>
    <definedName name="TableLarge" localSheetId="0">[7]SUM96!$A$203:$K$252,[7]SUM96!$A$253:$K$297,[7]SUM96!$A$300:$K$370,[7]SUM96!$A$371:$K$392</definedName>
    <definedName name="TableLarge">[7]SUM96!$A$203:$K$252,[7]SUM96!$A$253:$K$297,[7]SUM96!$A$300:$K$370,[7]SUM96!$A$371:$K$392</definedName>
    <definedName name="TableReportAll" localSheetId="0">[7]SUM96!$A$203:$K$299,[7]SUM96!$A$300:$K$342,[7]SUM96!$A$343:$K$390</definedName>
    <definedName name="TableReportAll">[7]SUM96!$A$203:$K$299,[7]SUM96!$A$300:$K$342,[7]SUM96!$A$343:$K$390</definedName>
    <definedName name="TEMPA" localSheetId="11">#REF!</definedName>
    <definedName name="TEMPA" localSheetId="9">#REF!</definedName>
    <definedName name="TEMPA" localSheetId="13">#REF!</definedName>
    <definedName name="TEMPA" localSheetId="5">#REF!</definedName>
    <definedName name="TEMPA" localSheetId="1">#REF!</definedName>
    <definedName name="TEMPA" localSheetId="0">#REF!</definedName>
    <definedName name="TEMPA">#REF!</definedName>
    <definedName name="terr_name">'[19]1-1 GENERAL (Input)'!$C$56:$D$59</definedName>
    <definedName name="total" localSheetId="0">[18]OPTTABLE!$A$2:$E$15,[18]OPTTABLE!$Q$2:$T$15,[18]OPTTABLE!$AA$2:$AE$15,[18]OPTTABLE!$AG$2:$AK$15,[18]OPTTABLE!$AW$2:$AZ$15,[18]OPTTABLE!$BB$2:$BF$15,[18]OPTTABLE!$BH$2:$BH$15,[18]OPTTABLE!$U$2:$Y$15</definedName>
    <definedName name="total">[18]OPTTABLE!$A$2:$E$15,[18]OPTTABLE!$Q$2:$T$15,[18]OPTTABLE!$AA$2:$AE$15,[18]OPTTABLE!$AG$2:$AK$15,[18]OPTTABLE!$AW$2:$AZ$15,[18]OPTTABLE!$BB$2:$BF$15,[18]OPTTABLE!$BH$2:$BH$15,[18]OPTTABLE!$U$2:$Y$15</definedName>
    <definedName name="total_dept" localSheetId="11">#REF!</definedName>
    <definedName name="total_dept" localSheetId="9">#REF!</definedName>
    <definedName name="total_dept" localSheetId="13">#REF!</definedName>
    <definedName name="total_dept" localSheetId="5">#REF!</definedName>
    <definedName name="total_dept" localSheetId="1">#REF!</definedName>
    <definedName name="total_dept" localSheetId="0">#REF!</definedName>
    <definedName name="total_dept">#REF!</definedName>
    <definedName name="total_manpower" localSheetId="11">#REF!</definedName>
    <definedName name="total_manpower" localSheetId="9">#REF!</definedName>
    <definedName name="total_manpower" localSheetId="13">#REF!</definedName>
    <definedName name="total_manpower" localSheetId="5">#REF!</definedName>
    <definedName name="total_manpower" localSheetId="1">#REF!</definedName>
    <definedName name="total_manpower" localSheetId="0">#REF!</definedName>
    <definedName name="total_manpower">#REF!</definedName>
    <definedName name="total_material" localSheetId="11">#REF!</definedName>
    <definedName name="total_material" localSheetId="9">#REF!</definedName>
    <definedName name="total_material" localSheetId="13">#REF!</definedName>
    <definedName name="total_material" localSheetId="5">#REF!</definedName>
    <definedName name="total_material" localSheetId="1">#REF!</definedName>
    <definedName name="total_material" localSheetId="0">#REF!</definedName>
    <definedName name="total_material">#REF!</definedName>
    <definedName name="total_other" localSheetId="11">#REF!</definedName>
    <definedName name="total_other" localSheetId="9">#REF!</definedName>
    <definedName name="total_other" localSheetId="13">#REF!</definedName>
    <definedName name="total_other" localSheetId="5">#REF!</definedName>
    <definedName name="total_other" localSheetId="1">#REF!</definedName>
    <definedName name="total_other" localSheetId="0">#REF!</definedName>
    <definedName name="total_other">#REF!</definedName>
    <definedName name="total_transportation" localSheetId="11">#REF!</definedName>
    <definedName name="total_transportation" localSheetId="9">#REF!</definedName>
    <definedName name="total_transportation" localSheetId="13">#REF!</definedName>
    <definedName name="total_transportation" localSheetId="5">#REF!</definedName>
    <definedName name="total_transportation" localSheetId="1">#REF!</definedName>
    <definedName name="total_transportation" localSheetId="0">#REF!</definedName>
    <definedName name="total_transportation">#REF!</definedName>
    <definedName name="TRANBUD" localSheetId="11">#REF!</definedName>
    <definedName name="TRANBUD" localSheetId="9">#REF!</definedName>
    <definedName name="TRANBUD" localSheetId="13">#REF!</definedName>
    <definedName name="TRANBUD" localSheetId="5">#REF!</definedName>
    <definedName name="TRANBUD" localSheetId="1">#REF!</definedName>
    <definedName name="TRANBUD" localSheetId="0">#REF!</definedName>
    <definedName name="TRANBUD">#REF!</definedName>
    <definedName name="TRANEND" localSheetId="11">#REF!</definedName>
    <definedName name="TRANEND" localSheetId="9">#REF!</definedName>
    <definedName name="TRANEND" localSheetId="13">#REF!</definedName>
    <definedName name="TRANEND" localSheetId="5">#REF!</definedName>
    <definedName name="TRANEND" localSheetId="1">#REF!</definedName>
    <definedName name="TRANEND" localSheetId="0">#REF!</definedName>
    <definedName name="TRANEND">#REF!</definedName>
    <definedName name="transportation_costs" localSheetId="11">#REF!</definedName>
    <definedName name="transportation_costs" localSheetId="9">#REF!</definedName>
    <definedName name="transportation_costs" localSheetId="13">#REF!</definedName>
    <definedName name="transportation_costs" localSheetId="5">#REF!</definedName>
    <definedName name="transportation_costs" localSheetId="1">#REF!</definedName>
    <definedName name="transportation_costs" localSheetId="0">#REF!</definedName>
    <definedName name="transportation_costs">#REF!</definedName>
    <definedName name="TRANSTART" localSheetId="11">#REF!</definedName>
    <definedName name="TRANSTART" localSheetId="9">#REF!</definedName>
    <definedName name="TRANSTART" localSheetId="13">#REF!</definedName>
    <definedName name="TRANSTART" localSheetId="5">#REF!</definedName>
    <definedName name="TRANSTART" localSheetId="1">#REF!</definedName>
    <definedName name="TRANSTART" localSheetId="0">#REF!</definedName>
    <definedName name="TRANSTART">#REF!</definedName>
    <definedName name="trn_beg_bud" localSheetId="11">#REF!</definedName>
    <definedName name="trn_beg_bud" localSheetId="9">#REF!</definedName>
    <definedName name="trn_beg_bud" localSheetId="13">#REF!</definedName>
    <definedName name="trn_beg_bud" localSheetId="5">#REF!</definedName>
    <definedName name="trn_beg_bud" localSheetId="1">#REF!</definedName>
    <definedName name="trn_beg_bud" localSheetId="0">#REF!</definedName>
    <definedName name="trn_beg_bud">#REF!</definedName>
    <definedName name="trn_end_bud" localSheetId="11">#REF!</definedName>
    <definedName name="trn_end_bud" localSheetId="9">#REF!</definedName>
    <definedName name="trn_end_bud" localSheetId="13">#REF!</definedName>
    <definedName name="trn_end_bud" localSheetId="5">#REF!</definedName>
    <definedName name="trn_end_bud" localSheetId="1">#REF!</definedName>
    <definedName name="trn_end_bud" localSheetId="0">#REF!</definedName>
    <definedName name="trn_end_bud">#REF!</definedName>
    <definedName name="trn12ACT" localSheetId="11">#REF!</definedName>
    <definedName name="trn12ACT" localSheetId="9">#REF!</definedName>
    <definedName name="trn12ACT" localSheetId="13">#REF!</definedName>
    <definedName name="trn12ACT" localSheetId="5">#REF!</definedName>
    <definedName name="trn12ACT" localSheetId="1">#REF!</definedName>
    <definedName name="trn12ACT" localSheetId="0">#REF!</definedName>
    <definedName name="trn12ACT">#REF!</definedName>
    <definedName name="trnCYACT" localSheetId="11">#REF!</definedName>
    <definedName name="trnCYACT" localSheetId="9">#REF!</definedName>
    <definedName name="trnCYACT" localSheetId="13">#REF!</definedName>
    <definedName name="trnCYACT" localSheetId="5">#REF!</definedName>
    <definedName name="trnCYACT" localSheetId="1">#REF!</definedName>
    <definedName name="trnCYACT" localSheetId="0">#REF!</definedName>
    <definedName name="trnCYACT">#REF!</definedName>
    <definedName name="trnCYBUD" localSheetId="11">#REF!</definedName>
    <definedName name="trnCYBUD" localSheetId="9">#REF!</definedName>
    <definedName name="trnCYBUD" localSheetId="13">#REF!</definedName>
    <definedName name="trnCYBUD" localSheetId="5">#REF!</definedName>
    <definedName name="trnCYBUD" localSheetId="1">#REF!</definedName>
    <definedName name="trnCYBUD" localSheetId="0">#REF!</definedName>
    <definedName name="trnCYBUD">#REF!</definedName>
    <definedName name="trnCYF" localSheetId="11">#REF!</definedName>
    <definedName name="trnCYF" localSheetId="9">#REF!</definedName>
    <definedName name="trnCYF" localSheetId="13">#REF!</definedName>
    <definedName name="trnCYF" localSheetId="5">#REF!</definedName>
    <definedName name="trnCYF" localSheetId="1">#REF!</definedName>
    <definedName name="trnCYF" localSheetId="0">#REF!</definedName>
    <definedName name="trnCYF">#REF!</definedName>
    <definedName name="trnNYbud" localSheetId="11">#REF!</definedName>
    <definedName name="trnNYbud" localSheetId="9">#REF!</definedName>
    <definedName name="trnNYbud" localSheetId="13">#REF!</definedName>
    <definedName name="trnNYbud" localSheetId="5">#REF!</definedName>
    <definedName name="trnNYbud" localSheetId="1">#REF!</definedName>
    <definedName name="trnNYbud" localSheetId="0">#REF!</definedName>
    <definedName name="trnNYbud">#REF!</definedName>
    <definedName name="trnPYACT" localSheetId="11">#REF!</definedName>
    <definedName name="trnPYACT" localSheetId="9">#REF!</definedName>
    <definedName name="trnPYACT" localSheetId="13">#REF!</definedName>
    <definedName name="trnPYACT" localSheetId="5">#REF!</definedName>
    <definedName name="trnPYACT" localSheetId="1">#REF!</definedName>
    <definedName name="trnPYACT" localSheetId="0">#REF!</definedName>
    <definedName name="trnPYACT">#REF!</definedName>
    <definedName name="Utility">[11]Financials!$A$1</definedName>
    <definedName name="UtilityInfo" localSheetId="11">#REF!</definedName>
    <definedName name="UtilityInfo" localSheetId="9">#REF!</definedName>
    <definedName name="UtilityInfo" localSheetId="13">#REF!</definedName>
    <definedName name="UtilityInfo" localSheetId="5">#REF!</definedName>
    <definedName name="UtilityInfo" localSheetId="1">#REF!</definedName>
    <definedName name="UtilityInfo" localSheetId="0">#REF!</definedName>
    <definedName name="UtilityInfo">#REF!</definedName>
    <definedName name="utitliy1">[20]Financials!$A$1</definedName>
    <definedName name="WAGBENF" localSheetId="11">#REF!</definedName>
    <definedName name="WAGBENF" localSheetId="9">#REF!</definedName>
    <definedName name="WAGBENF" localSheetId="13">#REF!</definedName>
    <definedName name="WAGBENF" localSheetId="5">#REF!</definedName>
    <definedName name="WAGBENF" localSheetId="1">#REF!</definedName>
    <definedName name="WAGBENF" localSheetId="0">#REF!</definedName>
    <definedName name="WAGBENF">#REF!</definedName>
    <definedName name="wagdob" localSheetId="11">#REF!</definedName>
    <definedName name="wagdob" localSheetId="9">#REF!</definedName>
    <definedName name="wagdob" localSheetId="13">#REF!</definedName>
    <definedName name="wagdob" localSheetId="5">#REF!</definedName>
    <definedName name="wagdob" localSheetId="1">#REF!</definedName>
    <definedName name="wagdob" localSheetId="0">#REF!</definedName>
    <definedName name="wagdob">#REF!</definedName>
    <definedName name="wagdobf" localSheetId="11">#REF!</definedName>
    <definedName name="wagdobf" localSheetId="9">#REF!</definedName>
    <definedName name="wagdobf" localSheetId="13">#REF!</definedName>
    <definedName name="wagdobf" localSheetId="5">#REF!</definedName>
    <definedName name="wagdobf" localSheetId="1">#REF!</definedName>
    <definedName name="wagdobf" localSheetId="0">#REF!</definedName>
    <definedName name="wagdobf">#REF!</definedName>
    <definedName name="wagreg" localSheetId="11">#REF!</definedName>
    <definedName name="wagreg" localSheetId="9">#REF!</definedName>
    <definedName name="wagreg" localSheetId="13">#REF!</definedName>
    <definedName name="wagreg" localSheetId="5">#REF!</definedName>
    <definedName name="wagreg" localSheetId="1">#REF!</definedName>
    <definedName name="wagreg" localSheetId="0">#REF!</definedName>
    <definedName name="wagreg">#REF!</definedName>
    <definedName name="wagregf" localSheetId="11">#REF!</definedName>
    <definedName name="wagregf" localSheetId="9">#REF!</definedName>
    <definedName name="wagregf" localSheetId="13">#REF!</definedName>
    <definedName name="wagregf" localSheetId="5">#REF!</definedName>
    <definedName name="wagregf" localSheetId="1">#REF!</definedName>
    <definedName name="wagregf" localSheetId="0">#REF!</definedName>
    <definedName name="wagregf">#REF!</definedName>
    <definedName name="Z_Factor_Analysis" localSheetId="11">#REF!</definedName>
    <definedName name="Z_Factor_Analysis" localSheetId="9">#REF!</definedName>
    <definedName name="Z_Factor_Analysis" localSheetId="13">#REF!</definedName>
    <definedName name="Z_Factor_Analysis" localSheetId="5">#REF!</definedName>
    <definedName name="Z_Factor_Analysis" localSheetId="1">#REF!</definedName>
    <definedName name="Z_Factor_Analysis" localSheetId="0">#REF!</definedName>
    <definedName name="Z_Factor_Analysis">#REF!</definedName>
  </definedNames>
  <calcPr calcId="145621"/>
</workbook>
</file>

<file path=xl/calcChain.xml><?xml version="1.0" encoding="utf-8"?>
<calcChain xmlns="http://schemas.openxmlformats.org/spreadsheetml/2006/main">
  <c r="F49" i="1" l="1"/>
  <c r="F47" i="1"/>
  <c r="F16" i="1"/>
  <c r="F15" i="1"/>
  <c r="G27" i="15" l="1"/>
  <c r="C23" i="15"/>
  <c r="G14" i="15"/>
  <c r="D14" i="15"/>
  <c r="K14" i="15"/>
  <c r="C14" i="15"/>
  <c r="G29" i="38"/>
  <c r="H29" i="38"/>
  <c r="J29" i="38"/>
  <c r="K29" i="38"/>
  <c r="D29" i="38"/>
  <c r="G28" i="38"/>
  <c r="F27" i="38"/>
  <c r="C27" i="38"/>
  <c r="G27" i="38"/>
  <c r="H27" i="38"/>
  <c r="B27" i="38"/>
  <c r="G26" i="38"/>
  <c r="B26" i="38"/>
  <c r="D26" i="38"/>
  <c r="B25" i="38"/>
  <c r="C24" i="38"/>
  <c r="G24" i="38"/>
  <c r="B24" i="38"/>
  <c r="G22" i="38"/>
  <c r="C22" i="38"/>
  <c r="D22" i="38"/>
  <c r="B22" i="38"/>
  <c r="G21" i="38"/>
  <c r="C21" i="38"/>
  <c r="D21" i="38"/>
  <c r="B21" i="38"/>
  <c r="G20" i="38"/>
  <c r="H20" i="38"/>
  <c r="F20" i="38"/>
  <c r="C20" i="38"/>
  <c r="D20" i="38"/>
  <c r="B20" i="38"/>
  <c r="H18" i="38"/>
  <c r="J18" i="38"/>
  <c r="G18" i="38"/>
  <c r="D18" i="38"/>
  <c r="K18" i="38"/>
  <c r="D17" i="38"/>
  <c r="C17" i="38"/>
  <c r="G17" i="38"/>
  <c r="B17" i="38"/>
  <c r="D16" i="38"/>
  <c r="K16" i="38"/>
  <c r="C16" i="38"/>
  <c r="G16" i="38"/>
  <c r="B16" i="38"/>
  <c r="C14" i="38"/>
  <c r="G14" i="38"/>
  <c r="C13" i="38"/>
  <c r="G13" i="38"/>
  <c r="H13" i="38"/>
  <c r="B13" i="38"/>
  <c r="D13" i="38"/>
  <c r="K13" i="38"/>
  <c r="G12" i="38"/>
  <c r="H12" i="38"/>
  <c r="B12" i="38"/>
  <c r="D12" i="38"/>
  <c r="K12" i="38"/>
  <c r="D11" i="38"/>
  <c r="K11" i="38"/>
  <c r="C11" i="38"/>
  <c r="G11" i="38"/>
  <c r="B11" i="38"/>
  <c r="D10" i="38"/>
  <c r="C10" i="38"/>
  <c r="G10" i="38"/>
  <c r="B10" i="38"/>
  <c r="G9" i="38"/>
  <c r="D9" i="38"/>
  <c r="B9" i="38"/>
  <c r="B2" i="38"/>
  <c r="G28" i="13"/>
  <c r="C24" i="13"/>
  <c r="G14" i="13"/>
  <c r="D14" i="13"/>
  <c r="K14" i="13"/>
  <c r="C14" i="13"/>
  <c r="G29" i="37"/>
  <c r="H29" i="37"/>
  <c r="J29" i="37"/>
  <c r="K29" i="37"/>
  <c r="D29" i="37"/>
  <c r="G28" i="37"/>
  <c r="F27" i="37"/>
  <c r="C27" i="37"/>
  <c r="G27" i="37"/>
  <c r="H27" i="37"/>
  <c r="B27" i="37"/>
  <c r="D27" i="37"/>
  <c r="G26" i="37"/>
  <c r="D26" i="37"/>
  <c r="B26" i="37"/>
  <c r="B25" i="37"/>
  <c r="C24" i="37"/>
  <c r="G24" i="37"/>
  <c r="B24" i="37"/>
  <c r="C22" i="37"/>
  <c r="D22" i="37"/>
  <c r="B22" i="37"/>
  <c r="C21" i="37"/>
  <c r="D21" i="37"/>
  <c r="B21" i="37"/>
  <c r="F20" i="37"/>
  <c r="C20" i="37"/>
  <c r="D20" i="37"/>
  <c r="B20" i="37"/>
  <c r="K18" i="37"/>
  <c r="H18" i="37"/>
  <c r="J18" i="37"/>
  <c r="G18" i="37"/>
  <c r="D18" i="37"/>
  <c r="G17" i="37"/>
  <c r="D17" i="37"/>
  <c r="C17" i="37"/>
  <c r="B17" i="37"/>
  <c r="G16" i="37"/>
  <c r="D16" i="37"/>
  <c r="K16" i="37"/>
  <c r="C16" i="37"/>
  <c r="B16" i="37"/>
  <c r="K14" i="37"/>
  <c r="G14" i="37"/>
  <c r="D14" i="37"/>
  <c r="C14" i="37"/>
  <c r="H13" i="37"/>
  <c r="G13" i="37"/>
  <c r="C13" i="37"/>
  <c r="B13" i="37"/>
  <c r="D13" i="37"/>
  <c r="K13" i="37"/>
  <c r="G12" i="37"/>
  <c r="H12" i="37"/>
  <c r="J12" i="37"/>
  <c r="B12" i="37"/>
  <c r="D12" i="37"/>
  <c r="K12" i="37"/>
  <c r="G11" i="37"/>
  <c r="D11" i="37"/>
  <c r="K11" i="37"/>
  <c r="C11" i="37"/>
  <c r="B11" i="37"/>
  <c r="G10" i="37"/>
  <c r="D10" i="37"/>
  <c r="C10" i="37"/>
  <c r="B10" i="37"/>
  <c r="G9" i="37"/>
  <c r="D9" i="37"/>
  <c r="B9" i="37"/>
  <c r="G28" i="11"/>
  <c r="C24" i="11"/>
  <c r="K14" i="11"/>
  <c r="G14" i="11"/>
  <c r="D14" i="11"/>
  <c r="C14" i="11"/>
  <c r="J29" i="35"/>
  <c r="K29" i="35"/>
  <c r="H29" i="35"/>
  <c r="G29" i="35"/>
  <c r="D29" i="35"/>
  <c r="G28" i="35"/>
  <c r="F27" i="35"/>
  <c r="C27" i="35"/>
  <c r="G27" i="35"/>
  <c r="H27" i="35"/>
  <c r="B27" i="35"/>
  <c r="G26" i="35"/>
  <c r="B26" i="35"/>
  <c r="D26" i="35"/>
  <c r="B25" i="35"/>
  <c r="C24" i="35"/>
  <c r="G24" i="35"/>
  <c r="B24" i="35"/>
  <c r="G22" i="35"/>
  <c r="C22" i="35"/>
  <c r="D22" i="35"/>
  <c r="B22" i="35"/>
  <c r="G21" i="35"/>
  <c r="C21" i="35"/>
  <c r="D21" i="35"/>
  <c r="B21" i="35"/>
  <c r="G20" i="35"/>
  <c r="H20" i="35"/>
  <c r="J20" i="35"/>
  <c r="F20" i="35"/>
  <c r="C20" i="35"/>
  <c r="D20" i="35"/>
  <c r="B20" i="35"/>
  <c r="H18" i="35"/>
  <c r="J18" i="35"/>
  <c r="G18" i="35"/>
  <c r="D18" i="35"/>
  <c r="K18" i="35"/>
  <c r="D17" i="35"/>
  <c r="C17" i="35"/>
  <c r="G17" i="35"/>
  <c r="B17" i="35"/>
  <c r="D16" i="35"/>
  <c r="K16" i="35"/>
  <c r="C16" i="35"/>
  <c r="G16" i="35"/>
  <c r="B16" i="35"/>
  <c r="C14" i="35"/>
  <c r="G14" i="35"/>
  <c r="G13" i="35"/>
  <c r="H13" i="35"/>
  <c r="C13" i="35"/>
  <c r="B13" i="35"/>
  <c r="D13" i="35"/>
  <c r="K13" i="35"/>
  <c r="K12" i="35"/>
  <c r="G12" i="35"/>
  <c r="H12" i="35"/>
  <c r="J12" i="35"/>
  <c r="D12" i="35"/>
  <c r="B12" i="35"/>
  <c r="D11" i="35"/>
  <c r="K11" i="35"/>
  <c r="C11" i="35"/>
  <c r="G11" i="35"/>
  <c r="B11" i="35"/>
  <c r="D10" i="35"/>
  <c r="C10" i="35"/>
  <c r="G10" i="35"/>
  <c r="B10" i="35"/>
  <c r="G9" i="35"/>
  <c r="D9" i="35"/>
  <c r="B9" i="35"/>
  <c r="G28" i="9"/>
  <c r="C24" i="9"/>
  <c r="G14" i="9"/>
  <c r="D14" i="9"/>
  <c r="K14" i="9"/>
  <c r="C14" i="9"/>
  <c r="G28" i="8"/>
  <c r="C24" i="8"/>
  <c r="D14" i="8"/>
  <c r="K14" i="8"/>
  <c r="C14" i="8"/>
  <c r="G14" i="8"/>
  <c r="G28" i="7"/>
  <c r="C24" i="7"/>
  <c r="K14" i="7"/>
  <c r="C14" i="7"/>
  <c r="G14" i="7"/>
  <c r="D33" i="6"/>
  <c r="G28" i="6"/>
  <c r="C24" i="6"/>
  <c r="D23" i="6"/>
  <c r="D20" i="6"/>
  <c r="J12" i="6"/>
  <c r="K12" i="6"/>
  <c r="J13" i="6"/>
  <c r="K13" i="6"/>
  <c r="D12" i="6"/>
  <c r="D13" i="6"/>
  <c r="D14" i="6"/>
  <c r="K14" i="6"/>
  <c r="C14" i="6"/>
  <c r="G14" i="6"/>
  <c r="C14" i="5"/>
  <c r="G14" i="5"/>
  <c r="G28" i="5"/>
  <c r="C24" i="5"/>
  <c r="J12" i="5"/>
  <c r="K12" i="5"/>
  <c r="J13" i="5"/>
  <c r="K13" i="5"/>
  <c r="J11" i="5"/>
  <c r="K11" i="5"/>
  <c r="G28" i="4"/>
  <c r="C24" i="4"/>
  <c r="D23" i="4"/>
  <c r="D20" i="4"/>
  <c r="J12" i="4"/>
  <c r="K12" i="4"/>
  <c r="J13" i="4"/>
  <c r="K13" i="4"/>
  <c r="K14" i="4"/>
  <c r="G14" i="4"/>
  <c r="H12" i="4"/>
  <c r="H13" i="4"/>
  <c r="D14" i="4"/>
  <c r="D33" i="3"/>
  <c r="K17" i="3"/>
  <c r="J12" i="3"/>
  <c r="K12" i="3"/>
  <c r="J13" i="3"/>
  <c r="K13" i="3"/>
  <c r="K14" i="3"/>
  <c r="H12" i="3"/>
  <c r="H13" i="3"/>
  <c r="D15" i="3"/>
  <c r="G28" i="3"/>
  <c r="F16" i="3"/>
  <c r="F133" i="1"/>
  <c r="F27" i="15" s="1"/>
  <c r="H27" i="15" s="1"/>
  <c r="F132" i="1"/>
  <c r="F131" i="1"/>
  <c r="F23" i="15" s="1"/>
  <c r="H23" i="15" s="1"/>
  <c r="J23" i="15" s="1"/>
  <c r="K23" i="15" s="1"/>
  <c r="F116" i="1"/>
  <c r="F28" i="38" s="1"/>
  <c r="H28" i="38" s="1"/>
  <c r="F115" i="1"/>
  <c r="F25" i="38"/>
  <c r="H25" i="38" s="1"/>
  <c r="J25" i="38" s="1"/>
  <c r="K25" i="38" s="1"/>
  <c r="F114" i="1"/>
  <c r="F97" i="1"/>
  <c r="F96" i="1"/>
  <c r="F95" i="1"/>
  <c r="F77" i="1"/>
  <c r="F76" i="1"/>
  <c r="F75" i="1"/>
  <c r="F24" i="35" s="1"/>
  <c r="H24" i="35" s="1"/>
  <c r="J24" i="35" s="1"/>
  <c r="K24" i="35" s="1"/>
  <c r="F57" i="1"/>
  <c r="F28" i="8" s="1"/>
  <c r="H28" i="8" s="1"/>
  <c r="F55" i="1"/>
  <c r="F40" i="1"/>
  <c r="F38" i="1"/>
  <c r="F22" i="1"/>
  <c r="F20" i="1"/>
  <c r="F130" i="1"/>
  <c r="F21" i="15" s="1"/>
  <c r="H21" i="15" s="1"/>
  <c r="J21" i="15" s="1"/>
  <c r="K21" i="15" s="1"/>
  <c r="F129" i="1"/>
  <c r="F127" i="1"/>
  <c r="F11" i="15" s="1"/>
  <c r="H11" i="15" s="1"/>
  <c r="J11" i="15" s="1"/>
  <c r="F126" i="1"/>
  <c r="F17" i="15" s="1"/>
  <c r="H17" i="15" s="1"/>
  <c r="J17" i="15" s="1"/>
  <c r="K17" i="15" s="1"/>
  <c r="F124" i="1"/>
  <c r="F123" i="1"/>
  <c r="F122" i="1"/>
  <c r="F120" i="1"/>
  <c r="F112" i="1"/>
  <c r="F111" i="1"/>
  <c r="F21" i="38"/>
  <c r="H21" i="38" s="1"/>
  <c r="J21" i="38" s="1"/>
  <c r="K21" i="38" s="1"/>
  <c r="F109" i="1"/>
  <c r="F11" i="38" s="1"/>
  <c r="H11" i="38" s="1"/>
  <c r="J11" i="38" s="1"/>
  <c r="F108" i="1"/>
  <c r="F17" i="38" s="1"/>
  <c r="H17" i="38" s="1"/>
  <c r="J17" i="38" s="1"/>
  <c r="K17" i="38" s="1"/>
  <c r="F106" i="1"/>
  <c r="F105" i="1"/>
  <c r="F104" i="1"/>
  <c r="F103" i="1"/>
  <c r="F10" i="13" s="1"/>
  <c r="H10" i="13" s="1"/>
  <c r="J10" i="13" s="1"/>
  <c r="K10" i="13" s="1"/>
  <c r="F101" i="1"/>
  <c r="F9" i="13" s="1"/>
  <c r="H9" i="13" s="1"/>
  <c r="J9" i="13" s="1"/>
  <c r="K9" i="13" s="1"/>
  <c r="F93" i="1"/>
  <c r="F92" i="1"/>
  <c r="F90" i="1"/>
  <c r="F89" i="1"/>
  <c r="F17" i="11" s="1"/>
  <c r="H17" i="11" s="1"/>
  <c r="J17" i="11" s="1"/>
  <c r="K17" i="11" s="1"/>
  <c r="F17" i="37"/>
  <c r="F88" i="1"/>
  <c r="F87" i="1"/>
  <c r="F85" i="1"/>
  <c r="F84" i="1"/>
  <c r="F83" i="1"/>
  <c r="F10" i="37" s="1"/>
  <c r="H10" i="37" s="1"/>
  <c r="J10" i="37" s="1"/>
  <c r="K10" i="37" s="1"/>
  <c r="F81" i="1"/>
  <c r="F9" i="11" s="1"/>
  <c r="F73" i="1"/>
  <c r="F72" i="1"/>
  <c r="F21" i="35" s="1"/>
  <c r="F70" i="1"/>
  <c r="F11" i="35" s="1"/>
  <c r="H11" i="35" s="1"/>
  <c r="J11" i="35" s="1"/>
  <c r="F69" i="1"/>
  <c r="F68" i="1"/>
  <c r="F67" i="1"/>
  <c r="F65" i="1"/>
  <c r="F64" i="1"/>
  <c r="F16" i="9" s="1"/>
  <c r="H16" i="9" s="1"/>
  <c r="J16" i="9" s="1"/>
  <c r="F63" i="1"/>
  <c r="F61" i="1"/>
  <c r="F54" i="1"/>
  <c r="F53" i="1"/>
  <c r="F50" i="1"/>
  <c r="F46" i="1"/>
  <c r="F10" i="8" s="1"/>
  <c r="H10" i="8" s="1"/>
  <c r="J10" i="8" s="1"/>
  <c r="K10" i="8" s="1"/>
  <c r="F44" i="1"/>
  <c r="F9" i="8" s="1"/>
  <c r="H9" i="8" s="1"/>
  <c r="J9" i="8" s="1"/>
  <c r="K9" i="8" s="1"/>
  <c r="F37" i="1"/>
  <c r="F36" i="1"/>
  <c r="F33" i="1"/>
  <c r="F32" i="1"/>
  <c r="F30" i="1"/>
  <c r="F17" i="5" s="1"/>
  <c r="H17" i="5" s="1"/>
  <c r="J17" i="5" s="1"/>
  <c r="F29" i="1"/>
  <c r="F27" i="1"/>
  <c r="F26" i="1"/>
  <c r="F9" i="6" s="1"/>
  <c r="H9" i="6" s="1"/>
  <c r="J9" i="6" s="1"/>
  <c r="K9" i="6" s="1"/>
  <c r="F24" i="1"/>
  <c r="F21" i="1"/>
  <c r="F19" i="1"/>
  <c r="F18" i="1"/>
  <c r="F17" i="1"/>
  <c r="F14" i="1"/>
  <c r="F11" i="1"/>
  <c r="F10" i="1"/>
  <c r="F9" i="1"/>
  <c r="F9" i="4" s="1"/>
  <c r="H9" i="4" s="1"/>
  <c r="J9" i="4" s="1"/>
  <c r="K9" i="4" s="1"/>
  <c r="F25" i="37"/>
  <c r="H25" i="37" s="1"/>
  <c r="J25" i="37" s="1"/>
  <c r="F28" i="11"/>
  <c r="H28" i="11" s="1"/>
  <c r="F21" i="37"/>
  <c r="H21" i="37" s="1"/>
  <c r="J21" i="37" s="1"/>
  <c r="K21" i="37" s="1"/>
  <c r="F28" i="13"/>
  <c r="H28" i="13" s="1"/>
  <c r="F28" i="9"/>
  <c r="H28" i="9" s="1"/>
  <c r="F28" i="35"/>
  <c r="H28" i="35" s="1"/>
  <c r="F11" i="37"/>
  <c r="H11" i="37" s="1"/>
  <c r="J11" i="37" s="1"/>
  <c r="F10" i="35"/>
  <c r="H10" i="35" s="1"/>
  <c r="J10" i="35" s="1"/>
  <c r="K10" i="35" s="1"/>
  <c r="H21" i="35"/>
  <c r="J21" i="35"/>
  <c r="K21" i="35" s="1"/>
  <c r="H17" i="37"/>
  <c r="J17" i="37" s="1"/>
  <c r="K17" i="37" s="1"/>
  <c r="J13" i="38"/>
  <c r="J20" i="38"/>
  <c r="K20" i="38"/>
  <c r="J12" i="38"/>
  <c r="C30" i="38"/>
  <c r="D14" i="38"/>
  <c r="K14" i="38"/>
  <c r="D27" i="38"/>
  <c r="D24" i="38"/>
  <c r="C25" i="38"/>
  <c r="J13" i="37"/>
  <c r="K27" i="37"/>
  <c r="J27" i="37"/>
  <c r="D15" i="37"/>
  <c r="C30" i="37"/>
  <c r="G20" i="37"/>
  <c r="H20" i="37"/>
  <c r="J20" i="37"/>
  <c r="K20" i="37"/>
  <c r="G21" i="37"/>
  <c r="G22" i="37"/>
  <c r="D24" i="37"/>
  <c r="C25" i="37"/>
  <c r="K20" i="35"/>
  <c r="J13" i="35"/>
  <c r="D15" i="35"/>
  <c r="C30" i="35"/>
  <c r="C25" i="35"/>
  <c r="D27" i="35"/>
  <c r="D24" i="35"/>
  <c r="D14" i="35"/>
  <c r="K14" i="35"/>
  <c r="D15" i="6"/>
  <c r="D14" i="5"/>
  <c r="K14" i="5"/>
  <c r="D15" i="5"/>
  <c r="D20" i="5"/>
  <c r="D23" i="5"/>
  <c r="K27" i="38"/>
  <c r="G30" i="38"/>
  <c r="H30" i="38"/>
  <c r="J30" i="38"/>
  <c r="D30" i="38"/>
  <c r="J27" i="38"/>
  <c r="D15" i="38"/>
  <c r="G25" i="38"/>
  <c r="D25" i="38"/>
  <c r="G30" i="37"/>
  <c r="H30" i="37"/>
  <c r="D30" i="37"/>
  <c r="D19" i="37"/>
  <c r="G25" i="37"/>
  <c r="D25" i="37"/>
  <c r="K27" i="35"/>
  <c r="G25" i="35"/>
  <c r="D25" i="35"/>
  <c r="D19" i="35"/>
  <c r="J27" i="35"/>
  <c r="G30" i="35"/>
  <c r="H30" i="35"/>
  <c r="D30" i="35"/>
  <c r="D19" i="38"/>
  <c r="K30" i="38"/>
  <c r="K25" i="37"/>
  <c r="D23" i="37"/>
  <c r="J30" i="37"/>
  <c r="K30" i="37"/>
  <c r="K30" i="35"/>
  <c r="J30" i="35"/>
  <c r="D23" i="35"/>
  <c r="D23" i="38"/>
  <c r="D32" i="37"/>
  <c r="D32" i="35"/>
  <c r="D32" i="38"/>
  <c r="D33" i="37"/>
  <c r="D33" i="35"/>
  <c r="D34" i="35"/>
  <c r="D33" i="38"/>
  <c r="D34" i="38"/>
  <c r="D34" i="37"/>
  <c r="D36" i="35"/>
  <c r="D36" i="38"/>
  <c r="D36" i="37"/>
  <c r="F135" i="1"/>
  <c r="F25" i="15"/>
  <c r="H25" i="15"/>
  <c r="F118" i="1"/>
  <c r="F26" i="38"/>
  <c r="H26" i="38"/>
  <c r="F99" i="1"/>
  <c r="F79" i="1"/>
  <c r="F56" i="1"/>
  <c r="F59" i="1"/>
  <c r="F39" i="1"/>
  <c r="F25" i="6"/>
  <c r="H25" i="6" s="1"/>
  <c r="F42" i="1"/>
  <c r="C18" i="3"/>
  <c r="G18" i="3"/>
  <c r="G14" i="3"/>
  <c r="G26" i="15"/>
  <c r="G25" i="15"/>
  <c r="G24" i="15"/>
  <c r="B16" i="15"/>
  <c r="D16" i="15"/>
  <c r="K16" i="15"/>
  <c r="B16" i="13"/>
  <c r="D16" i="13"/>
  <c r="K16" i="13"/>
  <c r="B13" i="13"/>
  <c r="D13" i="13"/>
  <c r="B12" i="13"/>
  <c r="D12" i="13"/>
  <c r="K12" i="13"/>
  <c r="B11" i="13"/>
  <c r="D11" i="13"/>
  <c r="K11" i="13"/>
  <c r="B16" i="11"/>
  <c r="D16" i="11"/>
  <c r="K16" i="11"/>
  <c r="B13" i="11"/>
  <c r="D13" i="11"/>
  <c r="B12" i="11"/>
  <c r="D12" i="11"/>
  <c r="K12" i="11"/>
  <c r="B11" i="11"/>
  <c r="D11" i="11"/>
  <c r="K11" i="11"/>
  <c r="B16" i="9"/>
  <c r="D16" i="9"/>
  <c r="K16" i="9"/>
  <c r="B13" i="9"/>
  <c r="D13" i="9"/>
  <c r="B12" i="9"/>
  <c r="D12" i="9"/>
  <c r="K12" i="9"/>
  <c r="B11" i="9"/>
  <c r="D11" i="9"/>
  <c r="K11" i="9"/>
  <c r="B17" i="8"/>
  <c r="D17" i="8"/>
  <c r="K17" i="8"/>
  <c r="F27" i="8"/>
  <c r="H27" i="8"/>
  <c r="B27" i="8"/>
  <c r="D27" i="8"/>
  <c r="B26" i="8"/>
  <c r="D26" i="8"/>
  <c r="B25" i="8"/>
  <c r="D25" i="8"/>
  <c r="B24" i="8"/>
  <c r="D24" i="8"/>
  <c r="B22" i="8"/>
  <c r="D22" i="8"/>
  <c r="B21" i="8"/>
  <c r="D21" i="8"/>
  <c r="B18" i="8"/>
  <c r="D18" i="8"/>
  <c r="B13" i="8"/>
  <c r="D13" i="8"/>
  <c r="B12" i="8"/>
  <c r="D12" i="8"/>
  <c r="K12" i="8"/>
  <c r="B11" i="8"/>
  <c r="D11" i="8"/>
  <c r="K11" i="8"/>
  <c r="B10" i="8"/>
  <c r="D10" i="8"/>
  <c r="B9" i="8"/>
  <c r="D9" i="8"/>
  <c r="B17" i="7"/>
  <c r="D17" i="7"/>
  <c r="K17" i="7"/>
  <c r="B13" i="7"/>
  <c r="D13" i="7"/>
  <c r="B12" i="7"/>
  <c r="D12" i="7"/>
  <c r="K12" i="7"/>
  <c r="B11" i="7"/>
  <c r="B17" i="6"/>
  <c r="D17" i="6"/>
  <c r="K17" i="6"/>
  <c r="F27" i="6"/>
  <c r="H27" i="6"/>
  <c r="F16" i="6"/>
  <c r="H16" i="6"/>
  <c r="B27" i="6"/>
  <c r="D27" i="6"/>
  <c r="B26" i="6"/>
  <c r="D26" i="6"/>
  <c r="B25" i="6"/>
  <c r="D25" i="6"/>
  <c r="B24" i="6"/>
  <c r="D24" i="6"/>
  <c r="B22" i="6"/>
  <c r="D22" i="6"/>
  <c r="B21" i="6"/>
  <c r="D21" i="6"/>
  <c r="B19" i="6"/>
  <c r="D19" i="6"/>
  <c r="B18" i="6"/>
  <c r="D18" i="6"/>
  <c r="B16" i="6"/>
  <c r="D16" i="6"/>
  <c r="B13" i="6"/>
  <c r="B12" i="6"/>
  <c r="B11" i="6"/>
  <c r="D11" i="6"/>
  <c r="B10" i="6"/>
  <c r="D10" i="6"/>
  <c r="B9" i="6"/>
  <c r="D9" i="6"/>
  <c r="B17" i="5"/>
  <c r="D17" i="5"/>
  <c r="K17" i="5"/>
  <c r="B13" i="5"/>
  <c r="B12" i="5"/>
  <c r="B11" i="5"/>
  <c r="D11" i="5"/>
  <c r="F25" i="4"/>
  <c r="H25" i="4" s="1"/>
  <c r="J25" i="4" s="1"/>
  <c r="K25" i="4" s="1"/>
  <c r="F16" i="4"/>
  <c r="B17" i="4"/>
  <c r="D17" i="4"/>
  <c r="K17" i="4"/>
  <c r="B27" i="4"/>
  <c r="D27" i="4"/>
  <c r="B26" i="4"/>
  <c r="D26" i="4"/>
  <c r="B25" i="4"/>
  <c r="B24" i="4"/>
  <c r="D24" i="4"/>
  <c r="B22" i="4"/>
  <c r="D22" i="4"/>
  <c r="B21" i="4"/>
  <c r="D21" i="4"/>
  <c r="B19" i="4"/>
  <c r="D19" i="4"/>
  <c r="B18" i="4"/>
  <c r="D18" i="4"/>
  <c r="B16" i="4"/>
  <c r="B12" i="4"/>
  <c r="D12" i="4"/>
  <c r="B11" i="4"/>
  <c r="D11" i="4"/>
  <c r="K11" i="4"/>
  <c r="B10" i="4"/>
  <c r="D10" i="4"/>
  <c r="B9" i="4"/>
  <c r="D9" i="4"/>
  <c r="B17" i="3"/>
  <c r="D17" i="3"/>
  <c r="B12" i="3"/>
  <c r="D12" i="3"/>
  <c r="B11" i="3"/>
  <c r="D11" i="3"/>
  <c r="K11" i="3"/>
  <c r="F24" i="8"/>
  <c r="H24" i="8" s="1"/>
  <c r="J24" i="8" s="1"/>
  <c r="K24" i="8" s="1"/>
  <c r="F18" i="6"/>
  <c r="H18" i="6" s="1"/>
  <c r="J18" i="6" s="1"/>
  <c r="K18" i="6" s="1"/>
  <c r="F19" i="6"/>
  <c r="H19" i="6" s="1"/>
  <c r="J19" i="6" s="1"/>
  <c r="K19" i="6" s="1"/>
  <c r="F26" i="15"/>
  <c r="H26" i="15"/>
  <c r="G27" i="13"/>
  <c r="F27" i="13"/>
  <c r="H27" i="13"/>
  <c r="G27" i="11"/>
  <c r="F27" i="11"/>
  <c r="H27" i="11"/>
  <c r="G27" i="9"/>
  <c r="F27" i="9"/>
  <c r="H27" i="9"/>
  <c r="G27" i="8"/>
  <c r="G27" i="7"/>
  <c r="F27" i="7"/>
  <c r="H27" i="7"/>
  <c r="G27" i="6"/>
  <c r="C27" i="5"/>
  <c r="G27" i="5"/>
  <c r="F27" i="5"/>
  <c r="H27" i="5"/>
  <c r="C13" i="15"/>
  <c r="G13" i="15"/>
  <c r="G12" i="15"/>
  <c r="D12" i="15"/>
  <c r="K12" i="15"/>
  <c r="D13" i="15"/>
  <c r="D15" i="15"/>
  <c r="K13" i="15"/>
  <c r="C11" i="15"/>
  <c r="G11" i="15"/>
  <c r="C10" i="15"/>
  <c r="G10" i="15"/>
  <c r="B9" i="15"/>
  <c r="D9" i="15"/>
  <c r="B10" i="15"/>
  <c r="D10" i="15"/>
  <c r="D11" i="15"/>
  <c r="G9" i="13"/>
  <c r="C10" i="13"/>
  <c r="G10" i="13"/>
  <c r="C11" i="13"/>
  <c r="G11" i="13"/>
  <c r="G12" i="13"/>
  <c r="C13" i="13"/>
  <c r="G13" i="13"/>
  <c r="H13" i="13"/>
  <c r="B9" i="13"/>
  <c r="D9" i="13"/>
  <c r="B10" i="13"/>
  <c r="D10" i="13"/>
  <c r="H18" i="11"/>
  <c r="G12" i="11"/>
  <c r="H12" i="11"/>
  <c r="C11" i="11"/>
  <c r="G11" i="11"/>
  <c r="C13" i="11"/>
  <c r="G13" i="11"/>
  <c r="H13" i="11"/>
  <c r="G9" i="11"/>
  <c r="C10" i="11"/>
  <c r="G10" i="11"/>
  <c r="B9" i="11"/>
  <c r="D9" i="11"/>
  <c r="B10" i="11"/>
  <c r="D10" i="11"/>
  <c r="C13" i="9"/>
  <c r="B9" i="9"/>
  <c r="D9" i="9"/>
  <c r="C10" i="9"/>
  <c r="B10" i="9"/>
  <c r="D10" i="9"/>
  <c r="C11" i="9"/>
  <c r="G11" i="9"/>
  <c r="G12" i="9"/>
  <c r="G13" i="9"/>
  <c r="G9" i="9"/>
  <c r="G10" i="9"/>
  <c r="G9" i="8"/>
  <c r="C10" i="8"/>
  <c r="G10" i="8"/>
  <c r="G11" i="8"/>
  <c r="G12" i="8"/>
  <c r="C13" i="8"/>
  <c r="G13" i="8"/>
  <c r="H13" i="8"/>
  <c r="C13" i="7"/>
  <c r="G13" i="7"/>
  <c r="H13" i="7"/>
  <c r="G12" i="7"/>
  <c r="H12" i="7"/>
  <c r="J12" i="7"/>
  <c r="D11" i="7"/>
  <c r="K11" i="7"/>
  <c r="G11" i="7"/>
  <c r="G9" i="7"/>
  <c r="C10" i="7"/>
  <c r="G10" i="7"/>
  <c r="B9" i="7"/>
  <c r="D9" i="7"/>
  <c r="B10" i="7"/>
  <c r="D10" i="7"/>
  <c r="G12" i="6"/>
  <c r="C13" i="6"/>
  <c r="G13" i="6"/>
  <c r="H13" i="6"/>
  <c r="G12" i="5"/>
  <c r="C13" i="5"/>
  <c r="G13" i="5"/>
  <c r="C13" i="4"/>
  <c r="D13" i="4"/>
  <c r="G13" i="4"/>
  <c r="G12" i="4"/>
  <c r="G9" i="4"/>
  <c r="C10" i="4"/>
  <c r="G10" i="4"/>
  <c r="G11" i="4"/>
  <c r="G12" i="3"/>
  <c r="G11" i="3"/>
  <c r="C13" i="3"/>
  <c r="G13" i="3"/>
  <c r="G9" i="3"/>
  <c r="C10" i="3"/>
  <c r="B9" i="3"/>
  <c r="D9" i="3"/>
  <c r="B10" i="3"/>
  <c r="B2" i="15"/>
  <c r="B2" i="13"/>
  <c r="C17" i="3"/>
  <c r="G17" i="3"/>
  <c r="F18" i="3"/>
  <c r="G19" i="3"/>
  <c r="F29" i="3"/>
  <c r="F30" i="3"/>
  <c r="F31" i="3"/>
  <c r="C16" i="3"/>
  <c r="G16" i="3"/>
  <c r="C21" i="3"/>
  <c r="G21" i="3"/>
  <c r="C22" i="3"/>
  <c r="C24" i="3"/>
  <c r="G24" i="3"/>
  <c r="F25" i="3"/>
  <c r="C25" i="3"/>
  <c r="G25" i="3"/>
  <c r="G26" i="3"/>
  <c r="C29" i="3"/>
  <c r="G29" i="3"/>
  <c r="C30" i="3"/>
  <c r="G30" i="3"/>
  <c r="C31" i="3"/>
  <c r="G31" i="3"/>
  <c r="H31" i="3"/>
  <c r="B21" i="3"/>
  <c r="B26" i="15"/>
  <c r="D26" i="15"/>
  <c r="B25" i="15"/>
  <c r="D25" i="15"/>
  <c r="B24" i="15"/>
  <c r="B23" i="15"/>
  <c r="D23" i="15"/>
  <c r="B21" i="15"/>
  <c r="D21" i="15"/>
  <c r="B20" i="15"/>
  <c r="D20" i="15"/>
  <c r="B17" i="15"/>
  <c r="D17" i="15"/>
  <c r="B27" i="13"/>
  <c r="D27" i="13"/>
  <c r="B26" i="13"/>
  <c r="D26" i="13"/>
  <c r="B25" i="13"/>
  <c r="D25" i="13"/>
  <c r="B24" i="13"/>
  <c r="D24" i="13"/>
  <c r="B22" i="13"/>
  <c r="D22" i="13"/>
  <c r="B21" i="13"/>
  <c r="D21" i="13"/>
  <c r="B20" i="13"/>
  <c r="D20" i="13"/>
  <c r="B17" i="13"/>
  <c r="D17" i="13"/>
  <c r="B27" i="11"/>
  <c r="D27" i="11"/>
  <c r="B26" i="11"/>
  <c r="D26" i="11"/>
  <c r="B25" i="11"/>
  <c r="D25" i="11"/>
  <c r="B24" i="11"/>
  <c r="D24" i="11"/>
  <c r="B22" i="11"/>
  <c r="D22" i="11"/>
  <c r="B21" i="11"/>
  <c r="D21" i="11"/>
  <c r="B20" i="11"/>
  <c r="D20" i="11"/>
  <c r="B17" i="11"/>
  <c r="D17" i="11"/>
  <c r="B26" i="9"/>
  <c r="D26" i="9"/>
  <c r="B25" i="9"/>
  <c r="D25" i="9"/>
  <c r="B24" i="9"/>
  <c r="D24" i="9"/>
  <c r="B22" i="9"/>
  <c r="D22" i="9"/>
  <c r="B27" i="9"/>
  <c r="D27" i="9"/>
  <c r="B21" i="9"/>
  <c r="D21" i="9"/>
  <c r="B20" i="9"/>
  <c r="D20" i="9"/>
  <c r="B17" i="9"/>
  <c r="D17" i="9"/>
  <c r="B29" i="8"/>
  <c r="B27" i="7"/>
  <c r="D27" i="7"/>
  <c r="B26" i="7"/>
  <c r="D26" i="7"/>
  <c r="B25" i="7"/>
  <c r="D25" i="7"/>
  <c r="B24" i="7"/>
  <c r="D24" i="7"/>
  <c r="B22" i="7"/>
  <c r="D22" i="7"/>
  <c r="B21" i="7"/>
  <c r="D21" i="7"/>
  <c r="B18" i="7"/>
  <c r="D18" i="7"/>
  <c r="B27" i="5"/>
  <c r="D27" i="5"/>
  <c r="B26" i="5"/>
  <c r="D26" i="5"/>
  <c r="B25" i="5"/>
  <c r="D25" i="5"/>
  <c r="B24" i="5"/>
  <c r="D24" i="5"/>
  <c r="D33" i="5"/>
  <c r="B22" i="5"/>
  <c r="D22" i="5"/>
  <c r="B21" i="5"/>
  <c r="D21" i="5"/>
  <c r="B19" i="5"/>
  <c r="D19" i="5"/>
  <c r="B18" i="5"/>
  <c r="D18" i="5"/>
  <c r="B10" i="5"/>
  <c r="D10" i="5"/>
  <c r="B9" i="5"/>
  <c r="D9" i="5"/>
  <c r="B27" i="3"/>
  <c r="B26" i="3"/>
  <c r="D26" i="3"/>
  <c r="B25" i="3"/>
  <c r="D25" i="3"/>
  <c r="B24" i="3"/>
  <c r="B22" i="3"/>
  <c r="B19" i="3"/>
  <c r="D19" i="3"/>
  <c r="B18" i="3"/>
  <c r="B16" i="3"/>
  <c r="F20" i="13"/>
  <c r="H20" i="13"/>
  <c r="F20" i="11"/>
  <c r="H20" i="11"/>
  <c r="F20" i="9"/>
  <c r="H20" i="9"/>
  <c r="F29" i="8"/>
  <c r="B16" i="5"/>
  <c r="D16" i="5"/>
  <c r="F16" i="5"/>
  <c r="H16" i="5"/>
  <c r="F31" i="4"/>
  <c r="F30" i="4"/>
  <c r="F29" i="4"/>
  <c r="F18" i="5"/>
  <c r="H18" i="5"/>
  <c r="J18" i="5" s="1"/>
  <c r="K18" i="5" s="1"/>
  <c r="F24" i="7"/>
  <c r="C31" i="4"/>
  <c r="C30" i="4"/>
  <c r="C29" i="4"/>
  <c r="C27" i="4"/>
  <c r="C22" i="4"/>
  <c r="C21" i="4"/>
  <c r="C18" i="4"/>
  <c r="C17" i="4"/>
  <c r="C30" i="13"/>
  <c r="G30" i="13"/>
  <c r="H30" i="13"/>
  <c r="J30" i="13"/>
  <c r="G29" i="13"/>
  <c r="G26" i="13"/>
  <c r="C25" i="13"/>
  <c r="G25" i="13"/>
  <c r="G24" i="13"/>
  <c r="C22" i="13"/>
  <c r="G22" i="13"/>
  <c r="C21" i="13"/>
  <c r="G21" i="13"/>
  <c r="C20" i="13"/>
  <c r="G20" i="13"/>
  <c r="G18" i="13"/>
  <c r="C17" i="13"/>
  <c r="G17" i="13"/>
  <c r="C16" i="13"/>
  <c r="G16" i="13"/>
  <c r="G26" i="11"/>
  <c r="C30" i="11"/>
  <c r="C27" i="11"/>
  <c r="C25" i="11"/>
  <c r="C22" i="11"/>
  <c r="C21" i="11"/>
  <c r="C20" i="11"/>
  <c r="C17" i="11"/>
  <c r="C16" i="11"/>
  <c r="G26" i="9"/>
  <c r="C30" i="9"/>
  <c r="D30" i="9"/>
  <c r="C27" i="9"/>
  <c r="C25" i="9"/>
  <c r="C22" i="9"/>
  <c r="C21" i="9"/>
  <c r="C20" i="9"/>
  <c r="C17" i="9"/>
  <c r="C16" i="9"/>
  <c r="C29" i="8"/>
  <c r="G29" i="8"/>
  <c r="G26" i="8"/>
  <c r="C16" i="8"/>
  <c r="C25" i="8"/>
  <c r="G25" i="8"/>
  <c r="G24" i="8"/>
  <c r="C22" i="8"/>
  <c r="G22" i="8"/>
  <c r="C21" i="8"/>
  <c r="G21" i="8"/>
  <c r="G19" i="8"/>
  <c r="C18" i="8"/>
  <c r="G18" i="8"/>
  <c r="C17" i="8"/>
  <c r="G17" i="8"/>
  <c r="G16" i="8"/>
  <c r="C29" i="7"/>
  <c r="G29" i="7"/>
  <c r="G26" i="7"/>
  <c r="C27" i="7"/>
  <c r="C16" i="7"/>
  <c r="C25" i="7"/>
  <c r="C22" i="7"/>
  <c r="C21" i="7"/>
  <c r="C18" i="7"/>
  <c r="C17" i="7"/>
  <c r="G26" i="6"/>
  <c r="G9" i="6"/>
  <c r="C31" i="6"/>
  <c r="C30" i="6"/>
  <c r="C29" i="6"/>
  <c r="C27" i="6"/>
  <c r="C31" i="5"/>
  <c r="G31" i="5"/>
  <c r="C30" i="5"/>
  <c r="G30" i="5"/>
  <c r="C29" i="5"/>
  <c r="G29" i="5"/>
  <c r="G26" i="5"/>
  <c r="C16" i="5"/>
  <c r="C25" i="5"/>
  <c r="G25" i="5"/>
  <c r="G24" i="5"/>
  <c r="C22" i="5"/>
  <c r="G22" i="5"/>
  <c r="C21" i="5"/>
  <c r="G21" i="5"/>
  <c r="G19" i="5"/>
  <c r="C18" i="5"/>
  <c r="G18" i="5"/>
  <c r="C17" i="5"/>
  <c r="G17" i="5"/>
  <c r="G16" i="5"/>
  <c r="G11" i="5"/>
  <c r="C10" i="5"/>
  <c r="G10" i="5"/>
  <c r="G9" i="5"/>
  <c r="G31" i="4"/>
  <c r="G30" i="4"/>
  <c r="G29" i="4"/>
  <c r="G26" i="4"/>
  <c r="G22" i="4"/>
  <c r="G21" i="4"/>
  <c r="G19" i="4"/>
  <c r="G18" i="4"/>
  <c r="G17" i="4"/>
  <c r="C27" i="3"/>
  <c r="C17" i="6"/>
  <c r="G11" i="6"/>
  <c r="B29" i="7"/>
  <c r="D30" i="6"/>
  <c r="G23" i="15"/>
  <c r="G20" i="9"/>
  <c r="G20" i="11"/>
  <c r="C24" i="15"/>
  <c r="G25" i="11"/>
  <c r="C28" i="15"/>
  <c r="C29" i="15"/>
  <c r="D29" i="15"/>
  <c r="D28" i="15"/>
  <c r="C16" i="15"/>
  <c r="C17" i="15"/>
  <c r="D18" i="15"/>
  <c r="C20" i="15"/>
  <c r="C21" i="15"/>
  <c r="C26" i="15"/>
  <c r="G28" i="15"/>
  <c r="H28" i="15"/>
  <c r="G29" i="15"/>
  <c r="H29" i="15"/>
  <c r="J29" i="15"/>
  <c r="G16" i="15"/>
  <c r="G17" i="15"/>
  <c r="G18" i="15"/>
  <c r="H18" i="15"/>
  <c r="G20" i="15"/>
  <c r="G21" i="15"/>
  <c r="D29" i="13"/>
  <c r="D30" i="13"/>
  <c r="K30" i="13"/>
  <c r="D18" i="13"/>
  <c r="C27" i="13"/>
  <c r="H29" i="13"/>
  <c r="H18" i="13"/>
  <c r="D29" i="11"/>
  <c r="G17" i="11"/>
  <c r="D18" i="11"/>
  <c r="K18" i="11"/>
  <c r="G21" i="11"/>
  <c r="G29" i="11"/>
  <c r="H29" i="11"/>
  <c r="G16" i="11"/>
  <c r="G18" i="11"/>
  <c r="G22" i="11"/>
  <c r="D29" i="9"/>
  <c r="G17" i="9"/>
  <c r="D18" i="9"/>
  <c r="G25" i="9"/>
  <c r="G16" i="9"/>
  <c r="G18" i="9"/>
  <c r="H18" i="9"/>
  <c r="G21" i="9"/>
  <c r="G22" i="9"/>
  <c r="G29" i="9"/>
  <c r="H29" i="9"/>
  <c r="G24" i="9"/>
  <c r="D16" i="8"/>
  <c r="D29" i="8"/>
  <c r="H16" i="8"/>
  <c r="J16" i="8"/>
  <c r="K16" i="8"/>
  <c r="H29" i="8"/>
  <c r="D16" i="7"/>
  <c r="D29" i="7"/>
  <c r="D31" i="6"/>
  <c r="G30" i="6"/>
  <c r="H30" i="6"/>
  <c r="G31" i="6"/>
  <c r="H31" i="6"/>
  <c r="D29" i="5"/>
  <c r="D30" i="5"/>
  <c r="D31" i="5"/>
  <c r="D29" i="4"/>
  <c r="D30" i="4"/>
  <c r="D31" i="4"/>
  <c r="H29" i="4"/>
  <c r="H30" i="4"/>
  <c r="H31" i="4"/>
  <c r="K18" i="15"/>
  <c r="J18" i="15"/>
  <c r="K11" i="15"/>
  <c r="K18" i="13"/>
  <c r="J18" i="13"/>
  <c r="K18" i="9"/>
  <c r="J18" i="9"/>
  <c r="D19" i="8"/>
  <c r="K19" i="8"/>
  <c r="C27" i="8"/>
  <c r="H19" i="8"/>
  <c r="D19" i="7"/>
  <c r="G24" i="7"/>
  <c r="G25" i="7"/>
  <c r="G16" i="7"/>
  <c r="G17" i="7"/>
  <c r="G18" i="7"/>
  <c r="G19" i="7"/>
  <c r="H19" i="7"/>
  <c r="G21" i="7"/>
  <c r="G22" i="7"/>
  <c r="K19" i="7"/>
  <c r="J19" i="7"/>
  <c r="C10" i="6"/>
  <c r="C16" i="6"/>
  <c r="C18" i="6"/>
  <c r="G19" i="6"/>
  <c r="C21" i="6"/>
  <c r="C22" i="6"/>
  <c r="G10" i="6"/>
  <c r="G17" i="6"/>
  <c r="G18" i="6"/>
  <c r="G21" i="6"/>
  <c r="G22" i="6"/>
  <c r="G29" i="6"/>
  <c r="H29" i="6"/>
  <c r="H29" i="5"/>
  <c r="H30" i="5"/>
  <c r="H31" i="5"/>
  <c r="C16" i="4"/>
  <c r="G16" i="4"/>
  <c r="G24" i="4"/>
  <c r="V113" i="1"/>
  <c r="V94" i="1"/>
  <c r="V74" i="1"/>
  <c r="W23" i="1"/>
  <c r="U23" i="1"/>
  <c r="J19" i="8"/>
  <c r="C25" i="4"/>
  <c r="G25" i="4"/>
  <c r="H16" i="4"/>
  <c r="D16" i="4"/>
  <c r="G24" i="6"/>
  <c r="C25" i="6"/>
  <c r="G25" i="6"/>
  <c r="G16" i="6"/>
  <c r="G24" i="11"/>
  <c r="J18" i="11"/>
  <c r="D29" i="6"/>
  <c r="D30" i="11"/>
  <c r="G30" i="11"/>
  <c r="H30" i="11"/>
  <c r="J30" i="11"/>
  <c r="F29" i="7"/>
  <c r="H29" i="7"/>
  <c r="H16" i="7"/>
  <c r="J16" i="7"/>
  <c r="K16" i="7"/>
  <c r="J16" i="4"/>
  <c r="K16" i="4"/>
  <c r="J30" i="4"/>
  <c r="K30" i="4"/>
  <c r="J31" i="5"/>
  <c r="K31" i="5"/>
  <c r="J29" i="9"/>
  <c r="K29" i="9"/>
  <c r="J29" i="5"/>
  <c r="K29" i="5"/>
  <c r="J30" i="6"/>
  <c r="K30" i="6"/>
  <c r="J29" i="13"/>
  <c r="K29" i="13"/>
  <c r="J31" i="6"/>
  <c r="K31" i="6"/>
  <c r="J30" i="5"/>
  <c r="K30" i="5"/>
  <c r="J29" i="7"/>
  <c r="K29" i="7"/>
  <c r="J29" i="11"/>
  <c r="K29" i="11"/>
  <c r="J29" i="8"/>
  <c r="K29" i="8"/>
  <c r="J31" i="4"/>
  <c r="K31" i="4"/>
  <c r="J29" i="6"/>
  <c r="K29" i="6"/>
  <c r="J28" i="15"/>
  <c r="K28" i="15"/>
  <c r="J29" i="4"/>
  <c r="K29" i="4"/>
  <c r="F24" i="9"/>
  <c r="F24" i="5"/>
  <c r="H24" i="5"/>
  <c r="J24" i="5" s="1"/>
  <c r="K24" i="5" s="1"/>
  <c r="F17" i="13"/>
  <c r="H17" i="13" s="1"/>
  <c r="J17" i="13" s="1"/>
  <c r="F18" i="7"/>
  <c r="H18" i="7" s="1"/>
  <c r="J18" i="7" s="1"/>
  <c r="K18" i="7" s="1"/>
  <c r="H13" i="15"/>
  <c r="H12" i="15"/>
  <c r="J12" i="15"/>
  <c r="F11" i="9"/>
  <c r="H11" i="9" s="1"/>
  <c r="J11" i="9" s="1"/>
  <c r="H12" i="9"/>
  <c r="F10" i="15"/>
  <c r="H10" i="15" s="1"/>
  <c r="J10" i="15" s="1"/>
  <c r="K10" i="15" s="1"/>
  <c r="F11" i="11"/>
  <c r="H11" i="11" s="1"/>
  <c r="J11" i="11" s="1"/>
  <c r="H13" i="9"/>
  <c r="F10" i="3"/>
  <c r="H10" i="3" s="1"/>
  <c r="J10" i="3" s="1"/>
  <c r="K10" i="3" s="1"/>
  <c r="F10" i="4"/>
  <c r="H10" i="4" s="1"/>
  <c r="J10" i="4" s="1"/>
  <c r="K10" i="4" s="1"/>
  <c r="F11" i="8"/>
  <c r="H11" i="8"/>
  <c r="F11" i="7"/>
  <c r="H11" i="7"/>
  <c r="H12" i="13"/>
  <c r="F11" i="4"/>
  <c r="H11" i="4" s="1"/>
  <c r="J11" i="4" s="1"/>
  <c r="F11" i="3"/>
  <c r="H11" i="3" s="1"/>
  <c r="J11" i="3" s="1"/>
  <c r="H12" i="5"/>
  <c r="H12" i="6"/>
  <c r="H12" i="8"/>
  <c r="F11" i="6"/>
  <c r="H11" i="6"/>
  <c r="F11" i="5"/>
  <c r="H11" i="5"/>
  <c r="H13" i="5"/>
  <c r="F9" i="15"/>
  <c r="H9" i="15"/>
  <c r="F10" i="11"/>
  <c r="H10" i="11" s="1"/>
  <c r="J10" i="11" s="1"/>
  <c r="K10" i="11" s="1"/>
  <c r="H9" i="11"/>
  <c r="F17" i="8"/>
  <c r="H17" i="8" s="1"/>
  <c r="J17" i="8" s="1"/>
  <c r="F17" i="7"/>
  <c r="H17" i="7" s="1"/>
  <c r="J17" i="7" s="1"/>
  <c r="F17" i="6"/>
  <c r="H17" i="6" s="1"/>
  <c r="J17" i="6" s="1"/>
  <c r="F17" i="4"/>
  <c r="H17" i="4" s="1"/>
  <c r="J17" i="4" s="1"/>
  <c r="F22" i="13"/>
  <c r="H22" i="13" s="1"/>
  <c r="J22" i="13" s="1"/>
  <c r="K22" i="13" s="1"/>
  <c r="F21" i="4"/>
  <c r="H21" i="4" s="1"/>
  <c r="J21" i="4" s="1"/>
  <c r="K21" i="4" s="1"/>
  <c r="F21" i="3"/>
  <c r="H21" i="3" s="1"/>
  <c r="J21" i="3" s="1"/>
  <c r="K21" i="3" s="1"/>
  <c r="F21" i="11"/>
  <c r="H21" i="11" s="1"/>
  <c r="J21" i="11" s="1"/>
  <c r="K21" i="11" s="1"/>
  <c r="F22" i="4"/>
  <c r="H22" i="4" s="1"/>
  <c r="F22" i="3"/>
  <c r="H22" i="3" s="1"/>
  <c r="J22" i="3" s="1"/>
  <c r="K22" i="3" s="1"/>
  <c r="F21" i="13"/>
  <c r="H21" i="13"/>
  <c r="F21" i="9"/>
  <c r="H21" i="9" s="1"/>
  <c r="J21" i="9" s="1"/>
  <c r="F22" i="11"/>
  <c r="H22" i="11"/>
  <c r="J22" i="11" s="1"/>
  <c r="K22" i="11" s="1"/>
  <c r="F20" i="15"/>
  <c r="H20" i="15" s="1"/>
  <c r="F26" i="6"/>
  <c r="H26" i="6"/>
  <c r="F26" i="35"/>
  <c r="H26" i="35"/>
  <c r="F26" i="37"/>
  <c r="H26" i="37"/>
  <c r="J26" i="38"/>
  <c r="K26" i="38"/>
  <c r="K13" i="8"/>
  <c r="D15" i="8"/>
  <c r="D20" i="8"/>
  <c r="D23" i="8"/>
  <c r="D31" i="8"/>
  <c r="K29" i="15"/>
  <c r="D24" i="15"/>
  <c r="J13" i="15"/>
  <c r="D15" i="13"/>
  <c r="D19" i="13"/>
  <c r="D23" i="13"/>
  <c r="D32" i="13"/>
  <c r="K30" i="11"/>
  <c r="J13" i="11"/>
  <c r="K13" i="11"/>
  <c r="D15" i="11"/>
  <c r="D19" i="11"/>
  <c r="D23" i="11"/>
  <c r="D32" i="11"/>
  <c r="G30" i="9"/>
  <c r="H30" i="9"/>
  <c r="J30" i="9"/>
  <c r="K30" i="9"/>
  <c r="H24" i="9"/>
  <c r="J24" i="9" s="1"/>
  <c r="K24" i="9" s="1"/>
  <c r="K13" i="9"/>
  <c r="D15" i="9"/>
  <c r="H24" i="7"/>
  <c r="J24" i="7"/>
  <c r="K24" i="7"/>
  <c r="K13" i="7"/>
  <c r="D15" i="7"/>
  <c r="D25" i="4"/>
  <c r="D33" i="4"/>
  <c r="D15" i="4"/>
  <c r="H30" i="3"/>
  <c r="H16" i="3"/>
  <c r="H29" i="3"/>
  <c r="D31" i="3"/>
  <c r="D24" i="3"/>
  <c r="D30" i="3"/>
  <c r="D21" i="3"/>
  <c r="J30" i="3"/>
  <c r="K30" i="3"/>
  <c r="D16" i="3"/>
  <c r="D29" i="3"/>
  <c r="J29" i="3"/>
  <c r="K29" i="3"/>
  <c r="J31" i="3"/>
  <c r="K31" i="3"/>
  <c r="J27" i="9"/>
  <c r="K27" i="9"/>
  <c r="J25" i="15"/>
  <c r="K25" i="15"/>
  <c r="J13" i="13"/>
  <c r="F25" i="13"/>
  <c r="H25" i="13" s="1"/>
  <c r="J25" i="13" s="1"/>
  <c r="K25" i="13" s="1"/>
  <c r="J11" i="7"/>
  <c r="J20" i="11"/>
  <c r="F25" i="5"/>
  <c r="H25" i="5"/>
  <c r="J25" i="5" s="1"/>
  <c r="K25" i="5" s="1"/>
  <c r="J12" i="13"/>
  <c r="J27" i="7"/>
  <c r="K27" i="7"/>
  <c r="K13" i="13"/>
  <c r="J20" i="9"/>
  <c r="K20" i="9"/>
  <c r="J26" i="6"/>
  <c r="K26" i="6"/>
  <c r="F26" i="5"/>
  <c r="H26" i="5"/>
  <c r="J26" i="5"/>
  <c r="K26" i="5"/>
  <c r="J26" i="15"/>
  <c r="K26" i="15"/>
  <c r="F25" i="8"/>
  <c r="H25" i="8"/>
  <c r="J25" i="8"/>
  <c r="K25" i="8"/>
  <c r="J12" i="8"/>
  <c r="J25" i="6"/>
  <c r="K25" i="6" s="1"/>
  <c r="J27" i="8"/>
  <c r="K27" i="8"/>
  <c r="J22" i="4"/>
  <c r="K22" i="4"/>
  <c r="F25" i="7"/>
  <c r="H25" i="7" s="1"/>
  <c r="J25" i="7" s="1"/>
  <c r="K25" i="7" s="1"/>
  <c r="J11" i="6"/>
  <c r="F25" i="11"/>
  <c r="H25" i="11" s="1"/>
  <c r="J25" i="11" s="1"/>
  <c r="K25" i="11" s="1"/>
  <c r="D10" i="3"/>
  <c r="J20" i="13"/>
  <c r="K20" i="13"/>
  <c r="F26" i="11"/>
  <c r="H26" i="11"/>
  <c r="J26" i="11"/>
  <c r="K26" i="11"/>
  <c r="J27" i="11"/>
  <c r="K27" i="11"/>
  <c r="K21" i="9"/>
  <c r="J27" i="6"/>
  <c r="K27" i="6"/>
  <c r="J27" i="13"/>
  <c r="K27" i="13"/>
  <c r="J13" i="7"/>
  <c r="J13" i="8"/>
  <c r="K17" i="13"/>
  <c r="F26" i="13"/>
  <c r="H26" i="13"/>
  <c r="J26" i="13"/>
  <c r="K26" i="13"/>
  <c r="D20" i="7"/>
  <c r="D23" i="7"/>
  <c r="D31" i="7"/>
  <c r="J20" i="15"/>
  <c r="K20" i="15" s="1"/>
  <c r="K11" i="6"/>
  <c r="F26" i="9"/>
  <c r="H26" i="9"/>
  <c r="J26" i="9"/>
  <c r="K26" i="9"/>
  <c r="J16" i="5"/>
  <c r="K16" i="5"/>
  <c r="J27" i="5"/>
  <c r="K27" i="5"/>
  <c r="F26" i="8"/>
  <c r="H26" i="8"/>
  <c r="J26" i="8"/>
  <c r="K26" i="8"/>
  <c r="J21" i="13"/>
  <c r="K21" i="13" s="1"/>
  <c r="D27" i="3"/>
  <c r="F26" i="7"/>
  <c r="H26" i="7"/>
  <c r="J26" i="7"/>
  <c r="K26" i="7"/>
  <c r="J13" i="9"/>
  <c r="J11" i="8"/>
  <c r="J16" i="6"/>
  <c r="K16" i="6"/>
  <c r="K20" i="11"/>
  <c r="D19" i="15"/>
  <c r="D22" i="15"/>
  <c r="D31" i="15"/>
  <c r="D22" i="3"/>
  <c r="D18" i="3"/>
  <c r="G22" i="3"/>
  <c r="G10" i="3"/>
  <c r="D13" i="3"/>
  <c r="H25" i="3"/>
  <c r="J25" i="3" s="1"/>
  <c r="K25" i="3" s="1"/>
  <c r="H18" i="3"/>
  <c r="J18" i="3" s="1"/>
  <c r="K18" i="3" s="1"/>
  <c r="J9" i="15"/>
  <c r="K9" i="15" s="1"/>
  <c r="J12" i="11"/>
  <c r="J12" i="9"/>
  <c r="J26" i="37"/>
  <c r="K26" i="37"/>
  <c r="J26" i="35"/>
  <c r="K26" i="35"/>
  <c r="D19" i="9"/>
  <c r="D23" i="9"/>
  <c r="D34" i="4"/>
  <c r="D35" i="4"/>
  <c r="J16" i="3"/>
  <c r="K16" i="3"/>
  <c r="D34" i="6"/>
  <c r="D35" i="6"/>
  <c r="D32" i="8"/>
  <c r="D33" i="8"/>
  <c r="D33" i="13"/>
  <c r="D34" i="13"/>
  <c r="D36" i="13"/>
  <c r="D34" i="5"/>
  <c r="D35" i="5"/>
  <c r="D33" i="11"/>
  <c r="D34" i="11"/>
  <c r="D36" i="11"/>
  <c r="D32" i="15"/>
  <c r="D33" i="15"/>
  <c r="D35" i="15"/>
  <c r="D32" i="7"/>
  <c r="D33" i="7"/>
  <c r="D20" i="3"/>
  <c r="D23" i="3"/>
  <c r="D34" i="3"/>
  <c r="D35" i="3"/>
  <c r="D32" i="9"/>
  <c r="D36" i="4"/>
  <c r="D37" i="4"/>
  <c r="D34" i="8"/>
  <c r="D35" i="8"/>
  <c r="D34" i="7"/>
  <c r="D35" i="7"/>
  <c r="D36" i="5"/>
  <c r="D37" i="5"/>
  <c r="D36" i="6"/>
  <c r="D37" i="6"/>
  <c r="D36" i="3"/>
  <c r="D37" i="3"/>
  <c r="D33" i="9"/>
  <c r="D34" i="9"/>
  <c r="D36" i="9"/>
  <c r="F25" i="9" l="1"/>
  <c r="H25" i="9" s="1"/>
  <c r="J25" i="9" s="1"/>
  <c r="K25" i="9" s="1"/>
  <c r="F19" i="3"/>
  <c r="H19" i="3" s="1"/>
  <c r="J19" i="3" s="1"/>
  <c r="K19" i="3" s="1"/>
  <c r="F24" i="6"/>
  <c r="H24" i="6" s="1"/>
  <c r="J24" i="6" s="1"/>
  <c r="K24" i="6" s="1"/>
  <c r="F22" i="38"/>
  <c r="H22" i="38" s="1"/>
  <c r="J22" i="38" s="1"/>
  <c r="K22" i="38" s="1"/>
  <c r="F24" i="37"/>
  <c r="H24" i="37" s="1"/>
  <c r="J24" i="37" s="1"/>
  <c r="K24" i="37" s="1"/>
  <c r="F11" i="13"/>
  <c r="H11" i="13" s="1"/>
  <c r="J11" i="13" s="1"/>
  <c r="F9" i="3"/>
  <c r="H9" i="3" s="1"/>
  <c r="J9" i="3" s="1"/>
  <c r="K9" i="3" s="1"/>
  <c r="F10" i="7"/>
  <c r="H10" i="7" s="1"/>
  <c r="J10" i="7" s="1"/>
  <c r="K10" i="7" s="1"/>
  <c r="F9" i="5"/>
  <c r="H9" i="5" s="1"/>
  <c r="J9" i="5" s="1"/>
  <c r="K9" i="5" s="1"/>
  <c r="F24" i="11"/>
  <c r="H24" i="11" s="1"/>
  <c r="J24" i="11" s="1"/>
  <c r="K24" i="11" s="1"/>
  <c r="F22" i="37"/>
  <c r="H22" i="37" s="1"/>
  <c r="J22" i="37" s="1"/>
  <c r="K22" i="37" s="1"/>
  <c r="F21" i="7"/>
  <c r="H21" i="7" s="1"/>
  <c r="J21" i="7" s="1"/>
  <c r="K21" i="7" s="1"/>
  <c r="F19" i="5"/>
  <c r="H19" i="5" s="1"/>
  <c r="J19" i="5" s="1"/>
  <c r="K19" i="5" s="1"/>
  <c r="F18" i="4"/>
  <c r="H18" i="4" s="1"/>
  <c r="J18" i="4" s="1"/>
  <c r="K18" i="4" s="1"/>
  <c r="F28" i="4"/>
  <c r="H28" i="4" s="1"/>
  <c r="F9" i="37"/>
  <c r="H9" i="37" s="1"/>
  <c r="F19" i="4"/>
  <c r="H19" i="4" s="1"/>
  <c r="J19" i="4" s="1"/>
  <c r="K19" i="4" s="1"/>
  <c r="F21" i="8"/>
  <c r="H21" i="8" s="1"/>
  <c r="J21" i="8" s="1"/>
  <c r="K21" i="8" s="1"/>
  <c r="F25" i="35"/>
  <c r="H25" i="35" s="1"/>
  <c r="J25" i="35" s="1"/>
  <c r="K25" i="35" s="1"/>
  <c r="F16" i="15"/>
  <c r="H16" i="15" s="1"/>
  <c r="J16" i="15" s="1"/>
  <c r="F28" i="3"/>
  <c r="H28" i="3" s="1"/>
  <c r="F16" i="38"/>
  <c r="H16" i="38" s="1"/>
  <c r="J16" i="38" s="1"/>
  <c r="F16" i="13"/>
  <c r="H16" i="13" s="1"/>
  <c r="J16" i="13" s="1"/>
  <c r="F10" i="38"/>
  <c r="H10" i="38" s="1"/>
  <c r="J10" i="38" s="1"/>
  <c r="K10" i="38" s="1"/>
  <c r="F24" i="13"/>
  <c r="H24" i="13" s="1"/>
  <c r="J24" i="13" s="1"/>
  <c r="K24" i="13" s="1"/>
  <c r="F24" i="38"/>
  <c r="H24" i="38" s="1"/>
  <c r="J24" i="38" s="1"/>
  <c r="K24" i="38" s="1"/>
  <c r="F28" i="6"/>
  <c r="H28" i="6" s="1"/>
  <c r="F28" i="5"/>
  <c r="H28" i="5" s="1"/>
  <c r="F16" i="37"/>
  <c r="H16" i="37" s="1"/>
  <c r="J16" i="37" s="1"/>
  <c r="F16" i="11"/>
  <c r="H16" i="11" s="1"/>
  <c r="J16" i="11" s="1"/>
  <c r="F26" i="4"/>
  <c r="H26" i="4" s="1"/>
  <c r="J26" i="4" s="1"/>
  <c r="K26" i="4" s="1"/>
  <c r="F26" i="3"/>
  <c r="H26" i="3" s="1"/>
  <c r="J26" i="3" s="1"/>
  <c r="K26" i="3" s="1"/>
  <c r="F21" i="5"/>
  <c r="H21" i="5" s="1"/>
  <c r="J21" i="5" s="1"/>
  <c r="K21" i="5" s="1"/>
  <c r="F21" i="6"/>
  <c r="H21" i="6" s="1"/>
  <c r="J21" i="6" s="1"/>
  <c r="K21" i="6" s="1"/>
  <c r="F22" i="8"/>
  <c r="H22" i="8" s="1"/>
  <c r="J22" i="8" s="1"/>
  <c r="K22" i="8" s="1"/>
  <c r="F22" i="7"/>
  <c r="H22" i="7" s="1"/>
  <c r="J22" i="7" s="1"/>
  <c r="K22" i="7" s="1"/>
  <c r="F17" i="9"/>
  <c r="H17" i="9" s="1"/>
  <c r="J17" i="9" s="1"/>
  <c r="K17" i="9" s="1"/>
  <c r="F17" i="35"/>
  <c r="H17" i="35" s="1"/>
  <c r="J17" i="35" s="1"/>
  <c r="K17" i="35" s="1"/>
  <c r="J9" i="11"/>
  <c r="K9" i="11" s="1"/>
  <c r="J9" i="37"/>
  <c r="K9" i="37" s="1"/>
  <c r="F22" i="5"/>
  <c r="H22" i="5" s="1"/>
  <c r="J22" i="5" s="1"/>
  <c r="K22" i="5" s="1"/>
  <c r="F22" i="6"/>
  <c r="H22" i="6" s="1"/>
  <c r="J22" i="6" s="1"/>
  <c r="K22" i="6" s="1"/>
  <c r="F9" i="9"/>
  <c r="H9" i="9" s="1"/>
  <c r="F9" i="35"/>
  <c r="H9" i="35" s="1"/>
  <c r="F24" i="15"/>
  <c r="H24" i="15" s="1"/>
  <c r="J24" i="15" s="1"/>
  <c r="K24" i="15" s="1"/>
  <c r="F17" i="3"/>
  <c r="H17" i="3" s="1"/>
  <c r="J17" i="3" s="1"/>
  <c r="F9" i="7"/>
  <c r="H9" i="7" s="1"/>
  <c r="F28" i="37"/>
  <c r="H28" i="37" s="1"/>
  <c r="F18" i="8"/>
  <c r="H18" i="8" s="1"/>
  <c r="J18" i="8" s="1"/>
  <c r="K18" i="8" s="1"/>
  <c r="F9" i="38"/>
  <c r="H9" i="38" s="1"/>
  <c r="F10" i="6"/>
  <c r="H10" i="6" s="1"/>
  <c r="F10" i="5"/>
  <c r="H10" i="5" s="1"/>
  <c r="F10" i="9"/>
  <c r="H10" i="9" s="1"/>
  <c r="J10" i="9" s="1"/>
  <c r="K10" i="9" s="1"/>
  <c r="F16" i="35"/>
  <c r="H16" i="35" s="1"/>
  <c r="J16" i="35" s="1"/>
  <c r="F22" i="35"/>
  <c r="H22" i="35" s="1"/>
  <c r="J22" i="35" s="1"/>
  <c r="K22" i="35" s="1"/>
  <c r="F22" i="9"/>
  <c r="H22" i="9" s="1"/>
  <c r="J22" i="9" s="1"/>
  <c r="K22" i="9" s="1"/>
  <c r="F28" i="7"/>
  <c r="H28" i="7" s="1"/>
  <c r="F24" i="4"/>
  <c r="H24" i="4" s="1"/>
  <c r="J24" i="4" s="1"/>
  <c r="K24" i="4" s="1"/>
  <c r="F24" i="3"/>
  <c r="H24" i="3" s="1"/>
  <c r="J24" i="3" s="1"/>
  <c r="K24" i="3" s="1"/>
  <c r="J9" i="7" l="1"/>
  <c r="K9" i="7" s="1"/>
  <c r="J9" i="9"/>
  <c r="K9" i="9" s="1"/>
  <c r="J9" i="38"/>
  <c r="K9" i="38" s="1"/>
  <c r="J10" i="5"/>
  <c r="K10" i="5" s="1"/>
  <c r="J10" i="6"/>
  <c r="K10" i="6" s="1"/>
  <c r="J9" i="35"/>
  <c r="K9" i="35" s="1"/>
  <c r="F13" i="1" l="1"/>
  <c r="F107" i="1"/>
  <c r="F125" i="1"/>
  <c r="F14" i="15" s="1"/>
  <c r="H14" i="15" s="1"/>
  <c r="V23" i="1"/>
  <c r="F14" i="3"/>
  <c r="H14" i="3" s="1"/>
  <c r="F14" i="4" l="1"/>
  <c r="H14" i="4" s="1"/>
  <c r="J14" i="4" s="1"/>
  <c r="F66" i="1"/>
  <c r="F14" i="9" s="1"/>
  <c r="H14" i="9" s="1"/>
  <c r="F86" i="1"/>
  <c r="F14" i="11" s="1"/>
  <c r="H14" i="11" s="1"/>
  <c r="F31" i="1"/>
  <c r="F14" i="35"/>
  <c r="H14" i="35" s="1"/>
  <c r="J14" i="15"/>
  <c r="H15" i="15"/>
  <c r="J14" i="3"/>
  <c r="H15" i="3"/>
  <c r="F14" i="13"/>
  <c r="H14" i="13" s="1"/>
  <c r="F14" i="38"/>
  <c r="H14" i="38" s="1"/>
  <c r="U113" i="1"/>
  <c r="U74" i="1" l="1"/>
  <c r="H15" i="4"/>
  <c r="J15" i="4" s="1"/>
  <c r="K15" i="4" s="1"/>
  <c r="F48" i="1"/>
  <c r="F14" i="7" s="1"/>
  <c r="H14" i="7" s="1"/>
  <c r="F14" i="37"/>
  <c r="H14" i="37" s="1"/>
  <c r="H15" i="37" s="1"/>
  <c r="U94" i="1"/>
  <c r="F14" i="5"/>
  <c r="H14" i="5" s="1"/>
  <c r="F14" i="6"/>
  <c r="H14" i="6" s="1"/>
  <c r="J14" i="13"/>
  <c r="H15" i="13"/>
  <c r="J14" i="38"/>
  <c r="H15" i="38"/>
  <c r="J14" i="37"/>
  <c r="J14" i="11"/>
  <c r="H15" i="11"/>
  <c r="H20" i="3"/>
  <c r="J15" i="3"/>
  <c r="K15" i="3" s="1"/>
  <c r="H19" i="15"/>
  <c r="J15" i="15"/>
  <c r="K15" i="15" s="1"/>
  <c r="J14" i="9"/>
  <c r="H15" i="9"/>
  <c r="J14" i="35"/>
  <c r="H15" i="35"/>
  <c r="F14" i="8" l="1"/>
  <c r="H14" i="8" s="1"/>
  <c r="J14" i="8" s="1"/>
  <c r="H20" i="4"/>
  <c r="J20" i="4" s="1"/>
  <c r="K20" i="4" s="1"/>
  <c r="H15" i="5"/>
  <c r="J14" i="5"/>
  <c r="J14" i="6"/>
  <c r="H15" i="6"/>
  <c r="H19" i="9"/>
  <c r="J15" i="9"/>
  <c r="K15" i="9" s="1"/>
  <c r="H23" i="3"/>
  <c r="J20" i="3"/>
  <c r="K20" i="3" s="1"/>
  <c r="J15" i="37"/>
  <c r="K15" i="37" s="1"/>
  <c r="H19" i="37"/>
  <c r="H22" i="15"/>
  <c r="J19" i="15"/>
  <c r="K19" i="15" s="1"/>
  <c r="H19" i="38"/>
  <c r="J15" i="38"/>
  <c r="K15" i="38" s="1"/>
  <c r="J15" i="35"/>
  <c r="K15" i="35" s="1"/>
  <c r="H19" i="35"/>
  <c r="H15" i="8"/>
  <c r="H19" i="13"/>
  <c r="J15" i="13"/>
  <c r="K15" i="13" s="1"/>
  <c r="J15" i="11"/>
  <c r="K15" i="11" s="1"/>
  <c r="H19" i="11"/>
  <c r="J14" i="7"/>
  <c r="H15" i="7"/>
  <c r="H23" i="4" l="1"/>
  <c r="H20" i="6"/>
  <c r="J15" i="6"/>
  <c r="K15" i="6" s="1"/>
  <c r="H20" i="5"/>
  <c r="J15" i="5"/>
  <c r="K15" i="5" s="1"/>
  <c r="H33" i="4"/>
  <c r="J23" i="4"/>
  <c r="K23" i="4" s="1"/>
  <c r="H23" i="38"/>
  <c r="J19" i="38"/>
  <c r="K19" i="38" s="1"/>
  <c r="H23" i="11"/>
  <c r="J19" i="11"/>
  <c r="K19" i="11" s="1"/>
  <c r="J19" i="35"/>
  <c r="K19" i="35" s="1"/>
  <c r="H23" i="35"/>
  <c r="H23" i="37"/>
  <c r="J19" i="37"/>
  <c r="K19" i="37" s="1"/>
  <c r="J23" i="3"/>
  <c r="K23" i="3" s="1"/>
  <c r="H33" i="3"/>
  <c r="J15" i="7"/>
  <c r="K15" i="7" s="1"/>
  <c r="H20" i="7"/>
  <c r="H20" i="8"/>
  <c r="J15" i="8"/>
  <c r="K15" i="8" s="1"/>
  <c r="J22" i="15"/>
  <c r="K22" i="15" s="1"/>
  <c r="H31" i="15"/>
  <c r="H23" i="13"/>
  <c r="J19" i="13"/>
  <c r="K19" i="13" s="1"/>
  <c r="J19" i="9"/>
  <c r="K19" i="9" s="1"/>
  <c r="H23" i="9"/>
  <c r="J20" i="5" l="1"/>
  <c r="K20" i="5" s="1"/>
  <c r="H23" i="5"/>
  <c r="H23" i="6"/>
  <c r="J20" i="6"/>
  <c r="K20" i="6" s="1"/>
  <c r="J33" i="3"/>
  <c r="K33" i="3" s="1"/>
  <c r="H34" i="3"/>
  <c r="J34" i="3" s="1"/>
  <c r="K34" i="3" s="1"/>
  <c r="H32" i="11"/>
  <c r="J23" i="11"/>
  <c r="K23" i="11" s="1"/>
  <c r="H32" i="38"/>
  <c r="J23" i="38"/>
  <c r="K23" i="38" s="1"/>
  <c r="H32" i="15"/>
  <c r="J32" i="15" s="1"/>
  <c r="K32" i="15" s="1"/>
  <c r="H33" i="15"/>
  <c r="J31" i="15"/>
  <c r="K31" i="15" s="1"/>
  <c r="H23" i="8"/>
  <c r="J20" i="8"/>
  <c r="K20" i="8" s="1"/>
  <c r="J20" i="7"/>
  <c r="K20" i="7" s="1"/>
  <c r="H23" i="7"/>
  <c r="J23" i="37"/>
  <c r="K23" i="37" s="1"/>
  <c r="H32" i="37"/>
  <c r="H34" i="4"/>
  <c r="J34" i="4" s="1"/>
  <c r="K34" i="4" s="1"/>
  <c r="J33" i="4"/>
  <c r="K33" i="4" s="1"/>
  <c r="J23" i="9"/>
  <c r="K23" i="9" s="1"/>
  <c r="H32" i="9"/>
  <c r="J23" i="35"/>
  <c r="K23" i="35" s="1"/>
  <c r="H32" i="35"/>
  <c r="J23" i="13"/>
  <c r="K23" i="13" s="1"/>
  <c r="H32" i="13"/>
  <c r="H35" i="3" l="1"/>
  <c r="H37" i="3" s="1"/>
  <c r="J37" i="3" s="1"/>
  <c r="H33" i="6"/>
  <c r="J23" i="6"/>
  <c r="K23" i="6" s="1"/>
  <c r="H33" i="5"/>
  <c r="J23" i="5"/>
  <c r="K23" i="5" s="1"/>
  <c r="J32" i="13"/>
  <c r="K32" i="13" s="1"/>
  <c r="H33" i="13"/>
  <c r="J33" i="13" s="1"/>
  <c r="K33" i="13" s="1"/>
  <c r="H35" i="4"/>
  <c r="J23" i="7"/>
  <c r="K23" i="7" s="1"/>
  <c r="H31" i="7"/>
  <c r="J32" i="38"/>
  <c r="K32" i="38" s="1"/>
  <c r="H33" i="38"/>
  <c r="J33" i="38" s="1"/>
  <c r="K33" i="38" s="1"/>
  <c r="H31" i="8"/>
  <c r="J23" i="8"/>
  <c r="K23" i="8" s="1"/>
  <c r="H33" i="11"/>
  <c r="J33" i="11" s="1"/>
  <c r="K33" i="11" s="1"/>
  <c r="J32" i="11"/>
  <c r="K32" i="11" s="1"/>
  <c r="J32" i="35"/>
  <c r="K32" i="35" s="1"/>
  <c r="H33" i="35"/>
  <c r="J33" i="35" s="1"/>
  <c r="K33" i="35" s="1"/>
  <c r="H33" i="37"/>
  <c r="J33" i="37" s="1"/>
  <c r="K33" i="37" s="1"/>
  <c r="J32" i="37"/>
  <c r="K32" i="37" s="1"/>
  <c r="J33" i="15"/>
  <c r="K33" i="15" s="1"/>
  <c r="H35" i="15"/>
  <c r="J35" i="15" s="1"/>
  <c r="H33" i="9"/>
  <c r="J33" i="9" s="1"/>
  <c r="K33" i="9" s="1"/>
  <c r="J32" i="9"/>
  <c r="K32" i="9" s="1"/>
  <c r="J35" i="3" l="1"/>
  <c r="K35" i="3" s="1"/>
  <c r="H34" i="35"/>
  <c r="H36" i="35" s="1"/>
  <c r="J36" i="35" s="1"/>
  <c r="H34" i="13"/>
  <c r="J34" i="13" s="1"/>
  <c r="K34" i="13" s="1"/>
  <c r="H34" i="38"/>
  <c r="J34" i="38" s="1"/>
  <c r="K34" i="38" s="1"/>
  <c r="H34" i="5"/>
  <c r="J34" i="5" s="1"/>
  <c r="K34" i="5" s="1"/>
  <c r="J33" i="5"/>
  <c r="K33" i="5" s="1"/>
  <c r="J33" i="6"/>
  <c r="K33" i="6" s="1"/>
  <c r="H34" i="6"/>
  <c r="H34" i="37"/>
  <c r="H36" i="37" s="1"/>
  <c r="J36" i="37" s="1"/>
  <c r="H34" i="11"/>
  <c r="J34" i="11" s="1"/>
  <c r="K34" i="11" s="1"/>
  <c r="H34" i="9"/>
  <c r="J34" i="9" s="1"/>
  <c r="K34" i="9" s="1"/>
  <c r="H36" i="9"/>
  <c r="J36" i="9" s="1"/>
  <c r="D8" i="16"/>
  <c r="C8" i="16"/>
  <c r="H32" i="7"/>
  <c r="J32" i="7" s="1"/>
  <c r="K32" i="7" s="1"/>
  <c r="J31" i="7"/>
  <c r="K31" i="7" s="1"/>
  <c r="H32" i="8"/>
  <c r="J32" i="8" s="1"/>
  <c r="K32" i="8" s="1"/>
  <c r="J31" i="8"/>
  <c r="K31" i="8" s="1"/>
  <c r="J35" i="4"/>
  <c r="K35" i="4" s="1"/>
  <c r="H37" i="4"/>
  <c r="J37" i="4" s="1"/>
  <c r="K37" i="4" s="1"/>
  <c r="C29" i="16"/>
  <c r="K35" i="15"/>
  <c r="D29" i="16" s="1"/>
  <c r="K37" i="3"/>
  <c r="D7" i="16" s="1"/>
  <c r="C7" i="16"/>
  <c r="H36" i="38" l="1"/>
  <c r="J36" i="38" s="1"/>
  <c r="K36" i="38" s="1"/>
  <c r="D26" i="16" s="1"/>
  <c r="H36" i="13"/>
  <c r="J36" i="13" s="1"/>
  <c r="H36" i="11"/>
  <c r="J36" i="11" s="1"/>
  <c r="K36" i="11" s="1"/>
  <c r="D21" i="16" s="1"/>
  <c r="J34" i="35"/>
  <c r="K34" i="35" s="1"/>
  <c r="H33" i="7"/>
  <c r="J33" i="7" s="1"/>
  <c r="K33" i="7" s="1"/>
  <c r="J34" i="6"/>
  <c r="K34" i="6" s="1"/>
  <c r="H35" i="6"/>
  <c r="J34" i="37"/>
  <c r="K34" i="37" s="1"/>
  <c r="H35" i="5"/>
  <c r="C25" i="16"/>
  <c r="K36" i="13"/>
  <c r="D25" i="16" s="1"/>
  <c r="C18" i="16"/>
  <c r="K36" i="35"/>
  <c r="D18" i="16" s="1"/>
  <c r="C26" i="16"/>
  <c r="K36" i="37"/>
  <c r="D22" i="16" s="1"/>
  <c r="C22" i="16"/>
  <c r="H33" i="8"/>
  <c r="C17" i="16"/>
  <c r="K36" i="9"/>
  <c r="D17" i="16" s="1"/>
  <c r="H35" i="7" l="1"/>
  <c r="J35" i="7" s="1"/>
  <c r="C14" i="16" s="1"/>
  <c r="C21" i="16"/>
  <c r="H37" i="6"/>
  <c r="J37" i="6" s="1"/>
  <c r="K37" i="6" s="1"/>
  <c r="J35" i="6"/>
  <c r="K35" i="6" s="1"/>
  <c r="H37" i="5"/>
  <c r="J37" i="5" s="1"/>
  <c r="J35" i="5"/>
  <c r="K35" i="5" s="1"/>
  <c r="J33" i="8"/>
  <c r="K33" i="8" s="1"/>
  <c r="H35" i="8"/>
  <c r="J35" i="8" s="1"/>
  <c r="K35" i="8" s="1"/>
  <c r="K35" i="7" l="1"/>
  <c r="D14" i="16" s="1"/>
  <c r="K37" i="5"/>
  <c r="D11" i="16" s="1"/>
  <c r="C11" i="16"/>
</calcChain>
</file>

<file path=xl/comments1.xml><?xml version="1.0" encoding="utf-8"?>
<comments xmlns="http://schemas.openxmlformats.org/spreadsheetml/2006/main">
  <authors>
    <author>Belinda Dhaliwal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</t>
        </r>
      </text>
    </comment>
  </commentList>
</comments>
</file>

<file path=xl/comments10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11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</commentList>
</comments>
</file>

<file path=xl/comments12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</commentList>
</comments>
</file>

<file path=xl/comments13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</commentList>
</comments>
</file>

<file path=xl/comments2.xml><?xml version="1.0" encoding="utf-8"?>
<comments xmlns="http://schemas.openxmlformats.org/spreadsheetml/2006/main">
  <authors>
    <author>Belinda Dhaliwal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3.xml><?xml version="1.0" encoding="utf-8"?>
<comments xmlns="http://schemas.openxmlformats.org/spreadsheetml/2006/main">
  <authors>
    <author>Belinda Dhaliwal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4.xml><?xml version="1.0" encoding="utf-8"?>
<comments xmlns="http://schemas.openxmlformats.org/spreadsheetml/2006/main">
  <authors>
    <author>Belinda Dhaliwal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5.xml><?xml version="1.0" encoding="utf-8"?>
<comments xmlns="http://schemas.openxmlformats.org/spreadsheetml/2006/main">
  <authors>
    <author>Belinda Dhaliwal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6.xml><?xml version="1.0" encoding="utf-8"?>
<comments xmlns="http://schemas.openxmlformats.org/spreadsheetml/2006/main">
  <authors>
    <author>Belinda Dhaliwal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7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8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9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sharedStrings.xml><?xml version="1.0" encoding="utf-8"?>
<sst xmlns="http://schemas.openxmlformats.org/spreadsheetml/2006/main" count="1187" uniqueCount="280">
  <si>
    <t>Enersource Hydro Mississauga Inc.</t>
  </si>
  <si>
    <t>BILLING</t>
  </si>
  <si>
    <t>January 1, 2015
Rate
EB-2014-0068</t>
  </si>
  <si>
    <t>Distribution Codes</t>
  </si>
  <si>
    <t>Proposed GL Object Codes</t>
  </si>
  <si>
    <t>Comments</t>
  </si>
  <si>
    <t>USoA Code Cat 21</t>
  </si>
  <si>
    <t>USoA Code Cat 22</t>
  </si>
  <si>
    <t>Proposed</t>
  </si>
  <si>
    <t>Board 
Approved</t>
  </si>
  <si>
    <t>Customer Class</t>
  </si>
  <si>
    <t>Bill Factor</t>
  </si>
  <si>
    <t>Item Description</t>
  </si>
  <si>
    <t>Unit</t>
  </si>
  <si>
    <t>Rate
$</t>
  </si>
  <si>
    <t>Invoice Line Item</t>
  </si>
  <si>
    <r>
      <t xml:space="preserve">RESIDENTIAL Regular </t>
    </r>
    <r>
      <rPr>
        <u/>
        <sz val="10.199999999999999"/>
        <rFont val="Arial"/>
        <family val="2"/>
      </rPr>
      <t>RES100</t>
    </r>
  </si>
  <si>
    <t>CC11</t>
  </si>
  <si>
    <t>Monthly Service Charge</t>
  </si>
  <si>
    <t>per month</t>
  </si>
  <si>
    <t>Delivery (non loss adjusted)</t>
  </si>
  <si>
    <t>monthly</t>
  </si>
  <si>
    <t>Effective until October 31, 2018</t>
  </si>
  <si>
    <t>RS11</t>
  </si>
  <si>
    <t>Smart Metering Entity Charge</t>
  </si>
  <si>
    <t>DS11</t>
  </si>
  <si>
    <t>Distribution Volumetric Rate</t>
  </si>
  <si>
    <t>per kWh</t>
  </si>
  <si>
    <t>**commonly known as the Distribution Charge</t>
  </si>
  <si>
    <t>DVR</t>
  </si>
  <si>
    <t>DVR Non RPP</t>
  </si>
  <si>
    <t>DS11B</t>
  </si>
  <si>
    <t>RFRES1</t>
  </si>
  <si>
    <t>10.411060.RFRES1</t>
  </si>
  <si>
    <t>New Code</t>
  </si>
  <si>
    <t>GADRES</t>
  </si>
  <si>
    <t>10.400261.REFRES</t>
  </si>
  <si>
    <t>Existing Code</t>
  </si>
  <si>
    <t>DS11G</t>
  </si>
  <si>
    <t>RECRES</t>
  </si>
  <si>
    <t>10.400261.RECRES</t>
  </si>
  <si>
    <t>DS11F</t>
  </si>
  <si>
    <t>Low Voltage Service Rate</t>
  </si>
  <si>
    <t>LVRES</t>
  </si>
  <si>
    <t>10.400270.LVRES</t>
  </si>
  <si>
    <t>TN11</t>
  </si>
  <si>
    <t>Retail Trans. - Network*</t>
  </si>
  <si>
    <t>TC11</t>
  </si>
  <si>
    <t>Retail Trans. - Connection*</t>
  </si>
  <si>
    <t>WMS01</t>
  </si>
  <si>
    <t>Wholesale Market Service</t>
  </si>
  <si>
    <t>Regulatory (loss adjusted)</t>
  </si>
  <si>
    <t>Rural Rate Protection (include as part of Wholesale Market Service)</t>
  </si>
  <si>
    <t>RPP01</t>
  </si>
  <si>
    <t>RPP - Admin Charge</t>
  </si>
  <si>
    <t>DRC01</t>
  </si>
  <si>
    <t>Debt Retirement Charge</t>
  </si>
  <si>
    <t>DRC (non loss adjusted)</t>
  </si>
  <si>
    <r>
      <t>GENERAL SERVICE Less than 50 kW</t>
    </r>
    <r>
      <rPr>
        <u/>
        <sz val="10.199999999999999"/>
        <rFont val="Arial"/>
        <family val="2"/>
      </rPr>
      <t xml:space="preserve"> GS200</t>
    </r>
  </si>
  <si>
    <t>CC21</t>
  </si>
  <si>
    <t>RS21</t>
  </si>
  <si>
    <t>DS21</t>
  </si>
  <si>
    <t>DS21B</t>
  </si>
  <si>
    <t>RFGS501</t>
  </si>
  <si>
    <t>10.411503.RFGS501</t>
  </si>
  <si>
    <t>GADGL50</t>
  </si>
  <si>
    <t>10.400263.REFGS50</t>
  </si>
  <si>
    <t>DS21G</t>
  </si>
  <si>
    <t>RECGS50</t>
  </si>
  <si>
    <t>10.400263.RECGS50</t>
  </si>
  <si>
    <t>DS21F</t>
  </si>
  <si>
    <t>LVGS50</t>
  </si>
  <si>
    <t>10.400270.LVGS50</t>
  </si>
  <si>
    <t>TN21</t>
  </si>
  <si>
    <t>Retail Trans. - Network</t>
  </si>
  <si>
    <t>TC21</t>
  </si>
  <si>
    <t>Retail Trans. - Connection</t>
  </si>
  <si>
    <t>Do we not have separate bill factors for each rate class because the rates are the same</t>
  </si>
  <si>
    <t>USL (SMALL COMMERCIAL NO LONGER EXISTS EFFECTIVE FEB 1 2013)</t>
  </si>
  <si>
    <t>CC14U</t>
  </si>
  <si>
    <t>Monthly Service Charge (per connection)</t>
  </si>
  <si>
    <t>DS14</t>
  </si>
  <si>
    <t>DS14B</t>
  </si>
  <si>
    <t>RFSC1</t>
  </si>
  <si>
    <t>10.411210.RFSC1</t>
  </si>
  <si>
    <t>GADSMCOM</t>
  </si>
  <si>
    <t>10.400262.REFSC</t>
  </si>
  <si>
    <t>Description GA SMCOM; did we not create a new one for this</t>
  </si>
  <si>
    <t>DS14G</t>
  </si>
  <si>
    <t>RECSC</t>
  </si>
  <si>
    <t>10.400262.RECSC</t>
  </si>
  <si>
    <t>DS14F</t>
  </si>
  <si>
    <t>LVSC</t>
  </si>
  <si>
    <t>10.400270.LVSC</t>
  </si>
  <si>
    <t>TN14</t>
  </si>
  <si>
    <t>Description SMCOM; did we not create a new one for this</t>
  </si>
  <si>
    <t>TC14</t>
  </si>
  <si>
    <t>CC31</t>
  </si>
  <si>
    <t>DS31</t>
  </si>
  <si>
    <t>per kW</t>
  </si>
  <si>
    <t>DVR Non RPP Interval</t>
  </si>
  <si>
    <t>DVR Non RPP Non Interval</t>
  </si>
  <si>
    <t>DS31B</t>
  </si>
  <si>
    <t>RFGS0501</t>
  </si>
  <si>
    <t>10.411509.RFGS0501</t>
  </si>
  <si>
    <t>DS31D</t>
  </si>
  <si>
    <t>RFGS0503</t>
  </si>
  <si>
    <t>10.411509.RFGS0503</t>
  </si>
  <si>
    <t>LRAGS050</t>
  </si>
  <si>
    <t>10.411509.LRAGS050</t>
  </si>
  <si>
    <t>GADG50MST &amp; GADG50NMST</t>
  </si>
  <si>
    <t>10.400264.REFMIST &amp; 10.400264.REFNMIST</t>
  </si>
  <si>
    <t>DS31H</t>
  </si>
  <si>
    <t>RECMIST3  &amp;   RECNMIST3</t>
  </si>
  <si>
    <t>10.400264.RECMIST &amp; 10.400264.RECNMIST</t>
  </si>
  <si>
    <t>DS31HI</t>
  </si>
  <si>
    <t>DS31G</t>
  </si>
  <si>
    <t>LVGS050</t>
  </si>
  <si>
    <t>10.400270.LVGS050</t>
  </si>
  <si>
    <t>TN31</t>
  </si>
  <si>
    <t>TC31</t>
  </si>
  <si>
    <t>TA01</t>
  </si>
  <si>
    <t>Transformer Allowance</t>
  </si>
  <si>
    <t>GS400</t>
  </si>
  <si>
    <t>CC41</t>
  </si>
  <si>
    <t>DS41-I</t>
  </si>
  <si>
    <t>DS41B</t>
  </si>
  <si>
    <t>RFGS5001</t>
  </si>
  <si>
    <t>10.411744.RFGS5001</t>
  </si>
  <si>
    <t>DS41D</t>
  </si>
  <si>
    <t>RFGS5003</t>
  </si>
  <si>
    <t>10.411744.RFGS5003</t>
  </si>
  <si>
    <t>GADG500MST &amp; GADG500NMST</t>
  </si>
  <si>
    <t>10.400265.REFMIST &amp; 10.400265.REFNMIST</t>
  </si>
  <si>
    <t>DS41H</t>
  </si>
  <si>
    <t>RECMIST4/RECNMIST4</t>
  </si>
  <si>
    <t>10.400265.RECMIST &amp; 10.400265.RECNMIST</t>
  </si>
  <si>
    <t>DS41HI</t>
  </si>
  <si>
    <t>DS41G</t>
  </si>
  <si>
    <t>LVGS500</t>
  </si>
  <si>
    <t>10.400270.LVGS500</t>
  </si>
  <si>
    <t>TN41</t>
  </si>
  <si>
    <t xml:space="preserve">Retail Trans. - Network* </t>
  </si>
  <si>
    <t>TC41</t>
  </si>
  <si>
    <t xml:space="preserve">Retail Trans. - Connection* </t>
  </si>
  <si>
    <t>GENERAL SERVICE Large Use (&gt; 5000 kW)</t>
  </si>
  <si>
    <t>GS500</t>
  </si>
  <si>
    <t>CC51</t>
  </si>
  <si>
    <t>DS51</t>
  </si>
  <si>
    <t>DS51B</t>
  </si>
  <si>
    <t>RFLU1</t>
  </si>
  <si>
    <t>10.412010.RFLU1</t>
  </si>
  <si>
    <t>GADLU</t>
  </si>
  <si>
    <t>10.400266.REFACT</t>
  </si>
  <si>
    <t>DS51H</t>
  </si>
  <si>
    <t>RECACT</t>
  </si>
  <si>
    <t xml:space="preserve">10.400266.RECACT </t>
  </si>
  <si>
    <t>DS51G</t>
  </si>
  <si>
    <t>LVLU</t>
  </si>
  <si>
    <t>10.400270.LVLU</t>
  </si>
  <si>
    <t>TN51</t>
  </si>
  <si>
    <t>TC51</t>
  </si>
  <si>
    <t>STREET LIGHTING</t>
  </si>
  <si>
    <t>CC61</t>
  </si>
  <si>
    <t>Monthly Service Charge (per light)</t>
  </si>
  <si>
    <t>DS61</t>
  </si>
  <si>
    <t>DS61B</t>
  </si>
  <si>
    <t>DS61H</t>
  </si>
  <si>
    <t>DS61G</t>
  </si>
  <si>
    <t>TN61</t>
  </si>
  <si>
    <t>TC61</t>
  </si>
  <si>
    <t>*Identical rates for Interval metered Customers</t>
  </si>
  <si>
    <t>Abbreviations:</t>
  </si>
  <si>
    <t>Dist Vol Rate - Distribution Volumetric Rate</t>
  </si>
  <si>
    <t>Rate Class</t>
  </si>
  <si>
    <t>Residential RPP</t>
  </si>
  <si>
    <t>Loss Factor</t>
  </si>
  <si>
    <t>Consumption</t>
  </si>
  <si>
    <t xml:space="preserve"> kWh</t>
  </si>
  <si>
    <t>If Billed on a kW basis:</t>
  </si>
  <si>
    <t>Demand</t>
  </si>
  <si>
    <t>kW</t>
  </si>
  <si>
    <t>Current Board-Approved</t>
  </si>
  <si>
    <t>Impact</t>
  </si>
  <si>
    <t>Rate</t>
  </si>
  <si>
    <t>Volume</t>
  </si>
  <si>
    <t>Charge</t>
  </si>
  <si>
    <t>$ Change</t>
  </si>
  <si>
    <t>% Change</t>
  </si>
  <si>
    <t>($)</t>
  </si>
  <si>
    <t>Sub-Total A (excluding pass through)</t>
  </si>
  <si>
    <t>Line Losses on Cost of Power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</si>
  <si>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</si>
  <si>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</si>
  <si>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</si>
  <si>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</si>
  <si>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</si>
  <si>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</si>
  <si>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</si>
  <si>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</si>
  <si>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</si>
  <si>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</si>
  <si>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</si>
  <si>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</si>
  <si>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</si>
  <si>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</si>
  <si>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</si>
  <si>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</si>
  <si>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</si>
  <si>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</si>
  <si>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Residential Non-RPP</t>
  </si>
  <si>
    <t>kWh</t>
  </si>
  <si>
    <t>GENERAL SERVICE LESS THAN 50 KW</t>
  </si>
  <si>
    <t>GENERAL SERVICE LESS THAN 50 KW Non-RPP</t>
  </si>
  <si>
    <t>Unmetered Scattered Load- RPP</t>
  </si>
  <si>
    <t>Energy</t>
  </si>
  <si>
    <t>Unmetered Scattered Load- Non RPP</t>
  </si>
  <si>
    <t>General Service 50-499kW Non-RPP (Interval)</t>
  </si>
  <si>
    <t>General Service 500-4999kW Non-RPP (Interval)</t>
  </si>
  <si>
    <t>Large Use- Class A</t>
  </si>
  <si>
    <t>Street Light Non RPP</t>
  </si>
  <si>
    <t>Enersource Hydro Mississauga</t>
  </si>
  <si>
    <t>Summary of Bill Impacts - TOTAL BILL IMPACT</t>
  </si>
  <si>
    <t>$ Impact</t>
  </si>
  <si>
    <t>% Impact</t>
  </si>
  <si>
    <t xml:space="preserve">Residential </t>
  </si>
  <si>
    <t xml:space="preserve">RPP </t>
  </si>
  <si>
    <t>Average residential customer consuming 800kWh per month</t>
  </si>
  <si>
    <t>Non-RPP</t>
  </si>
  <si>
    <t>General Service &lt;50 kW</t>
  </si>
  <si>
    <t>Average GA&lt;50 customer consuming 2000kWh per month</t>
  </si>
  <si>
    <t>Umetered Scattered Load</t>
  </si>
  <si>
    <t>Average USL customer consuming 300kWh per month</t>
  </si>
  <si>
    <t>General Service 50-499 kW</t>
  </si>
  <si>
    <t>Average GS 50-499 customer consuming 230kW per month</t>
  </si>
  <si>
    <t>General Service 500-4999 kW</t>
  </si>
  <si>
    <t>Average GS 500-4999 customer consuming 2250kW per month</t>
  </si>
  <si>
    <t>Large Use</t>
  </si>
  <si>
    <t>Average large use customer consuming 5000kW per month</t>
  </si>
  <si>
    <t>Street Lighting</t>
  </si>
  <si>
    <t>Average Street Light customer consuming 0.1kW per month</t>
  </si>
  <si>
    <t>Non-RPP Interval</t>
  </si>
  <si>
    <t>Non-RPP Non Interval</t>
  </si>
  <si>
    <t>Class A</t>
  </si>
  <si>
    <t>Class B</t>
  </si>
  <si>
    <t>RPP TOU</t>
  </si>
  <si>
    <t xml:space="preserve">January 1, 2016
Rate
</t>
  </si>
  <si>
    <t>Schedule of Distribution Rates and Charges Including Rate Riders January 1, 2016</t>
  </si>
  <si>
    <t>Assume a 1.45% increase for monthly service charge and distribution volumetric rates</t>
  </si>
  <si>
    <t>January 1, 2015 vs January 1, 2016</t>
  </si>
  <si>
    <t xml:space="preserve">Notes:
1. Enersource filed its 2016 IRM application with the OEB on August xx (Case No. EB-2015-0068)
</t>
  </si>
  <si>
    <t>Total Variable Rate Riders</t>
  </si>
  <si>
    <t>Dist Vol Rate - DVA (2014) until Dec 31, 2016</t>
  </si>
  <si>
    <t>Dist Vol Rate - DVA (2014) until Dec 31, 2016 (Applicable only for Non-WMP)</t>
  </si>
  <si>
    <t>ICM Rate Rider - effective until Dec 31, 2016 (Fixed)</t>
  </si>
  <si>
    <t>GA Dist Vol Rate - Non RPP (2014) until Dec 31, 2016</t>
  </si>
  <si>
    <t>ICM Rate Rider - effective until Dec 31, 2016 (Volumetric)</t>
  </si>
  <si>
    <t>Dist Vol Rate - DVA (2014)  until Dec 31, 2016</t>
  </si>
  <si>
    <t>GA Dist Vol Rate - Non RPP (201x) until Dec 31, 2016 (Non Interval Metered)</t>
  </si>
  <si>
    <t>GA Dist Vol Rate - Non RPP (201x) until Dec 31, 2016 (Interval Metered)</t>
  </si>
  <si>
    <t>GA Dist Vol Rate - Non RPP (201x) until Dec 31, 2016 (Class A Customers)</t>
  </si>
  <si>
    <t>GA Dist Vol Rate - Non RPP (201x) until Dec 31, 2016 (Class B Customers)</t>
  </si>
  <si>
    <t>Rate Rider for Application of Tax Change (2015) – effective until Dec 31, 2016</t>
  </si>
  <si>
    <t xml:space="preserve">Ontario Electricity Support Program (OESP) </t>
  </si>
  <si>
    <t>Rate Rider for Application of Tax Change</t>
  </si>
  <si>
    <t>ICM Rate Rider (Fixed)</t>
  </si>
  <si>
    <t>ICM Rate Rider (Variable)</t>
  </si>
  <si>
    <t>Total Deferral/Variance Account Rate Riders</t>
  </si>
  <si>
    <r>
      <t xml:space="preserve">GENERAL SERVICE Other &gt; 50 kW (specify) 50 kW - 499 Kw </t>
    </r>
    <r>
      <rPr>
        <u/>
        <sz val="10.199999999999999"/>
        <rFont val="Arial"/>
        <family val="2"/>
      </rPr>
      <t>GS300</t>
    </r>
  </si>
  <si>
    <t>GENERAL SERVICE Other &gt; 50 kW (specify) 500 kW - 4999 kW</t>
  </si>
  <si>
    <t>DVA - Deferral and Variance Accounts</t>
  </si>
  <si>
    <t>Foregone Revenue - Base Distribution</t>
  </si>
  <si>
    <t>TBA</t>
  </si>
  <si>
    <t>Ontario Electricity Support Program Charge (OESP)</t>
  </si>
  <si>
    <t>Foregone Revenue Rate Rider</t>
  </si>
  <si>
    <t>RPP TOU (without foregone revenue rate rider)</t>
  </si>
  <si>
    <t xml:space="preserve">RPP TOU </t>
  </si>
  <si>
    <t>General Service 50-499kW Non-RPP (Non-Interval)</t>
  </si>
  <si>
    <t>General Service 500-4999kW Non-RPP (Non-Interval)</t>
  </si>
  <si>
    <t>Large Use- Class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</si>
</sst>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.0000"/>
    <numFmt numFmtId="166" formatCode="#,##0.00_ ;\-#,##0.00\ "/>
    <numFmt numFmtId="167" formatCode="#,##0.0000_);\(#,##0.0000\)"/>
    <numFmt numFmtId="168" formatCode="0.0000"/>
    <numFmt numFmtId="169" formatCode="0.000"/>
    <numFmt numFmtId="170" formatCode="#,##0.000000;\-#,##0.000000"/>
    <numFmt numFmtId="171" formatCode="_-&quot;$&quot;* #,##0.0000_-;\-&quot;$&quot;* #,##0.0000_-;_-&quot;$&quot;* &quot;-&quot;??_-;_-@_-"/>
    <numFmt numFmtId="172" formatCode="_(* #,##0.00_);_(* \(#,##0.00\);_(* &quot;-&quot;??_);_(@_)"/>
    <numFmt numFmtId="173" formatCode="#,##0.0000;\-#,##0.0000"/>
    <numFmt numFmtId="174" formatCode="_-* #,##0.0000_-;\-* #,##0.0000_-;_-* &quot;-&quot;??_-;_-@_-"/>
    <numFmt numFmtId="175" formatCode="_-* #,##0_-;\-* #,##0_-;_-* &quot;-&quot;??_-;_-@_-"/>
    <numFmt numFmtId="176" formatCode="_(* #,##0.0_);_(* \(#,##0.0\);_(* &quot;-&quot;??_);_(@_)"/>
    <numFmt numFmtId="177" formatCode="#,##0.0"/>
    <numFmt numFmtId="178" formatCode="mm/dd/yyyy"/>
    <numFmt numFmtId="179" formatCode="0\-0"/>
    <numFmt numFmtId="180" formatCode="_(* #,##0_);_(* \(#,##0\);_(* &quot;-&quot;_);_(@_)"/>
    <numFmt numFmtId="181" formatCode="_-&quot;$&quot;* #,##0_-;\-&quot;$&quot;* #,##0_-;_-&quot;$&quot;* &quot;-&quot;??_-;_-@_-"/>
    <numFmt numFmtId="182" formatCode="&quot;True&quot;;&quot;True&quot;;&quot;False&quot;"/>
    <numFmt numFmtId="183" formatCode="_(&quot;$&quot;* #,##0.00_);_(&quot;$&quot;* \(#,##0.00\);_(&quot;$&quot;* &quot;-&quot;??_);_(@_)"/>
    <numFmt numFmtId="184" formatCode="&quot;$&quot;#,##0_);\(&quot;$&quot;#,##0\)"/>
    <numFmt numFmtId="185" formatCode="0.0%"/>
    <numFmt numFmtId="186" formatCode="_(&quot;$&quot;* #,##0_);_(&quot;$&quot;* \(#,##0\);_(&quot;$&quot;* &quot;-&quot;??_);_(@_)"/>
    <numFmt numFmtId="187" formatCode="_(* #,##0_);_(* \(#,##0\);_(* &quot;-&quot;??_);_(@_)"/>
    <numFmt numFmtId="188" formatCode="&quot;$&quot;#,##0\ ;\(&quot;$&quot;#,##0\)"/>
    <numFmt numFmtId="189" formatCode="&quot;$&quot;#,##0.00_);[Red]\(&quot;$&quot;#,##0.00\)"/>
    <numFmt numFmtId="190" formatCode="&quot;$&quot;#,##0_);[Red]\(&quot;$&quot;#,##0\)"/>
    <numFmt numFmtId="191" formatCode="0.000%"/>
    <numFmt numFmtId="192" formatCode="&quot;£ &quot;#,##0.00;[Red]\-&quot;£ &quot;#,##0.00"/>
    <numFmt numFmtId="193" formatCode="_([$€-2]* #,##0.00_);_([$€-2]* \(#,##0.00\);_([$€-2]* &quot;-&quot;??_)"/>
    <numFmt numFmtId="194" formatCode="##\-#"/>
    <numFmt numFmtId="195" formatCode="#,##0.00000_ ;\-#,##0.00000\ "/>
    <numFmt numFmtId="196" formatCode="#,##0.000;\-#,##0.000"/>
  </numFmts>
  <fonts count="9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  <font>
      <u/>
      <sz val="10.199999999999999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i/>
      <vertAlign val="superscript"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24"/>
      <name val="Courier New"/>
      <family val="3"/>
    </font>
    <font>
      <sz val="10"/>
      <name val="MS Sans Serif"/>
      <family val="2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u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sz val="10"/>
      <name val="Helv"/>
    </font>
    <font>
      <sz val="11"/>
      <color indexed="8"/>
      <name val="Calibri"/>
      <family val="2"/>
      <scheme val="minor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99FF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</borders>
  <cellStyleXfs count="57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6" fontId="20" fillId="0" borderId="0"/>
    <xf numFmtId="176" fontId="20" fillId="0" borderId="0"/>
    <xf numFmtId="176" fontId="20" fillId="0" borderId="0"/>
    <xf numFmtId="177" fontId="20" fillId="0" borderId="0"/>
    <xf numFmtId="177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8" fontId="20" fillId="0" borderId="0"/>
    <xf numFmtId="178" fontId="20" fillId="0" borderId="0"/>
    <xf numFmtId="178" fontId="20" fillId="0" borderId="0"/>
    <xf numFmtId="179" fontId="20" fillId="0" borderId="0"/>
    <xf numFmtId="179" fontId="20" fillId="0" borderId="0"/>
    <xf numFmtId="179" fontId="20" fillId="0" borderId="0"/>
    <xf numFmtId="178" fontId="20" fillId="0" borderId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1" fillId="10" borderId="0" applyNumberFormat="0" applyBorder="0" applyAlignment="0" applyProtection="0"/>
    <xf numFmtId="0" fontId="45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1" fillId="14" borderId="0" applyNumberFormat="0" applyBorder="0" applyAlignment="0" applyProtection="0"/>
    <xf numFmtId="0" fontId="45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1" fillId="18" borderId="0" applyNumberFormat="0" applyBorder="0" applyAlignment="0" applyProtection="0"/>
    <xf numFmtId="0" fontId="4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1" fillId="22" borderId="0" applyNumberFormat="0" applyBorder="0" applyAlignment="0" applyProtection="0"/>
    <xf numFmtId="0" fontId="45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1" fillId="26" borderId="0" applyNumberFormat="0" applyBorder="0" applyAlignment="0" applyProtection="0"/>
    <xf numFmtId="0" fontId="45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1" fillId="30" borderId="0" applyNumberFormat="0" applyBorder="0" applyAlignment="0" applyProtection="0"/>
    <xf numFmtId="0" fontId="45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" fillId="11" borderId="0" applyNumberFormat="0" applyBorder="0" applyAlignment="0" applyProtection="0"/>
    <xf numFmtId="0" fontId="45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" fillId="15" borderId="0" applyNumberFormat="0" applyBorder="0" applyAlignment="0" applyProtection="0"/>
    <xf numFmtId="0" fontId="45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1" fillId="19" borderId="0" applyNumberFormat="0" applyBorder="0" applyAlignment="0" applyProtection="0"/>
    <xf numFmtId="0" fontId="45" fillId="50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1" fillId="23" borderId="0" applyNumberFormat="0" applyBorder="0" applyAlignment="0" applyProtection="0"/>
    <xf numFmtId="0" fontId="45" fillId="45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1" fillId="27" borderId="0" applyNumberFormat="0" applyBorder="0" applyAlignment="0" applyProtection="0"/>
    <xf numFmtId="0" fontId="45" fillId="48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1" fillId="31" borderId="0" applyNumberFormat="0" applyBorder="0" applyAlignment="0" applyProtection="0"/>
    <xf numFmtId="0" fontId="45" fillId="51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17" fillId="12" borderId="0" applyNumberFormat="0" applyBorder="0" applyAlignment="0" applyProtection="0"/>
    <xf numFmtId="0" fontId="47" fillId="52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7" fillId="16" borderId="0" applyNumberFormat="0" applyBorder="0" applyAlignment="0" applyProtection="0"/>
    <xf numFmtId="0" fontId="47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17" fillId="20" borderId="0" applyNumberFormat="0" applyBorder="0" applyAlignment="0" applyProtection="0"/>
    <xf numFmtId="0" fontId="47" fillId="50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17" fillId="24" borderId="0" applyNumberFormat="0" applyBorder="0" applyAlignment="0" applyProtection="0"/>
    <xf numFmtId="0" fontId="47" fillId="53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17" fillId="28" borderId="0" applyNumberFormat="0" applyBorder="0" applyAlignment="0" applyProtection="0"/>
    <xf numFmtId="0" fontId="47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17" fillId="32" borderId="0" applyNumberFormat="0" applyBorder="0" applyAlignment="0" applyProtection="0"/>
    <xf numFmtId="0" fontId="47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17" fillId="9" borderId="0" applyNumberFormat="0" applyBorder="0" applyAlignment="0" applyProtection="0"/>
    <xf numFmtId="0" fontId="47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17" fillId="13" borderId="0" applyNumberFormat="0" applyBorder="0" applyAlignment="0" applyProtection="0"/>
    <xf numFmtId="0" fontId="47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17" fillId="17" borderId="0" applyNumberFormat="0" applyBorder="0" applyAlignment="0" applyProtection="0"/>
    <xf numFmtId="0" fontId="47" fillId="58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17" fillId="21" borderId="0" applyNumberFormat="0" applyBorder="0" applyAlignment="0" applyProtection="0"/>
    <xf numFmtId="0" fontId="47" fillId="53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17" fillId="25" borderId="0" applyNumberFormat="0" applyBorder="0" applyAlignment="0" applyProtection="0"/>
    <xf numFmtId="0" fontId="47" fillId="54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17" fillId="29" borderId="0" applyNumberFormat="0" applyBorder="0" applyAlignment="0" applyProtection="0"/>
    <xf numFmtId="0" fontId="47" fillId="59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7" fillId="3" borderId="0" applyNumberFormat="0" applyBorder="0" applyAlignment="0" applyProtection="0"/>
    <xf numFmtId="0" fontId="49" fillId="43" borderId="0" applyNumberFormat="0" applyBorder="0" applyAlignment="0" applyProtection="0"/>
    <xf numFmtId="0" fontId="50" fillId="60" borderId="51" applyNumberFormat="0" applyAlignment="0" applyProtection="0"/>
    <xf numFmtId="0" fontId="50" fillId="60" borderId="51" applyNumberFormat="0" applyAlignment="0" applyProtection="0"/>
    <xf numFmtId="0" fontId="50" fillId="60" borderId="51" applyNumberFormat="0" applyAlignment="0" applyProtection="0"/>
    <xf numFmtId="0" fontId="11" fillId="6" borderId="4" applyNumberFormat="0" applyAlignment="0" applyProtection="0"/>
    <xf numFmtId="0" fontId="51" fillId="60" borderId="51" applyNumberFormat="0" applyAlignment="0" applyProtection="0"/>
    <xf numFmtId="0" fontId="51" fillId="60" borderId="51" applyNumberFormat="0" applyAlignment="0" applyProtection="0"/>
    <xf numFmtId="0" fontId="52" fillId="61" borderId="52" applyNumberFormat="0" applyAlignment="0" applyProtection="0"/>
    <xf numFmtId="0" fontId="52" fillId="61" borderId="52" applyNumberFormat="0" applyAlignment="0" applyProtection="0"/>
    <xf numFmtId="0" fontId="13" fillId="7" borderId="7" applyNumberFormat="0" applyAlignment="0" applyProtection="0"/>
    <xf numFmtId="0" fontId="53" fillId="61" borderId="52" applyNumberFormat="0" applyAlignment="0" applyProtection="0"/>
    <xf numFmtId="180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1" fontId="55" fillId="0" borderId="0" applyFont="0" applyFill="0" applyBorder="0" applyAlignment="0" applyProtection="0"/>
    <xf numFmtId="43" fontId="20" fillId="0" borderId="0" applyFont="0" applyFill="0" applyBorder="0" applyAlignment="0" applyProtection="0"/>
    <xf numFmtId="182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5" fillId="0" borderId="0" applyFont="0" applyFill="0" applyBorder="0" applyAlignment="0" applyProtection="0"/>
    <xf numFmtId="167" fontId="54" fillId="0" borderId="0" applyFont="0" applyFill="0" applyBorder="0" applyAlignment="0" applyProtection="0"/>
    <xf numFmtId="180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180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172" fontId="55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55" fillId="0" borderId="0" applyFont="0" applyFill="0" applyBorder="0" applyAlignment="0" applyProtection="0"/>
    <xf numFmtId="172" fontId="20" fillId="0" borderId="0" applyFont="0" applyFill="0" applyBorder="0" applyAlignment="0" applyProtection="0"/>
    <xf numFmtId="5" fontId="54" fillId="0" borderId="0" applyFont="0" applyFill="0" applyBorder="0" applyAlignment="0" applyProtection="0"/>
    <xf numFmtId="172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172" fontId="2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186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185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86" fontId="54" fillId="0" borderId="0" applyFont="0" applyFill="0" applyBorder="0" applyAlignment="0" applyProtection="0"/>
    <xf numFmtId="186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18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56" fillId="0" borderId="0" applyFont="0" applyFill="0" applyBorder="0" applyAlignment="0" applyProtection="0"/>
    <xf numFmtId="44" fontId="2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20" fillId="0" borderId="0" applyFont="0" applyFill="0" applyBorder="0" applyAlignment="0" applyProtection="0"/>
    <xf numFmtId="189" fontId="57" fillId="0" borderId="0" applyFont="0" applyFill="0" applyBorder="0" applyAlignment="0" applyProtection="0"/>
    <xf numFmtId="183" fontId="20" fillId="0" borderId="0" applyFont="0" applyFill="0" applyBorder="0" applyAlignment="0" applyProtection="0"/>
    <xf numFmtId="189" fontId="57" fillId="0" borderId="0" applyFont="0" applyFill="0" applyBorder="0" applyAlignment="0" applyProtection="0"/>
    <xf numFmtId="190" fontId="55" fillId="0" borderId="0" applyFont="0" applyFill="0" applyBorder="0" applyAlignment="0" applyProtection="0"/>
    <xf numFmtId="183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5" fontId="55" fillId="0" borderId="0" applyFont="0" applyFill="0" applyBorder="0" applyAlignment="0" applyProtection="0"/>
    <xf numFmtId="17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4" fontId="54" fillId="0" borderId="0" applyFont="0" applyFill="0" applyBorder="0" applyAlignment="0" applyProtection="0"/>
    <xf numFmtId="44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4" fontId="54" fillId="0" borderId="0" applyFont="0" applyFill="0" applyBorder="0" applyAlignment="0" applyProtection="0"/>
    <xf numFmtId="184" fontId="54" fillId="0" borderId="0" applyFont="0" applyFill="0" applyBorder="0" applyAlignment="0" applyProtection="0"/>
    <xf numFmtId="180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8" fontId="56" fillId="0" borderId="0" applyFont="0" applyFill="0" applyBorder="0" applyAlignment="0" applyProtection="0"/>
    <xf numFmtId="4" fontId="58" fillId="0" borderId="0"/>
    <xf numFmtId="14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0" fontId="56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56" fillId="0" borderId="0" applyFont="0" applyFill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" fillId="2" borderId="0" applyNumberFormat="0" applyBorder="0" applyAlignment="0" applyProtection="0"/>
    <xf numFmtId="0" fontId="62" fillId="44" borderId="0" applyNumberFormat="0" applyBorder="0" applyAlignment="0" applyProtection="0"/>
    <xf numFmtId="38" fontId="63" fillId="62" borderId="0" applyNumberFormat="0" applyBorder="0" applyAlignment="0" applyProtection="0"/>
    <xf numFmtId="38" fontId="63" fillId="62" borderId="0" applyNumberFormat="0" applyBorder="0" applyAlignment="0" applyProtection="0"/>
    <xf numFmtId="0" fontId="64" fillId="0" borderId="0"/>
    <xf numFmtId="0" fontId="23" fillId="0" borderId="16" applyNumberFormat="0" applyAlignment="0" applyProtection="0">
      <alignment horizontal="left" vertical="center"/>
    </xf>
    <xf numFmtId="0" fontId="23" fillId="0" borderId="24">
      <alignment horizontal="left" vertical="center"/>
    </xf>
    <xf numFmtId="0" fontId="23" fillId="0" borderId="24">
      <alignment horizontal="left" vertical="center"/>
    </xf>
    <xf numFmtId="0" fontId="23" fillId="0" borderId="24">
      <alignment horizontal="left" vertical="center"/>
    </xf>
    <xf numFmtId="0" fontId="23" fillId="0" borderId="24">
      <alignment horizontal="left" vertical="center"/>
    </xf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66" fillId="0" borderId="53" applyNumberFormat="0" applyFill="0" applyAlignment="0" applyProtection="0"/>
    <xf numFmtId="0" fontId="65" fillId="0" borderId="0" applyNumberFormat="0" applyFont="0" applyFill="0" applyAlignment="0" applyProtection="0"/>
    <xf numFmtId="0" fontId="3" fillId="0" borderId="1" applyNumberFormat="0" applyFill="0" applyAlignment="0" applyProtection="0"/>
    <xf numFmtId="0" fontId="67" fillId="0" borderId="0" applyNumberFormat="0" applyFill="0" applyBorder="0" applyAlignment="0" applyProtection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65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68" fillId="0" borderId="54" applyNumberFormat="0" applyFill="0" applyAlignment="0" applyProtection="0"/>
    <xf numFmtId="0" fontId="23" fillId="0" borderId="0" applyNumberFormat="0" applyFont="0" applyFill="0" applyAlignment="0" applyProtection="0"/>
    <xf numFmtId="0" fontId="4" fillId="0" borderId="2" applyNumberForma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69" fillId="0" borderId="0" applyNumberFormat="0" applyFill="0" applyBorder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5" fillId="0" borderId="3" applyNumberFormat="0" applyFill="0" applyAlignment="0" applyProtection="0"/>
    <xf numFmtId="0" fontId="71" fillId="0" borderId="55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10" fontId="63" fillId="63" borderId="23" applyNumberFormat="0" applyBorder="0" applyAlignment="0" applyProtection="0"/>
    <xf numFmtId="10" fontId="63" fillId="63" borderId="23" applyNumberFormat="0" applyBorder="0" applyAlignment="0" applyProtection="0"/>
    <xf numFmtId="10" fontId="63" fillId="63" borderId="23" applyNumberFormat="0" applyBorder="0" applyAlignment="0" applyProtection="0"/>
    <xf numFmtId="10" fontId="63" fillId="63" borderId="23" applyNumberFormat="0" applyBorder="0" applyAlignment="0" applyProtection="0"/>
    <xf numFmtId="0" fontId="73" fillId="47" borderId="51" applyNumberFormat="0" applyAlignment="0" applyProtection="0"/>
    <xf numFmtId="0" fontId="73" fillId="47" borderId="51" applyNumberFormat="0" applyAlignment="0" applyProtection="0"/>
    <xf numFmtId="0" fontId="73" fillId="47" borderId="51" applyNumberFormat="0" applyAlignment="0" applyProtection="0"/>
    <xf numFmtId="0" fontId="9" fillId="5" borderId="4" applyNumberFormat="0" applyAlignment="0" applyProtection="0"/>
    <xf numFmtId="0" fontId="74" fillId="47" borderId="51" applyNumberFormat="0" applyAlignment="0" applyProtection="0"/>
    <xf numFmtId="0" fontId="74" fillId="47" borderId="51" applyNumberFormat="0" applyAlignment="0" applyProtection="0"/>
    <xf numFmtId="0" fontId="73" fillId="47" borderId="51" applyNumberFormat="0" applyAlignment="0" applyProtection="0"/>
    <xf numFmtId="0" fontId="75" fillId="0" borderId="56" applyNumberFormat="0" applyFill="0" applyAlignment="0" applyProtection="0"/>
    <xf numFmtId="0" fontId="75" fillId="0" borderId="56" applyNumberFormat="0" applyFill="0" applyAlignment="0" applyProtection="0"/>
    <xf numFmtId="0" fontId="12" fillId="0" borderId="6" applyNumberFormat="0" applyFill="0" applyAlignment="0" applyProtection="0"/>
    <xf numFmtId="0" fontId="76" fillId="0" borderId="56" applyNumberFormat="0" applyFill="0" applyAlignment="0" applyProtection="0"/>
    <xf numFmtId="194" fontId="20" fillId="0" borderId="0"/>
    <xf numFmtId="194" fontId="20" fillId="0" borderId="0"/>
    <xf numFmtId="194" fontId="20" fillId="0" borderId="0"/>
    <xf numFmtId="187" fontId="20" fillId="0" borderId="0"/>
    <xf numFmtId="187" fontId="20" fillId="0" borderId="0"/>
    <xf numFmtId="187" fontId="20" fillId="0" borderId="0"/>
    <xf numFmtId="194" fontId="20" fillId="0" borderId="0"/>
    <xf numFmtId="194" fontId="20" fillId="0" borderId="0"/>
    <xf numFmtId="194" fontId="20" fillId="0" borderId="0"/>
    <xf numFmtId="194" fontId="20" fillId="0" borderId="0"/>
    <xf numFmtId="194" fontId="20" fillId="0" borderId="0"/>
    <xf numFmtId="194" fontId="20" fillId="0" borderId="0"/>
    <xf numFmtId="194" fontId="20" fillId="0" borderId="0"/>
    <xf numFmtId="194" fontId="20" fillId="0" borderId="0"/>
    <xf numFmtId="194" fontId="20" fillId="0" borderId="0"/>
    <xf numFmtId="194" fontId="20" fillId="0" borderId="0"/>
    <xf numFmtId="194" fontId="20" fillId="0" borderId="0"/>
    <xf numFmtId="194" fontId="20" fillId="0" borderId="0"/>
    <xf numFmtId="194" fontId="20" fillId="0" borderId="0"/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8" fillId="4" borderId="0" applyNumberFormat="0" applyBorder="0" applyAlignment="0" applyProtection="0"/>
    <xf numFmtId="0" fontId="78" fillId="64" borderId="0" applyNumberFormat="0" applyBorder="0" applyAlignment="0" applyProtection="0"/>
    <xf numFmtId="192" fontId="20" fillId="0" borderId="0"/>
    <xf numFmtId="0" fontId="20" fillId="0" borderId="0"/>
    <xf numFmtId="0" fontId="20" fillId="0" borderId="0"/>
    <xf numFmtId="192" fontId="20" fillId="0" borderId="0"/>
    <xf numFmtId="192" fontId="20" fillId="0" borderId="0"/>
    <xf numFmtId="192" fontId="20" fillId="0" borderId="0"/>
    <xf numFmtId="0" fontId="20" fillId="0" borderId="0"/>
    <xf numFmtId="192" fontId="20" fillId="0" borderId="0"/>
    <xf numFmtId="192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79" fillId="0" borderId="0"/>
    <xf numFmtId="0" fontId="79" fillId="0" borderId="0"/>
    <xf numFmtId="0" fontId="55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58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20" fillId="0" borderId="0"/>
    <xf numFmtId="0" fontId="54" fillId="0" borderId="0"/>
    <xf numFmtId="0" fontId="54" fillId="0" borderId="0"/>
    <xf numFmtId="0" fontId="1" fillId="0" borderId="0"/>
    <xf numFmtId="0" fontId="20" fillId="0" borderId="0"/>
    <xf numFmtId="0" fontId="54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8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65" borderId="57" applyNumberFormat="0" applyFont="0" applyAlignment="0" applyProtection="0"/>
    <xf numFmtId="0" fontId="20" fillId="65" borderId="57" applyNumberFormat="0" applyFont="0" applyAlignment="0" applyProtection="0"/>
    <xf numFmtId="0" fontId="20" fillId="65" borderId="57" applyNumberFormat="0" applyFont="0" applyAlignment="0" applyProtection="0"/>
    <xf numFmtId="0" fontId="1" fillId="8" borderId="8" applyNumberFormat="0" applyFont="0" applyAlignment="0" applyProtection="0"/>
    <xf numFmtId="0" fontId="58" fillId="65" borderId="57" applyNumberFormat="0" applyFont="0" applyAlignment="0" applyProtection="0"/>
    <xf numFmtId="0" fontId="81" fillId="60" borderId="58" applyNumberFormat="0" applyAlignment="0" applyProtection="0"/>
    <xf numFmtId="0" fontId="81" fillId="60" borderId="58" applyNumberFormat="0" applyAlignment="0" applyProtection="0"/>
    <xf numFmtId="0" fontId="81" fillId="60" borderId="58" applyNumberFormat="0" applyAlignment="0" applyProtection="0"/>
    <xf numFmtId="0" fontId="10" fillId="6" borderId="5" applyNumberFormat="0" applyAlignment="0" applyProtection="0"/>
    <xf numFmtId="0" fontId="82" fillId="60" borderId="58" applyNumberFormat="0" applyAlignment="0" applyProtection="0"/>
    <xf numFmtId="0" fontId="52" fillId="66" borderId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20" fillId="36" borderId="23" applyNumberFormat="0" applyProtection="0">
      <alignment horizontal="left" vertical="center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0" fontId="20" fillId="0" borderId="59" applyNumberFormat="0" applyFont="0" applyBorder="0" applyAlignment="0" applyProtection="0"/>
    <xf numFmtId="0" fontId="16" fillId="0" borderId="9" applyNumberFormat="0" applyFill="0" applyAlignment="0" applyProtection="0"/>
    <xf numFmtId="0" fontId="56" fillId="0" borderId="61" applyNumberFormat="0" applyFont="0" applyFill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20" fillId="0" borderId="59" applyNumberFormat="0" applyFont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42">
    <xf numFmtId="0" fontId="0" fillId="0" borderId="0" xfId="0"/>
    <xf numFmtId="0" fontId="19" fillId="0" borderId="0" xfId="3" applyFont="1" applyFill="1" applyBorder="1" applyAlignment="1" applyProtection="1">
      <alignment horizontal="center" vertical="center"/>
    </xf>
    <xf numFmtId="0" fontId="22" fillId="0" borderId="0" xfId="4" applyFont="1" applyFill="1"/>
    <xf numFmtId="0" fontId="23" fillId="0" borderId="0" xfId="4" applyFont="1" applyFill="1"/>
    <xf numFmtId="0" fontId="24" fillId="0" borderId="0" xfId="4" applyFont="1" applyFill="1"/>
    <xf numFmtId="0" fontId="20" fillId="0" borderId="0" xfId="4" applyFont="1" applyFill="1"/>
    <xf numFmtId="0" fontId="20" fillId="33" borderId="0" xfId="4" applyFont="1" applyFill="1" applyAlignment="1">
      <alignment horizontal="center"/>
    </xf>
    <xf numFmtId="0" fontId="20" fillId="0" borderId="0" xfId="4" applyFont="1"/>
    <xf numFmtId="0" fontId="20" fillId="0" borderId="0" xfId="4" applyFont="1" applyFill="1" applyBorder="1" applyProtection="1"/>
    <xf numFmtId="0" fontId="20" fillId="0" borderId="0" xfId="4" applyFont="1" applyFill="1" applyBorder="1" applyAlignment="1">
      <alignment vertical="center"/>
    </xf>
    <xf numFmtId="0" fontId="23" fillId="35" borderId="13" xfId="4" applyFont="1" applyFill="1" applyBorder="1" applyAlignment="1">
      <alignment horizontal="center" vertical="center" wrapText="1"/>
    </xf>
    <xf numFmtId="0" fontId="23" fillId="0" borderId="14" xfId="4" applyFont="1" applyFill="1" applyBorder="1" applyAlignment="1">
      <alignment horizontal="center" vertical="center" wrapText="1"/>
    </xf>
    <xf numFmtId="0" fontId="23" fillId="0" borderId="15" xfId="4" applyFont="1" applyFill="1" applyBorder="1" applyAlignment="1">
      <alignment horizontal="center" vertical="center" wrapText="1"/>
    </xf>
    <xf numFmtId="0" fontId="23" fillId="0" borderId="16" xfId="4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vertical="center" wrapText="1"/>
    </xf>
    <xf numFmtId="0" fontId="23" fillId="0" borderId="19" xfId="4" applyFont="1" applyFill="1" applyBorder="1" applyAlignment="1">
      <alignment horizontal="center" vertical="center" wrapText="1"/>
    </xf>
    <xf numFmtId="0" fontId="20" fillId="0" borderId="0" xfId="4" applyFont="1" applyAlignment="1">
      <alignment vertical="center" wrapText="1"/>
    </xf>
    <xf numFmtId="0" fontId="24" fillId="0" borderId="20" xfId="4" applyFont="1" applyFill="1" applyBorder="1" applyAlignment="1">
      <alignment vertical="center" wrapText="1"/>
    </xf>
    <xf numFmtId="0" fontId="24" fillId="0" borderId="21" xfId="4" applyFont="1" applyFill="1" applyBorder="1" applyAlignment="1">
      <alignment vertical="center" wrapText="1"/>
    </xf>
    <xf numFmtId="0" fontId="24" fillId="0" borderId="0" xfId="4" applyFont="1" applyFill="1" applyBorder="1" applyAlignment="1">
      <alignment vertical="center" wrapText="1"/>
    </xf>
    <xf numFmtId="0" fontId="20" fillId="0" borderId="22" xfId="4" applyFont="1" applyFill="1" applyBorder="1"/>
    <xf numFmtId="0" fontId="20" fillId="0" borderId="23" xfId="4" applyFont="1" applyFill="1" applyBorder="1"/>
    <xf numFmtId="0" fontId="20" fillId="0" borderId="24" xfId="4" applyFont="1" applyFill="1" applyBorder="1"/>
    <xf numFmtId="0" fontId="24" fillId="0" borderId="25" xfId="4" quotePrefix="1" applyFont="1" applyFill="1" applyBorder="1" applyAlignment="1">
      <alignment horizontal="center"/>
    </xf>
    <xf numFmtId="0" fontId="24" fillId="0" borderId="20" xfId="4" applyFont="1" applyFill="1" applyBorder="1"/>
    <xf numFmtId="0" fontId="24" fillId="0" borderId="21" xfId="4" applyFont="1" applyFill="1" applyBorder="1"/>
    <xf numFmtId="0" fontId="24" fillId="0" borderId="0" xfId="4" applyFont="1" applyFill="1" applyBorder="1"/>
    <xf numFmtId="0" fontId="24" fillId="0" borderId="19" xfId="4" applyFont="1" applyFill="1" applyBorder="1" applyAlignment="1">
      <alignment horizontal="center"/>
    </xf>
    <xf numFmtId="0" fontId="27" fillId="0" borderId="0" xfId="4" applyFont="1" applyFill="1"/>
    <xf numFmtId="3" fontId="27" fillId="0" borderId="0" xfId="4" applyNumberFormat="1" applyFont="1" applyFill="1"/>
    <xf numFmtId="0" fontId="24" fillId="36" borderId="22" xfId="4" applyFont="1" applyFill="1" applyBorder="1" applyAlignment="1">
      <alignment horizontal="center" vertical="center" wrapText="1"/>
    </xf>
    <xf numFmtId="0" fontId="24" fillId="36" borderId="23" xfId="4" applyFont="1" applyFill="1" applyBorder="1" applyAlignment="1">
      <alignment horizontal="center" vertical="center" wrapText="1"/>
    </xf>
    <xf numFmtId="0" fontId="24" fillId="36" borderId="24" xfId="4" applyFont="1" applyFill="1" applyBorder="1" applyAlignment="1">
      <alignment horizontal="center" vertical="center" wrapText="1"/>
    </xf>
    <xf numFmtId="0" fontId="24" fillId="0" borderId="19" xfId="4" applyFont="1" applyFill="1" applyBorder="1" applyAlignment="1">
      <alignment horizontal="center" vertical="center" wrapText="1"/>
    </xf>
    <xf numFmtId="0" fontId="24" fillId="0" borderId="0" xfId="4" applyFont="1"/>
    <xf numFmtId="0" fontId="24" fillId="0" borderId="23" xfId="4" applyFont="1" applyFill="1" applyBorder="1" applyAlignment="1">
      <alignment horizontal="center" vertical="center" wrapText="1"/>
    </xf>
    <xf numFmtId="0" fontId="28" fillId="0" borderId="0" xfId="4" applyFont="1"/>
    <xf numFmtId="0" fontId="20" fillId="0" borderId="0" xfId="4" applyFont="1" applyFill="1" applyBorder="1"/>
    <xf numFmtId="0" fontId="29" fillId="0" borderId="26" xfId="4" applyFont="1" applyFill="1" applyBorder="1" applyAlignment="1">
      <alignment horizontal="left" wrapText="1"/>
    </xf>
    <xf numFmtId="0" fontId="31" fillId="0" borderId="27" xfId="4" applyFont="1" applyFill="1" applyBorder="1" applyAlignment="1">
      <alignment horizontal="left"/>
    </xf>
    <xf numFmtId="0" fontId="20" fillId="0" borderId="28" xfId="4" applyFont="1" applyFill="1" applyBorder="1"/>
    <xf numFmtId="0" fontId="20" fillId="0" borderId="29" xfId="4" applyFont="1" applyFill="1" applyBorder="1"/>
    <xf numFmtId="0" fontId="24" fillId="0" borderId="30" xfId="4" applyFont="1" applyFill="1" applyBorder="1" applyAlignment="1">
      <alignment horizontal="center"/>
    </xf>
    <xf numFmtId="0" fontId="24" fillId="0" borderId="29" xfId="4" applyFont="1" applyFill="1" applyBorder="1"/>
    <xf numFmtId="0" fontId="24" fillId="0" borderId="30" xfId="4" applyFont="1" applyFill="1" applyBorder="1"/>
    <xf numFmtId="0" fontId="24" fillId="0" borderId="28" xfId="4" applyFont="1" applyFill="1" applyBorder="1"/>
    <xf numFmtId="0" fontId="24" fillId="0" borderId="31" xfId="4" applyFont="1" applyFill="1" applyBorder="1"/>
    <xf numFmtId="0" fontId="32" fillId="0" borderId="20" xfId="4" applyFont="1" applyFill="1" applyBorder="1" applyAlignment="1">
      <alignment wrapText="1"/>
    </xf>
    <xf numFmtId="0" fontId="24" fillId="0" borderId="32" xfId="4" applyFont="1" applyFill="1" applyBorder="1"/>
    <xf numFmtId="164" fontId="24" fillId="0" borderId="0" xfId="4" applyNumberFormat="1" applyFont="1" applyFill="1" applyBorder="1"/>
    <xf numFmtId="165" fontId="24" fillId="0" borderId="33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39" fontId="23" fillId="0" borderId="0" xfId="4" applyNumberFormat="1" applyFont="1" applyFill="1" applyBorder="1" applyAlignment="1">
      <alignment horizontal="center"/>
    </xf>
    <xf numFmtId="39" fontId="23" fillId="0" borderId="33" xfId="4" applyNumberFormat="1" applyFont="1" applyFill="1" applyBorder="1" applyAlignment="1">
      <alignment horizontal="center"/>
    </xf>
    <xf numFmtId="39" fontId="23" fillId="0" borderId="21" xfId="4" applyNumberFormat="1" applyFont="1" applyFill="1" applyBorder="1" applyAlignment="1">
      <alignment horizontal="center"/>
    </xf>
    <xf numFmtId="0" fontId="24" fillId="0" borderId="34" xfId="4" applyFont="1" applyFill="1" applyBorder="1"/>
    <xf numFmtId="166" fontId="24" fillId="0" borderId="0" xfId="4" applyNumberFormat="1" applyFont="1" applyFill="1" applyBorder="1"/>
    <xf numFmtId="166" fontId="20" fillId="0" borderId="0" xfId="4" applyNumberFormat="1" applyFont="1" applyFill="1" applyBorder="1"/>
    <xf numFmtId="0" fontId="33" fillId="0" borderId="20" xfId="4" applyFont="1" applyFill="1" applyBorder="1" applyAlignment="1">
      <alignment wrapText="1"/>
    </xf>
    <xf numFmtId="39" fontId="24" fillId="0" borderId="0" xfId="4" applyNumberFormat="1" applyFont="1" applyFill="1" applyBorder="1" applyAlignment="1">
      <alignment horizontal="center"/>
    </xf>
    <xf numFmtId="0" fontId="23" fillId="0" borderId="33" xfId="4" applyFont="1" applyFill="1" applyBorder="1" applyAlignment="1">
      <alignment horizontal="center"/>
    </xf>
    <xf numFmtId="0" fontId="23" fillId="0" borderId="21" xfId="4" quotePrefix="1" applyFont="1" applyFill="1" applyBorder="1" applyAlignment="1">
      <alignment horizontal="center"/>
    </xf>
    <xf numFmtId="2" fontId="20" fillId="0" borderId="0" xfId="4" applyNumberFormat="1" applyFont="1" applyFill="1"/>
    <xf numFmtId="167" fontId="24" fillId="0" borderId="21" xfId="4" applyNumberFormat="1" applyFont="1" applyFill="1" applyBorder="1" applyAlignment="1">
      <alignment horizontal="center"/>
    </xf>
    <xf numFmtId="167" fontId="24" fillId="0" borderId="0" xfId="4" applyNumberFormat="1" applyFont="1" applyFill="1" applyBorder="1" applyAlignment="1">
      <alignment horizontal="center"/>
    </xf>
    <xf numFmtId="167" fontId="24" fillId="0" borderId="33" xfId="4" applyNumberFormat="1" applyFont="1" applyFill="1" applyBorder="1" applyAlignment="1">
      <alignment horizontal="center"/>
    </xf>
    <xf numFmtId="167" fontId="24" fillId="0" borderId="0" xfId="4" applyNumberFormat="1" applyFont="1" applyFill="1" applyBorder="1" applyAlignment="1">
      <alignment horizontal="left"/>
    </xf>
    <xf numFmtId="0" fontId="23" fillId="0" borderId="21" xfId="4" applyFont="1" applyFill="1" applyBorder="1" applyAlignment="1">
      <alignment horizontal="center"/>
    </xf>
    <xf numFmtId="0" fontId="23" fillId="0" borderId="0" xfId="4" applyFont="1" applyFill="1" applyBorder="1" applyAlignment="1">
      <alignment horizontal="center"/>
    </xf>
    <xf numFmtId="0" fontId="23" fillId="0" borderId="34" xfId="4" applyFont="1" applyFill="1" applyBorder="1" applyAlignment="1">
      <alignment horizontal="center"/>
    </xf>
    <xf numFmtId="168" fontId="24" fillId="0" borderId="21" xfId="4" applyNumberFormat="1" applyFont="1" applyFill="1" applyBorder="1" applyAlignment="1">
      <alignment horizontal="center"/>
    </xf>
    <xf numFmtId="168" fontId="24" fillId="0" borderId="0" xfId="4" applyNumberFormat="1" applyFont="1" applyFill="1" applyBorder="1" applyAlignment="1">
      <alignment horizontal="center"/>
    </xf>
    <xf numFmtId="168" fontId="24" fillId="0" borderId="33" xfId="4" applyNumberFormat="1" applyFont="1" applyFill="1" applyBorder="1" applyAlignment="1">
      <alignment horizontal="center"/>
    </xf>
    <xf numFmtId="164" fontId="24" fillId="0" borderId="33" xfId="4" applyNumberFormat="1" applyFont="1" applyFill="1" applyBorder="1"/>
    <xf numFmtId="2" fontId="24" fillId="0" borderId="21" xfId="4" applyNumberFormat="1" applyFont="1" applyFill="1" applyBorder="1" applyAlignment="1">
      <alignment horizontal="center"/>
    </xf>
    <xf numFmtId="2" fontId="24" fillId="0" borderId="0" xfId="4" applyNumberFormat="1" applyFont="1" applyFill="1" applyBorder="1" applyAlignment="1">
      <alignment horizontal="center"/>
    </xf>
    <xf numFmtId="2" fontId="24" fillId="0" borderId="33" xfId="4" applyNumberFormat="1" applyFont="1" applyFill="1" applyBorder="1" applyAlignment="1">
      <alignment horizontal="center"/>
    </xf>
    <xf numFmtId="165" fontId="24" fillId="0" borderId="35" xfId="4" applyNumberFormat="1" applyFont="1" applyFill="1" applyBorder="1" applyAlignment="1">
      <alignment horizontal="center"/>
    </xf>
    <xf numFmtId="169" fontId="24" fillId="0" borderId="21" xfId="4" applyNumberFormat="1" applyFont="1" applyFill="1" applyBorder="1" applyAlignment="1">
      <alignment horizontal="center"/>
    </xf>
    <xf numFmtId="170" fontId="20" fillId="0" borderId="0" xfId="4" applyNumberFormat="1" applyFont="1" applyFill="1"/>
    <xf numFmtId="169" fontId="24" fillId="0" borderId="35" xfId="4" applyNumberFormat="1" applyFont="1" applyFill="1" applyBorder="1" applyAlignment="1">
      <alignment horizontal="center"/>
    </xf>
    <xf numFmtId="169" fontId="24" fillId="0" borderId="25" xfId="4" applyNumberFormat="1" applyFont="1" applyFill="1" applyBorder="1" applyAlignment="1">
      <alignment horizontal="center"/>
    </xf>
    <xf numFmtId="169" fontId="24" fillId="0" borderId="18" xfId="4" applyNumberFormat="1" applyFont="1" applyFill="1" applyBorder="1" applyAlignment="1">
      <alignment horizontal="center"/>
    </xf>
    <xf numFmtId="0" fontId="24" fillId="0" borderId="36" xfId="4" applyFont="1" applyFill="1" applyBorder="1"/>
    <xf numFmtId="39" fontId="24" fillId="0" borderId="33" xfId="4" applyNumberFormat="1" applyFont="1" applyFill="1" applyBorder="1" applyAlignment="1">
      <alignment horizontal="center"/>
    </xf>
    <xf numFmtId="166" fontId="24" fillId="0" borderId="34" xfId="4" applyNumberFormat="1" applyFont="1" applyFill="1" applyBorder="1"/>
    <xf numFmtId="0" fontId="24" fillId="0" borderId="33" xfId="4" applyFont="1" applyFill="1" applyBorder="1"/>
    <xf numFmtId="0" fontId="23" fillId="0" borderId="33" xfId="4" quotePrefix="1" applyFont="1" applyFill="1" applyBorder="1" applyAlignment="1">
      <alignment horizontal="center"/>
    </xf>
    <xf numFmtId="0" fontId="24" fillId="0" borderId="37" xfId="4" applyFont="1" applyFill="1" applyBorder="1"/>
    <xf numFmtId="169" fontId="24" fillId="0" borderId="0" xfId="4" applyNumberFormat="1" applyFont="1" applyFill="1" applyBorder="1" applyAlignment="1">
      <alignment horizontal="center"/>
    </xf>
    <xf numFmtId="169" fontId="24" fillId="0" borderId="33" xfId="4" applyNumberFormat="1" applyFont="1" applyFill="1" applyBorder="1" applyAlignment="1">
      <alignment horizontal="center"/>
    </xf>
    <xf numFmtId="0" fontId="34" fillId="0" borderId="20" xfId="4" applyFont="1" applyFill="1" applyBorder="1" applyAlignment="1">
      <alignment wrapText="1"/>
    </xf>
    <xf numFmtId="164" fontId="24" fillId="0" borderId="0" xfId="4" quotePrefix="1" applyNumberFormat="1" applyFont="1" applyFill="1" applyBorder="1" applyAlignment="1">
      <alignment horizontal="left"/>
    </xf>
    <xf numFmtId="0" fontId="24" fillId="0" borderId="0" xfId="4" applyNumberFormat="1" applyFont="1" applyFill="1" applyBorder="1"/>
    <xf numFmtId="0" fontId="20" fillId="0" borderId="0" xfId="4" applyNumberFormat="1" applyFont="1" applyFill="1" applyBorder="1"/>
    <xf numFmtId="0" fontId="35" fillId="0" borderId="20" xfId="4" applyFont="1" applyFill="1" applyBorder="1" applyAlignment="1">
      <alignment wrapText="1"/>
    </xf>
    <xf numFmtId="164" fontId="24" fillId="0" borderId="35" xfId="4" applyNumberFormat="1" applyFont="1" applyFill="1" applyBorder="1"/>
    <xf numFmtId="39" fontId="24" fillId="0" borderId="35" xfId="4" applyNumberFormat="1" applyFont="1" applyFill="1" applyBorder="1" applyAlignment="1">
      <alignment horizontal="center"/>
    </xf>
    <xf numFmtId="39" fontId="24" fillId="0" borderId="25" xfId="4" applyNumberFormat="1" applyFont="1" applyFill="1" applyBorder="1" applyAlignment="1">
      <alignment horizontal="center"/>
    </xf>
    <xf numFmtId="39" fontId="24" fillId="0" borderId="18" xfId="4" applyNumberFormat="1" applyFont="1" applyFill="1" applyBorder="1" applyAlignment="1">
      <alignment horizontal="center"/>
    </xf>
    <xf numFmtId="0" fontId="24" fillId="0" borderId="21" xfId="4" applyFont="1" applyFill="1" applyBorder="1" applyAlignment="1">
      <alignment horizontal="center"/>
    </xf>
    <xf numFmtId="166" fontId="24" fillId="0" borderId="36" xfId="4" applyNumberFormat="1" applyFont="1" applyFill="1" applyBorder="1"/>
    <xf numFmtId="39" fontId="24" fillId="0" borderId="20" xfId="4" applyNumberFormat="1" applyFont="1" applyFill="1" applyBorder="1" applyAlignment="1">
      <alignment horizontal="center"/>
    </xf>
    <xf numFmtId="166" fontId="24" fillId="0" borderId="21" xfId="4" applyNumberFormat="1" applyFont="1" applyFill="1" applyBorder="1"/>
    <xf numFmtId="167" fontId="24" fillId="0" borderId="20" xfId="4" applyNumberFormat="1" applyFont="1" applyFill="1" applyBorder="1" applyAlignment="1">
      <alignment horizontal="center"/>
    </xf>
    <xf numFmtId="0" fontId="23" fillId="0" borderId="20" xfId="4" applyFont="1" applyFill="1" applyBorder="1" applyAlignment="1">
      <alignment horizontal="center"/>
    </xf>
    <xf numFmtId="0" fontId="20" fillId="0" borderId="34" xfId="4" applyFont="1" applyFill="1" applyBorder="1"/>
    <xf numFmtId="168" fontId="24" fillId="0" borderId="20" xfId="4" applyNumberFormat="1" applyFont="1" applyFill="1" applyBorder="1" applyAlignment="1">
      <alignment horizontal="center"/>
    </xf>
    <xf numFmtId="2" fontId="24" fillId="0" borderId="20" xfId="4" applyNumberFormat="1" applyFont="1" applyFill="1" applyBorder="1" applyAlignment="1">
      <alignment horizontal="center"/>
    </xf>
    <xf numFmtId="0" fontId="33" fillId="0" borderId="38" xfId="4" applyFont="1" applyFill="1" applyBorder="1" applyAlignment="1">
      <alignment wrapText="1"/>
    </xf>
    <xf numFmtId="0" fontId="24" fillId="0" borderId="39" xfId="4" applyFont="1" applyFill="1" applyBorder="1"/>
    <xf numFmtId="165" fontId="24" fillId="0" borderId="40" xfId="4" applyNumberFormat="1" applyFont="1" applyFill="1" applyBorder="1" applyAlignment="1">
      <alignment horizontal="center"/>
    </xf>
    <xf numFmtId="169" fontId="24" fillId="0" borderId="20" xfId="4" applyNumberFormat="1" applyFont="1" applyFill="1" applyBorder="1" applyAlignment="1">
      <alignment horizontal="center"/>
    </xf>
    <xf numFmtId="0" fontId="20" fillId="0" borderId="0" xfId="4" applyFont="1" applyBorder="1"/>
    <xf numFmtId="0" fontId="34" fillId="0" borderId="0" xfId="4" applyFont="1" applyFill="1" applyBorder="1" applyAlignment="1">
      <alignment wrapText="1"/>
    </xf>
    <xf numFmtId="0" fontId="36" fillId="0" borderId="0" xfId="4" applyFont="1"/>
    <xf numFmtId="0" fontId="37" fillId="0" borderId="0" xfId="4" applyFont="1"/>
    <xf numFmtId="0" fontId="24" fillId="0" borderId="24" xfId="4" applyFont="1" applyFill="1" applyBorder="1" applyAlignment="1">
      <alignment horizontal="center" vertical="center" wrapText="1"/>
    </xf>
    <xf numFmtId="2" fontId="24" fillId="0" borderId="41" xfId="4" applyNumberFormat="1" applyFont="1" applyFill="1" applyBorder="1" applyAlignment="1">
      <alignment horizontal="center"/>
    </xf>
    <xf numFmtId="0" fontId="38" fillId="0" borderId="0" xfId="4" applyFont="1" applyAlignment="1" applyProtection="1">
      <alignment horizontal="right"/>
      <protection locked="0"/>
    </xf>
    <xf numFmtId="0" fontId="38" fillId="38" borderId="0" xfId="4" applyFont="1" applyFill="1" applyAlignment="1" applyProtection="1">
      <alignment vertical="center"/>
      <protection locked="0"/>
    </xf>
    <xf numFmtId="174" fontId="38" fillId="37" borderId="0" xfId="1" applyNumberFormat="1" applyFont="1" applyFill="1" applyBorder="1" applyAlignment="1" applyProtection="1">
      <protection locked="0"/>
    </xf>
    <xf numFmtId="0" fontId="23" fillId="0" borderId="0" xfId="4" applyFont="1" applyAlignment="1" applyProtection="1">
      <alignment horizontal="center"/>
      <protection locked="0"/>
    </xf>
    <xf numFmtId="175" fontId="38" fillId="39" borderId="0" xfId="1" applyNumberFormat="1" applyFont="1" applyFill="1" applyBorder="1" applyAlignment="1" applyProtection="1">
      <protection locked="0"/>
    </xf>
    <xf numFmtId="0" fontId="38" fillId="0" borderId="0" xfId="4" applyFont="1" applyAlignment="1" applyProtection="1">
      <alignment horizontal="center" vertical="center"/>
      <protection locked="0"/>
    </xf>
    <xf numFmtId="0" fontId="20" fillId="0" borderId="0" xfId="4" applyAlignment="1" applyProtection="1">
      <protection locked="0"/>
    </xf>
    <xf numFmtId="0" fontId="38" fillId="0" borderId="0" xfId="4" applyFont="1" applyAlignment="1" applyProtection="1">
      <protection locked="0"/>
    </xf>
    <xf numFmtId="0" fontId="38" fillId="0" borderId="18" xfId="4" applyFont="1" applyBorder="1" applyAlignment="1" applyProtection="1">
      <alignment horizontal="right"/>
      <protection locked="0"/>
    </xf>
    <xf numFmtId="0" fontId="38" fillId="39" borderId="18" xfId="4" applyFont="1" applyFill="1" applyBorder="1" applyAlignment="1" applyProtection="1">
      <protection locked="0"/>
    </xf>
    <xf numFmtId="0" fontId="38" fillId="0" borderId="18" xfId="4" applyFont="1" applyBorder="1" applyAlignment="1" applyProtection="1">
      <alignment horizontal="center" vertical="center"/>
      <protection locked="0"/>
    </xf>
    <xf numFmtId="0" fontId="20" fillId="0" borderId="0" xfId="4" applyFont="1" applyAlignment="1" applyProtection="1"/>
    <xf numFmtId="0" fontId="20" fillId="0" borderId="32" xfId="4" applyFill="1" applyBorder="1" applyAlignment="1" applyProtection="1"/>
    <xf numFmtId="0" fontId="38" fillId="0" borderId="27" xfId="4" applyFont="1" applyBorder="1" applyAlignment="1" applyProtection="1">
      <alignment horizontal="center"/>
    </xf>
    <xf numFmtId="0" fontId="38" fillId="0" borderId="0" xfId="4" applyFont="1" applyBorder="1" applyAlignment="1" applyProtection="1">
      <alignment horizontal="center"/>
    </xf>
    <xf numFmtId="0" fontId="20" fillId="0" borderId="32" xfId="4" applyFont="1" applyFill="1" applyBorder="1" applyAlignment="1" applyProtection="1"/>
    <xf numFmtId="0" fontId="38" fillId="0" borderId="45" xfId="4" applyFont="1" applyBorder="1" applyAlignment="1" applyProtection="1">
      <alignment horizontal="center"/>
    </xf>
    <xf numFmtId="0" fontId="38" fillId="0" borderId="29" xfId="4" applyFont="1" applyBorder="1" applyAlignment="1" applyProtection="1">
      <alignment horizontal="center"/>
    </xf>
    <xf numFmtId="0" fontId="38" fillId="0" borderId="45" xfId="4" applyFont="1" applyFill="1" applyBorder="1" applyAlignment="1" applyProtection="1"/>
    <xf numFmtId="0" fontId="38" fillId="0" borderId="27" xfId="4" applyFont="1" applyFill="1" applyBorder="1" applyAlignment="1" applyProtection="1"/>
    <xf numFmtId="0" fontId="38" fillId="0" borderId="37" xfId="4" quotePrefix="1" applyFont="1" applyBorder="1" applyAlignment="1" applyProtection="1">
      <alignment horizontal="center"/>
    </xf>
    <xf numFmtId="0" fontId="38" fillId="0" borderId="18" xfId="4" quotePrefix="1" applyFont="1" applyBorder="1" applyAlignment="1" applyProtection="1">
      <alignment horizontal="center"/>
    </xf>
    <xf numFmtId="0" fontId="38" fillId="0" borderId="46" xfId="4" quotePrefix="1" applyFont="1" applyBorder="1" applyAlignment="1" applyProtection="1">
      <alignment horizontal="center"/>
    </xf>
    <xf numFmtId="0" fontId="38" fillId="0" borderId="35" xfId="4" quotePrefix="1" applyFont="1" applyBorder="1" applyAlignment="1" applyProtection="1">
      <alignment horizontal="center"/>
    </xf>
    <xf numFmtId="0" fontId="20" fillId="0" borderId="46" xfId="4" applyFont="1" applyBorder="1" applyAlignment="1" applyProtection="1"/>
    <xf numFmtId="0" fontId="20" fillId="0" borderId="37" xfId="4" applyFont="1" applyBorder="1" applyAlignment="1" applyProtection="1"/>
    <xf numFmtId="0" fontId="20" fillId="0" borderId="0" xfId="4" applyFont="1" applyBorder="1" applyAlignment="1" applyProtection="1">
      <alignment vertical="top"/>
    </xf>
    <xf numFmtId="44" fontId="34" fillId="37" borderId="32" xfId="2" applyNumberFormat="1" applyFont="1" applyFill="1" applyBorder="1" applyAlignment="1" applyProtection="1">
      <alignment horizontal="right" vertical="center"/>
      <protection locked="0"/>
    </xf>
    <xf numFmtId="0" fontId="34" fillId="0" borderId="32" xfId="4" applyFont="1" applyFill="1" applyBorder="1" applyAlignment="1" applyProtection="1">
      <alignment horizontal="right" vertical="center"/>
      <protection locked="0"/>
    </xf>
    <xf numFmtId="44" fontId="34" fillId="0" borderId="0" xfId="2" applyFont="1" applyFill="1" applyBorder="1" applyAlignment="1" applyProtection="1">
      <alignment horizontal="right" vertical="center"/>
    </xf>
    <xf numFmtId="44" fontId="34" fillId="37" borderId="47" xfId="2" applyNumberFormat="1" applyFont="1" applyFill="1" applyBorder="1" applyAlignment="1" applyProtection="1">
      <alignment horizontal="right" vertical="center"/>
      <protection locked="0"/>
    </xf>
    <xf numFmtId="0" fontId="34" fillId="0" borderId="47" xfId="4" applyFont="1" applyFill="1" applyBorder="1" applyAlignment="1" applyProtection="1">
      <alignment horizontal="right" vertical="center"/>
      <protection locked="0"/>
    </xf>
    <xf numFmtId="44" fontId="34" fillId="0" borderId="47" xfId="2" applyFont="1" applyBorder="1" applyAlignment="1" applyProtection="1">
      <alignment horizontal="right" vertical="center"/>
    </xf>
    <xf numFmtId="10" fontId="34" fillId="0" borderId="47" xfId="9" applyNumberFormat="1" applyFont="1" applyBorder="1" applyAlignment="1" applyProtection="1">
      <alignment horizontal="right" vertical="center"/>
    </xf>
    <xf numFmtId="171" fontId="34" fillId="37" borderId="32" xfId="2" applyNumberFormat="1" applyFont="1" applyFill="1" applyBorder="1" applyAlignment="1" applyProtection="1">
      <alignment horizontal="right" vertical="center"/>
      <protection locked="0"/>
    </xf>
    <xf numFmtId="175" fontId="34" fillId="0" borderId="32" xfId="4" applyNumberFormat="1" applyFont="1" applyFill="1" applyBorder="1" applyAlignment="1" applyProtection="1">
      <alignment horizontal="right" vertical="center"/>
      <protection locked="0"/>
    </xf>
    <xf numFmtId="171" fontId="34" fillId="37" borderId="47" xfId="2" applyNumberFormat="1" applyFont="1" applyFill="1" applyBorder="1" applyAlignment="1" applyProtection="1">
      <alignment horizontal="right" vertical="center"/>
      <protection locked="0"/>
    </xf>
    <xf numFmtId="175" fontId="34" fillId="0" borderId="47" xfId="4" applyNumberFormat="1" applyFont="1" applyFill="1" applyBorder="1" applyAlignment="1" applyProtection="1">
      <alignment horizontal="right" vertical="center"/>
      <protection locked="0"/>
    </xf>
    <xf numFmtId="171" fontId="34" fillId="37" borderId="37" xfId="2" applyNumberFormat="1" applyFont="1" applyFill="1" applyBorder="1" applyAlignment="1" applyProtection="1">
      <alignment horizontal="right" vertical="center"/>
      <protection locked="0"/>
    </xf>
    <xf numFmtId="175" fontId="34" fillId="0" borderId="37" xfId="4" applyNumberFormat="1" applyFont="1" applyFill="1" applyBorder="1" applyAlignment="1" applyProtection="1">
      <alignment horizontal="right" vertical="center"/>
      <protection locked="0"/>
    </xf>
    <xf numFmtId="44" fontId="34" fillId="0" borderId="18" xfId="2" applyFont="1" applyFill="1" applyBorder="1" applyAlignment="1" applyProtection="1">
      <alignment horizontal="right" vertical="center"/>
    </xf>
    <xf numFmtId="171" fontId="34" fillId="37" borderId="46" xfId="2" applyNumberFormat="1" applyFont="1" applyFill="1" applyBorder="1" applyAlignment="1" applyProtection="1">
      <alignment horizontal="right" vertical="center"/>
      <protection locked="0"/>
    </xf>
    <xf numFmtId="175" fontId="34" fillId="0" borderId="46" xfId="4" applyNumberFormat="1" applyFont="1" applyFill="1" applyBorder="1" applyAlignment="1" applyProtection="1">
      <alignment horizontal="right" vertical="center"/>
      <protection locked="0"/>
    </xf>
    <xf numFmtId="171" fontId="34" fillId="40" borderId="37" xfId="2" applyNumberFormat="1" applyFont="1" applyFill="1" applyBorder="1" applyAlignment="1" applyProtection="1">
      <alignment horizontal="right" vertical="center"/>
      <protection locked="0"/>
    </xf>
    <xf numFmtId="0" fontId="34" fillId="40" borderId="37" xfId="4" applyFont="1" applyFill="1" applyBorder="1" applyAlignment="1" applyProtection="1">
      <alignment horizontal="right" vertical="center"/>
      <protection locked="0"/>
    </xf>
    <xf numFmtId="44" fontId="27" fillId="40" borderId="46" xfId="2" applyFont="1" applyFill="1" applyBorder="1" applyAlignment="1" applyProtection="1">
      <alignment horizontal="right" vertical="center"/>
    </xf>
    <xf numFmtId="10" fontId="27" fillId="40" borderId="46" xfId="9" applyNumberFormat="1" applyFont="1" applyFill="1" applyBorder="1" applyAlignment="1" applyProtection="1">
      <alignment horizontal="right" vertical="center"/>
    </xf>
    <xf numFmtId="0" fontId="20" fillId="0" borderId="0" xfId="4" applyFont="1" applyFill="1" applyAlignment="1" applyProtection="1">
      <alignment vertical="top"/>
    </xf>
    <xf numFmtId="175" fontId="34" fillId="0" borderId="32" xfId="1" applyNumberFormat="1" applyFont="1" applyFill="1" applyBorder="1" applyAlignment="1" applyProtection="1">
      <alignment horizontal="right" vertical="center"/>
      <protection locked="0"/>
    </xf>
    <xf numFmtId="0" fontId="20" fillId="0" borderId="0" xfId="4" applyFont="1" applyAlignment="1" applyProtection="1">
      <alignment vertical="top"/>
    </xf>
    <xf numFmtId="0" fontId="38" fillId="40" borderId="43" xfId="4" applyFont="1" applyFill="1" applyBorder="1" applyAlignment="1" applyProtection="1">
      <alignment vertical="top"/>
    </xf>
    <xf numFmtId="171" fontId="34" fillId="40" borderId="23" xfId="2" applyNumberFormat="1" applyFont="1" applyFill="1" applyBorder="1" applyAlignment="1" applyProtection="1">
      <alignment horizontal="right" vertical="center"/>
      <protection locked="0"/>
    </xf>
    <xf numFmtId="0" fontId="34" fillId="40" borderId="23" xfId="4" applyFont="1" applyFill="1" applyBorder="1" applyAlignment="1" applyProtection="1">
      <alignment horizontal="right" vertical="center"/>
      <protection locked="0"/>
    </xf>
    <xf numFmtId="44" fontId="27" fillId="40" borderId="24" xfId="2" applyFont="1" applyFill="1" applyBorder="1" applyAlignment="1" applyProtection="1">
      <alignment horizontal="right" vertical="center"/>
    </xf>
    <xf numFmtId="171" fontId="34" fillId="40" borderId="44" xfId="2" applyNumberFormat="1" applyFont="1" applyFill="1" applyBorder="1" applyAlignment="1" applyProtection="1">
      <alignment horizontal="right" vertical="center"/>
      <protection locked="0"/>
    </xf>
    <xf numFmtId="0" fontId="34" fillId="40" borderId="44" xfId="4" applyFont="1" applyFill="1" applyBorder="1" applyAlignment="1" applyProtection="1">
      <alignment horizontal="right" vertical="center"/>
      <protection locked="0"/>
    </xf>
    <xf numFmtId="44" fontId="27" fillId="40" borderId="44" xfId="2" applyFont="1" applyFill="1" applyBorder="1" applyAlignment="1" applyProtection="1">
      <alignment horizontal="right" vertical="center"/>
    </xf>
    <xf numFmtId="10" fontId="27" fillId="40" borderId="44" xfId="9" applyNumberFormat="1" applyFont="1" applyFill="1" applyBorder="1" applyAlignment="1" applyProtection="1">
      <alignment horizontal="right" vertical="center"/>
    </xf>
    <xf numFmtId="0" fontId="20" fillId="0" borderId="0" xfId="4" applyFont="1" applyAlignment="1" applyProtection="1">
      <alignment vertical="center"/>
    </xf>
    <xf numFmtId="175" fontId="34" fillId="37" borderId="32" xfId="1" applyNumberFormat="1" applyFont="1" applyFill="1" applyBorder="1" applyAlignment="1" applyProtection="1">
      <alignment horizontal="right" vertical="center"/>
      <protection locked="0"/>
    </xf>
    <xf numFmtId="175" fontId="34" fillId="37" borderId="47" xfId="1" applyNumberFormat="1" applyFont="1" applyFill="1" applyBorder="1" applyAlignment="1" applyProtection="1">
      <alignment horizontal="right" vertical="center"/>
      <protection locked="0"/>
    </xf>
    <xf numFmtId="0" fontId="20" fillId="0" borderId="18" xfId="4" applyFont="1" applyBorder="1" applyAlignment="1" applyProtection="1">
      <alignment vertical="center"/>
    </xf>
    <xf numFmtId="0" fontId="27" fillId="0" borderId="32" xfId="4" applyFont="1" applyFill="1" applyBorder="1" applyAlignment="1" applyProtection="1">
      <alignment horizontal="right" vertical="center"/>
      <protection locked="0"/>
    </xf>
    <xf numFmtId="171" fontId="27" fillId="40" borderId="44" xfId="2" applyNumberFormat="1" applyFont="1" applyFill="1" applyBorder="1" applyAlignment="1" applyProtection="1">
      <alignment horizontal="right" vertical="center"/>
      <protection locked="0"/>
    </xf>
    <xf numFmtId="0" fontId="27" fillId="40" borderId="44" xfId="4" applyFont="1" applyFill="1" applyBorder="1" applyAlignment="1" applyProtection="1">
      <alignment horizontal="right" vertical="center"/>
      <protection locked="0"/>
    </xf>
    <xf numFmtId="0" fontId="20" fillId="41" borderId="14" xfId="4" applyFont="1" applyFill="1" applyBorder="1" applyAlignment="1" applyProtection="1"/>
    <xf numFmtId="171" fontId="34" fillId="41" borderId="48" xfId="10" applyNumberFormat="1" applyFont="1" applyFill="1" applyBorder="1" applyAlignment="1" applyProtection="1">
      <alignment horizontal="right" vertical="center"/>
      <protection locked="0"/>
    </xf>
    <xf numFmtId="0" fontId="34" fillId="41" borderId="42" xfId="4" applyFont="1" applyFill="1" applyBorder="1" applyAlignment="1" applyProtection="1">
      <alignment horizontal="right" vertical="center"/>
      <protection locked="0"/>
    </xf>
    <xf numFmtId="44" fontId="34" fillId="41" borderId="16" xfId="2" applyFont="1" applyFill="1" applyBorder="1" applyAlignment="1" applyProtection="1">
      <alignment horizontal="right" vertical="center"/>
    </xf>
    <xf numFmtId="0" fontId="34" fillId="41" borderId="48" xfId="4" applyFont="1" applyFill="1" applyBorder="1" applyAlignment="1" applyProtection="1">
      <alignment horizontal="right" vertical="center"/>
      <protection locked="0"/>
    </xf>
    <xf numFmtId="44" fontId="34" fillId="41" borderId="48" xfId="2" applyFont="1" applyFill="1" applyBorder="1" applyAlignment="1" applyProtection="1">
      <alignment horizontal="right" vertical="center"/>
    </xf>
    <xf numFmtId="10" fontId="34" fillId="41" borderId="49" xfId="9" applyNumberFormat="1" applyFont="1" applyFill="1" applyBorder="1" applyAlignment="1" applyProtection="1">
      <alignment horizontal="right" vertical="center"/>
    </xf>
    <xf numFmtId="0" fontId="38" fillId="0" borderId="0" xfId="4" applyFont="1" applyFill="1" applyAlignment="1" applyProtection="1">
      <alignment vertical="top"/>
    </xf>
    <xf numFmtId="9" fontId="34" fillId="0" borderId="32" xfId="4" applyNumberFormat="1" applyFont="1" applyFill="1" applyBorder="1" applyAlignment="1" applyProtection="1">
      <alignment horizontal="right" vertical="center"/>
    </xf>
    <xf numFmtId="9" fontId="34" fillId="0" borderId="0" xfId="4" applyNumberFormat="1" applyFont="1" applyFill="1" applyBorder="1" applyAlignment="1" applyProtection="1">
      <alignment horizontal="right" vertical="center"/>
    </xf>
    <xf numFmtId="44" fontId="27" fillId="0" borderId="33" xfId="2" applyFont="1" applyFill="1" applyBorder="1" applyAlignment="1" applyProtection="1">
      <alignment horizontal="right" vertical="center"/>
    </xf>
    <xf numFmtId="0" fontId="27" fillId="0" borderId="32" xfId="4" applyFont="1" applyFill="1" applyBorder="1" applyAlignment="1" applyProtection="1">
      <alignment horizontal="right" vertical="center"/>
    </xf>
    <xf numFmtId="9" fontId="27" fillId="0" borderId="47" xfId="4" applyNumberFormat="1" applyFont="1" applyFill="1" applyBorder="1" applyAlignment="1" applyProtection="1">
      <alignment horizontal="right" vertical="center"/>
    </xf>
    <xf numFmtId="9" fontId="27" fillId="0" borderId="32" xfId="4" applyNumberFormat="1" applyFont="1" applyFill="1" applyBorder="1" applyAlignment="1" applyProtection="1">
      <alignment horizontal="right" vertical="center"/>
    </xf>
    <xf numFmtId="44" fontId="27" fillId="0" borderId="47" xfId="2" applyFont="1" applyFill="1" applyBorder="1" applyAlignment="1" applyProtection="1">
      <alignment horizontal="right" vertical="center"/>
    </xf>
    <xf numFmtId="10" fontId="27" fillId="0" borderId="47" xfId="9" applyNumberFormat="1" applyFont="1" applyFill="1" applyBorder="1" applyAlignment="1" applyProtection="1">
      <alignment horizontal="right" vertical="center"/>
    </xf>
    <xf numFmtId="0" fontId="20" fillId="0" borderId="0" xfId="4" applyFont="1" applyFill="1" applyAlignment="1" applyProtection="1">
      <alignment horizontal="left" vertical="top"/>
    </xf>
    <xf numFmtId="0" fontId="34" fillId="0" borderId="0" xfId="4" applyFont="1" applyFill="1" applyBorder="1" applyAlignment="1" applyProtection="1">
      <alignment horizontal="right" vertical="center"/>
    </xf>
    <xf numFmtId="44" fontId="34" fillId="0" borderId="33" xfId="2" applyFont="1" applyFill="1" applyBorder="1" applyAlignment="1" applyProtection="1">
      <alignment horizontal="right" vertical="center"/>
    </xf>
    <xf numFmtId="0" fontId="34" fillId="0" borderId="32" xfId="4" applyFont="1" applyFill="1" applyBorder="1" applyAlignment="1" applyProtection="1">
      <alignment horizontal="right" vertical="center"/>
    </xf>
    <xf numFmtId="9" fontId="34" fillId="0" borderId="47" xfId="4" applyNumberFormat="1" applyFont="1" applyFill="1" applyBorder="1" applyAlignment="1" applyProtection="1">
      <alignment horizontal="right" vertical="center"/>
    </xf>
    <xf numFmtId="44" fontId="34" fillId="0" borderId="47" xfId="2" applyFont="1" applyFill="1" applyBorder="1" applyAlignment="1" applyProtection="1">
      <alignment horizontal="right" vertical="center"/>
    </xf>
    <xf numFmtId="10" fontId="34" fillId="0" borderId="47" xfId="9" applyNumberFormat="1" applyFont="1" applyFill="1" applyBorder="1" applyAlignment="1" applyProtection="1">
      <alignment horizontal="right" vertical="center"/>
    </xf>
    <xf numFmtId="0" fontId="38" fillId="0" borderId="0" xfId="4" applyFont="1" applyAlignment="1" applyProtection="1">
      <alignment horizontal="left" vertical="top"/>
    </xf>
    <xf numFmtId="0" fontId="34" fillId="0" borderId="47" xfId="4" applyFont="1" applyFill="1" applyBorder="1" applyAlignment="1" applyProtection="1">
      <alignment horizontal="right" vertical="center"/>
    </xf>
    <xf numFmtId="0" fontId="39" fillId="0" borderId="0" xfId="4" applyFont="1" applyAlignment="1" applyProtection="1">
      <alignment vertical="top"/>
    </xf>
    <xf numFmtId="0" fontId="38" fillId="40" borderId="10" xfId="4" applyFont="1" applyFill="1" applyBorder="1" applyAlignment="1" applyProtection="1">
      <alignment vertical="top"/>
    </xf>
    <xf numFmtId="0" fontId="34" fillId="40" borderId="37" xfId="4" applyFont="1" applyFill="1" applyBorder="1" applyAlignment="1" applyProtection="1">
      <alignment horizontal="right" vertical="center"/>
    </xf>
    <xf numFmtId="0" fontId="34" fillId="40" borderId="18" xfId="4" applyFont="1" applyFill="1" applyBorder="1" applyAlignment="1" applyProtection="1">
      <alignment horizontal="right" vertical="center"/>
    </xf>
    <xf numFmtId="44" fontId="27" fillId="40" borderId="35" xfId="2" applyFont="1" applyFill="1" applyBorder="1" applyAlignment="1" applyProtection="1">
      <alignment horizontal="right" vertical="center"/>
    </xf>
    <xf numFmtId="0" fontId="27" fillId="40" borderId="46" xfId="4" applyFont="1" applyFill="1" applyBorder="1" applyAlignment="1" applyProtection="1">
      <alignment horizontal="right" vertical="center"/>
    </xf>
    <xf numFmtId="0" fontId="27" fillId="40" borderId="37" xfId="4" applyFont="1" applyFill="1" applyBorder="1" applyAlignment="1" applyProtection="1">
      <alignment horizontal="right" vertical="center"/>
    </xf>
    <xf numFmtId="171" fontId="20" fillId="41" borderId="42" xfId="10" applyNumberFormat="1" applyFont="1" applyFill="1" applyBorder="1" applyAlignment="1" applyProtection="1">
      <alignment vertical="top"/>
      <protection locked="0"/>
    </xf>
    <xf numFmtId="0" fontId="20" fillId="41" borderId="16" xfId="4" applyFont="1" applyFill="1" applyBorder="1" applyAlignment="1" applyProtection="1">
      <alignment vertical="center"/>
      <protection locked="0"/>
    </xf>
    <xf numFmtId="44" fontId="20" fillId="41" borderId="50" xfId="10" applyFont="1" applyFill="1" applyBorder="1" applyAlignment="1" applyProtection="1">
      <alignment vertical="center"/>
      <protection locked="0"/>
    </xf>
    <xf numFmtId="0" fontId="20" fillId="0" borderId="32" xfId="4" applyFont="1" applyFill="1" applyBorder="1" applyAlignment="1" applyProtection="1">
      <alignment vertical="center"/>
      <protection locked="0"/>
    </xf>
    <xf numFmtId="171" fontId="20" fillId="41" borderId="48" xfId="10" applyNumberFormat="1" applyFont="1" applyFill="1" applyBorder="1" applyAlignment="1" applyProtection="1">
      <alignment vertical="top"/>
      <protection locked="0"/>
    </xf>
    <xf numFmtId="0" fontId="20" fillId="41" borderId="42" xfId="4" applyFont="1" applyFill="1" applyBorder="1" applyAlignment="1" applyProtection="1">
      <alignment vertical="center"/>
      <protection locked="0"/>
    </xf>
    <xf numFmtId="44" fontId="20" fillId="41" borderId="16" xfId="10" applyFont="1" applyFill="1" applyBorder="1" applyAlignment="1" applyProtection="1">
      <alignment vertical="center"/>
      <protection locked="0"/>
    </xf>
    <xf numFmtId="44" fontId="20" fillId="41" borderId="48" xfId="4" applyNumberFormat="1" applyFont="1" applyFill="1" applyBorder="1" applyAlignment="1" applyProtection="1">
      <alignment vertical="center"/>
      <protection locked="0"/>
    </xf>
    <xf numFmtId="10" fontId="20" fillId="41" borderId="49" xfId="9" applyNumberFormat="1" applyFont="1" applyFill="1" applyBorder="1" applyAlignment="1" applyProtection="1">
      <alignment vertical="center"/>
      <protection locked="0"/>
    </xf>
    <xf numFmtId="0" fontId="20" fillId="0" borderId="0" xfId="4" applyProtection="1"/>
    <xf numFmtId="0" fontId="20" fillId="0" borderId="0" xfId="4" applyProtection="1">
      <protection locked="0"/>
    </xf>
    <xf numFmtId="44" fontId="20" fillId="0" borderId="0" xfId="4" applyNumberFormat="1" applyProtection="1">
      <protection locked="0"/>
    </xf>
    <xf numFmtId="0" fontId="42" fillId="0" borderId="0" xfId="0" applyFont="1"/>
    <xf numFmtId="0" fontId="20" fillId="0" borderId="0" xfId="4" applyFont="1" applyAlignment="1" applyProtection="1">
      <protection locked="0"/>
    </xf>
    <xf numFmtId="0" fontId="43" fillId="0" borderId="0" xfId="4" applyFont="1" applyFill="1" applyAlignment="1" applyProtection="1">
      <alignment horizontal="right"/>
      <protection locked="0"/>
    </xf>
    <xf numFmtId="0" fontId="38" fillId="0" borderId="0" xfId="4" applyFont="1" applyFill="1" applyAlignment="1" applyProtection="1">
      <alignment vertical="center"/>
      <protection locked="0"/>
    </xf>
    <xf numFmtId="0" fontId="23" fillId="0" borderId="0" xfId="4" applyFont="1" applyFill="1" applyAlignment="1" applyProtection="1">
      <alignment vertical="center"/>
      <protection locked="0"/>
    </xf>
    <xf numFmtId="0" fontId="23" fillId="37" borderId="0" xfId="4" applyFont="1" applyFill="1" applyAlignment="1" applyProtection="1">
      <alignment vertical="center"/>
      <protection locked="0"/>
    </xf>
    <xf numFmtId="0" fontId="42" fillId="0" borderId="0" xfId="0" applyFont="1" applyAlignment="1"/>
    <xf numFmtId="0" fontId="38" fillId="0" borderId="0" xfId="4" applyFont="1" applyAlignment="1" applyProtection="1"/>
    <xf numFmtId="0" fontId="0" fillId="0" borderId="0" xfId="0" applyAlignment="1"/>
    <xf numFmtId="0" fontId="38" fillId="0" borderId="0" xfId="4" applyFont="1" applyFill="1" applyBorder="1" applyAlignment="1" applyProtection="1">
      <alignment vertical="center"/>
      <protection locked="0"/>
    </xf>
    <xf numFmtId="0" fontId="23" fillId="0" borderId="0" xfId="4" applyFont="1" applyFill="1" applyBorder="1" applyAlignment="1" applyProtection="1">
      <alignment horizontal="center"/>
      <protection locked="0"/>
    </xf>
    <xf numFmtId="0" fontId="42" fillId="0" borderId="0" xfId="0" applyFont="1" applyFill="1" applyBorder="1" applyAlignment="1"/>
    <xf numFmtId="0" fontId="20" fillId="0" borderId="0" xfId="4" applyAlignment="1" applyProtection="1"/>
    <xf numFmtId="0" fontId="0" fillId="0" borderId="0" xfId="0" applyFill="1" applyBorder="1" applyAlignment="1"/>
    <xf numFmtId="0" fontId="20" fillId="0" borderId="0" xfId="4" applyFill="1" applyBorder="1" applyAlignment="1" applyProtection="1"/>
    <xf numFmtId="0" fontId="38" fillId="0" borderId="47" xfId="4" applyFont="1" applyBorder="1" applyAlignment="1" applyProtection="1">
      <alignment horizontal="center"/>
    </xf>
    <xf numFmtId="0" fontId="20" fillId="0" borderId="0" xfId="4" applyFont="1" applyFill="1" applyBorder="1" applyAlignment="1" applyProtection="1"/>
    <xf numFmtId="0" fontId="34" fillId="0" borderId="0" xfId="4" applyFont="1" applyFill="1" applyBorder="1" applyAlignment="1" applyProtection="1">
      <alignment horizontal="right" vertical="center"/>
      <protection locked="0"/>
    </xf>
    <xf numFmtId="44" fontId="34" fillId="0" borderId="32" xfId="2" applyFont="1" applyBorder="1" applyAlignment="1" applyProtection="1">
      <alignment horizontal="right" vertical="center"/>
    </xf>
    <xf numFmtId="44" fontId="34" fillId="0" borderId="46" xfId="2" applyFont="1" applyFill="1" applyBorder="1" applyAlignment="1" applyProtection="1">
      <alignment horizontal="right" vertical="center"/>
    </xf>
    <xf numFmtId="44" fontId="27" fillId="40" borderId="37" xfId="2" applyFont="1" applyFill="1" applyBorder="1" applyAlignment="1" applyProtection="1">
      <alignment horizontal="right" vertical="center"/>
    </xf>
    <xf numFmtId="44" fontId="27" fillId="40" borderId="23" xfId="2" applyFont="1" applyFill="1" applyBorder="1" applyAlignment="1" applyProtection="1">
      <alignment horizontal="right" vertical="center"/>
    </xf>
    <xf numFmtId="0" fontId="27" fillId="0" borderId="0" xfId="4" applyFont="1" applyFill="1" applyBorder="1" applyAlignment="1" applyProtection="1">
      <alignment horizontal="right" vertical="center"/>
      <protection locked="0"/>
    </xf>
    <xf numFmtId="171" fontId="27" fillId="40" borderId="23" xfId="2" applyNumberFormat="1" applyFont="1" applyFill="1" applyBorder="1" applyAlignment="1" applyProtection="1">
      <alignment horizontal="right" vertical="center"/>
      <protection locked="0"/>
    </xf>
    <xf numFmtId="171" fontId="34" fillId="41" borderId="42" xfId="10" applyNumberFormat="1" applyFont="1" applyFill="1" applyBorder="1" applyAlignment="1" applyProtection="1">
      <alignment horizontal="right" vertical="center"/>
      <protection locked="0"/>
    </xf>
    <xf numFmtId="44" fontId="34" fillId="41" borderId="42" xfId="2" applyFont="1" applyFill="1" applyBorder="1" applyAlignment="1" applyProtection="1">
      <alignment horizontal="right" vertical="center"/>
    </xf>
    <xf numFmtId="44" fontId="27" fillId="0" borderId="32" xfId="2" applyFont="1" applyFill="1" applyBorder="1" applyAlignment="1" applyProtection="1">
      <alignment horizontal="right" vertical="center"/>
    </xf>
    <xf numFmtId="0" fontId="27" fillId="0" borderId="0" xfId="4" applyFont="1" applyFill="1" applyBorder="1" applyAlignment="1" applyProtection="1">
      <alignment horizontal="right" vertical="center"/>
    </xf>
    <xf numFmtId="44" fontId="34" fillId="0" borderId="32" xfId="2" applyFont="1" applyFill="1" applyBorder="1" applyAlignment="1" applyProtection="1">
      <alignment horizontal="right" vertical="center"/>
    </xf>
    <xf numFmtId="44" fontId="20" fillId="41" borderId="42" xfId="10" applyFont="1" applyFill="1" applyBorder="1" applyAlignment="1" applyProtection="1">
      <alignment vertical="center"/>
      <protection locked="0"/>
    </xf>
    <xf numFmtId="0" fontId="20" fillId="0" borderId="0" xfId="4" applyFont="1" applyFill="1" applyBorder="1" applyAlignment="1" applyProtection="1">
      <alignment vertical="center"/>
      <protection locked="0"/>
    </xf>
    <xf numFmtId="44" fontId="20" fillId="41" borderId="48" xfId="10" applyFont="1" applyFill="1" applyBorder="1" applyAlignment="1" applyProtection="1">
      <alignment vertical="center"/>
      <protection locked="0"/>
    </xf>
    <xf numFmtId="44" fontId="20" fillId="41" borderId="42" xfId="4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87" fillId="0" borderId="0" xfId="0" applyFont="1"/>
    <xf numFmtId="0" fontId="16" fillId="0" borderId="18" xfId="0" applyFont="1" applyBorder="1" applyAlignment="1">
      <alignment horizontal="center"/>
    </xf>
    <xf numFmtId="0" fontId="88" fillId="0" borderId="0" xfId="0" applyFont="1" applyAlignment="1">
      <alignment horizontal="left" indent="2"/>
    </xf>
    <xf numFmtId="44" fontId="0" fillId="0" borderId="0" xfId="0" applyNumberFormat="1"/>
    <xf numFmtId="10" fontId="0" fillId="0" borderId="0" xfId="577" applyNumberFormat="1" applyFont="1"/>
    <xf numFmtId="171" fontId="0" fillId="0" borderId="0" xfId="0" applyNumberFormat="1"/>
    <xf numFmtId="175" fontId="0" fillId="0" borderId="0" xfId="0" applyNumberFormat="1"/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168" fontId="24" fillId="0" borderId="21" xfId="4" applyNumberFormat="1" applyFont="1" applyFill="1" applyBorder="1" applyAlignment="1">
      <alignment horizontal="center"/>
    </xf>
    <xf numFmtId="2" fontId="24" fillId="0" borderId="21" xfId="4" applyNumberFormat="1" applyFont="1" applyFill="1" applyBorder="1" applyAlignment="1">
      <alignment horizontal="center"/>
    </xf>
    <xf numFmtId="169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171" fontId="34" fillId="37" borderId="47" xfId="2" applyNumberFormat="1" applyFont="1" applyFill="1" applyBorder="1" applyAlignment="1" applyProtection="1">
      <alignment horizontal="right" vertical="center"/>
      <protection locked="0"/>
    </xf>
    <xf numFmtId="43" fontId="0" fillId="0" borderId="0" xfId="0" applyNumberFormat="1"/>
    <xf numFmtId="195" fontId="20" fillId="0" borderId="0" xfId="4" applyNumberFormat="1" applyFont="1" applyFill="1"/>
    <xf numFmtId="171" fontId="34" fillId="37" borderId="27" xfId="2" applyNumberFormat="1" applyFont="1" applyFill="1" applyBorder="1" applyAlignment="1" applyProtection="1">
      <alignment horizontal="right" vertical="center"/>
      <protection locked="0"/>
    </xf>
    <xf numFmtId="171" fontId="34" fillId="37" borderId="39" xfId="2" applyNumberFormat="1" applyFont="1" applyFill="1" applyBorder="1" applyAlignment="1" applyProtection="1">
      <alignment horizontal="right" vertical="center"/>
      <protection locked="0"/>
    </xf>
    <xf numFmtId="173" fontId="24" fillId="0" borderId="21" xfId="4" applyNumberFormat="1" applyFont="1" applyFill="1" applyBorder="1" applyAlignment="1">
      <alignment horizontal="center"/>
    </xf>
    <xf numFmtId="196" fontId="24" fillId="0" borderId="21" xfId="4" applyNumberFormat="1" applyFont="1" applyFill="1" applyBorder="1" applyAlignment="1">
      <alignment horizontal="center"/>
    </xf>
    <xf numFmtId="0" fontId="20" fillId="0" borderId="33" xfId="4" applyFont="1" applyFill="1" applyBorder="1"/>
    <xf numFmtId="2" fontId="24" fillId="0" borderId="25" xfId="4" applyNumberFormat="1" applyFont="1" applyFill="1" applyBorder="1" applyAlignment="1">
      <alignment horizontal="center"/>
    </xf>
    <xf numFmtId="164" fontId="24" fillId="0" borderId="46" xfId="4" applyNumberFormat="1" applyFont="1" applyFill="1" applyBorder="1"/>
    <xf numFmtId="164" fontId="24" fillId="0" borderId="18" xfId="4" applyNumberFormat="1" applyFont="1" applyFill="1" applyBorder="1"/>
    <xf numFmtId="164" fontId="24" fillId="0" borderId="10" xfId="4" applyNumberFormat="1" applyFont="1" applyFill="1" applyBorder="1"/>
    <xf numFmtId="9" fontId="34" fillId="0" borderId="32" xfId="577" applyNumberFormat="1" applyFont="1" applyFill="1" applyBorder="1" applyAlignment="1" applyProtection="1">
      <alignment horizontal="right" vertical="center"/>
      <protection locked="0"/>
    </xf>
    <xf numFmtId="0" fontId="91" fillId="0" borderId="0" xfId="0" applyFont="1"/>
    <xf numFmtId="0" fontId="16" fillId="0" borderId="0" xfId="0" applyFont="1"/>
    <xf numFmtId="0" fontId="0" fillId="0" borderId="0" xfId="0" applyFont="1"/>
    <xf numFmtId="43" fontId="0" fillId="0" borderId="0" xfId="1" applyFont="1"/>
    <xf numFmtId="9" fontId="0" fillId="0" borderId="0" xfId="577" applyFont="1"/>
    <xf numFmtId="175" fontId="38" fillId="67" borderId="0" xfId="1" applyNumberFormat="1" applyFont="1" applyFill="1" applyBorder="1" applyAlignment="1" applyProtection="1">
      <protection locked="0"/>
    </xf>
    <xf numFmtId="0" fontId="20" fillId="0" borderId="0" xfId="464" applyAlignment="1" applyProtection="1">
      <alignment vertical="top" wrapText="1"/>
      <protection locked="0"/>
    </xf>
    <xf numFmtId="171" fontId="34" fillId="34" borderId="32" xfId="2" applyNumberFormat="1" applyFont="1" applyFill="1" applyBorder="1" applyAlignment="1" applyProtection="1">
      <alignment horizontal="right" vertical="center"/>
      <protection locked="0"/>
    </xf>
    <xf numFmtId="175" fontId="34" fillId="34" borderId="32" xfId="1" applyNumberFormat="1" applyFont="1" applyFill="1" applyBorder="1" applyAlignment="1" applyProtection="1">
      <alignment horizontal="right" vertical="center"/>
      <protection locked="0"/>
    </xf>
    <xf numFmtId="44" fontId="34" fillId="34" borderId="0" xfId="2" applyFont="1" applyFill="1" applyBorder="1" applyAlignment="1" applyProtection="1">
      <alignment horizontal="right" vertical="center"/>
    </xf>
    <xf numFmtId="171" fontId="34" fillId="34" borderId="47" xfId="2" applyNumberFormat="1" applyFont="1" applyFill="1" applyBorder="1" applyAlignment="1" applyProtection="1">
      <alignment horizontal="right" vertical="center"/>
      <protection locked="0"/>
    </xf>
    <xf numFmtId="175" fontId="34" fillId="34" borderId="47" xfId="1" applyNumberFormat="1" applyFont="1" applyFill="1" applyBorder="1" applyAlignment="1" applyProtection="1">
      <alignment horizontal="right" vertical="center"/>
      <protection locked="0"/>
    </xf>
    <xf numFmtId="44" fontId="34" fillId="34" borderId="47" xfId="2" applyFont="1" applyFill="1" applyBorder="1" applyAlignment="1" applyProtection="1">
      <alignment horizontal="right" vertical="center"/>
    </xf>
    <xf numFmtId="10" fontId="34" fillId="34" borderId="47" xfId="9" applyNumberFormat="1" applyFont="1" applyFill="1" applyBorder="1" applyAlignment="1" applyProtection="1">
      <alignment horizontal="right" vertical="center"/>
    </xf>
    <xf numFmtId="0" fontId="34" fillId="34" borderId="47" xfId="4" applyFont="1" applyFill="1" applyBorder="1" applyAlignment="1" applyProtection="1">
      <alignment horizontal="right" vertical="center"/>
    </xf>
    <xf numFmtId="0" fontId="34" fillId="34" borderId="32" xfId="4" applyFont="1" applyFill="1" applyBorder="1" applyAlignment="1" applyProtection="1">
      <alignment horizontal="right" vertical="center"/>
    </xf>
    <xf numFmtId="44" fontId="34" fillId="34" borderId="33" xfId="2" applyFont="1" applyFill="1" applyBorder="1" applyAlignment="1" applyProtection="1">
      <alignment horizontal="right" vertical="center"/>
    </xf>
    <xf numFmtId="44" fontId="34" fillId="34" borderId="32" xfId="2" applyFont="1" applyFill="1" applyBorder="1" applyAlignment="1" applyProtection="1">
      <alignment horizontal="right" vertical="center"/>
    </xf>
    <xf numFmtId="0" fontId="20" fillId="0" borderId="46" xfId="4" applyFont="1" applyBorder="1" applyAlignment="1" applyProtection="1">
      <alignment vertical="top"/>
    </xf>
    <xf numFmtId="10" fontId="20" fillId="0" borderId="0" xfId="4" applyNumberFormat="1" applyProtection="1">
      <protection locked="0"/>
    </xf>
    <xf numFmtId="44" fontId="34" fillId="0" borderId="37" xfId="2" applyFont="1" applyFill="1" applyBorder="1" applyAlignment="1" applyProtection="1">
      <alignment horizontal="right" vertical="center"/>
    </xf>
    <xf numFmtId="43" fontId="42" fillId="0" borderId="0" xfId="1" applyFont="1"/>
    <xf numFmtId="10" fontId="42" fillId="0" borderId="0" xfId="577" applyNumberFormat="1" applyFont="1"/>
    <xf numFmtId="43" fontId="42" fillId="0" borderId="0" xfId="1" applyFont="1" applyAlignment="1"/>
    <xf numFmtId="10" fontId="42" fillId="0" borderId="0" xfId="577" applyNumberFormat="1" applyFont="1" applyAlignment="1"/>
    <xf numFmtId="43" fontId="42" fillId="0" borderId="0" xfId="1" applyNumberFormat="1" applyFont="1" applyAlignment="1"/>
    <xf numFmtId="43" fontId="0" fillId="0" borderId="0" xfId="1" applyNumberFormat="1" applyFont="1" applyFill="1" applyBorder="1" applyAlignment="1"/>
    <xf numFmtId="43" fontId="0" fillId="0" borderId="0" xfId="1" applyNumberFormat="1" applyFont="1" applyAlignment="1"/>
    <xf numFmtId="10" fontId="0" fillId="0" borderId="0" xfId="577" applyNumberFormat="1" applyFont="1" applyAlignment="1"/>
    <xf numFmtId="43" fontId="27" fillId="40" borderId="44" xfId="1" applyFont="1" applyFill="1" applyBorder="1" applyAlignment="1" applyProtection="1">
      <alignment horizontal="right" vertical="center"/>
    </xf>
    <xf numFmtId="39" fontId="24" fillId="68" borderId="21" xfId="4" applyNumberFormat="1" applyFont="1" applyFill="1" applyBorder="1" applyAlignment="1">
      <alignment horizontal="center"/>
    </xf>
    <xf numFmtId="43" fontId="34" fillId="37" borderId="32" xfId="1" applyNumberFormat="1" applyFont="1" applyFill="1" applyBorder="1" applyAlignment="1" applyProtection="1">
      <alignment horizontal="right" vertical="center"/>
      <protection locked="0"/>
    </xf>
    <xf numFmtId="0" fontId="21" fillId="0" borderId="0" xfId="4" applyFont="1" applyFill="1" applyBorder="1" applyAlignment="1">
      <alignment horizontal="center" vertical="center"/>
    </xf>
    <xf numFmtId="0" fontId="25" fillId="0" borderId="10" xfId="4" quotePrefix="1" applyFont="1" applyFill="1" applyBorder="1" applyAlignment="1">
      <alignment horizontal="center"/>
    </xf>
    <xf numFmtId="0" fontId="26" fillId="34" borderId="11" xfId="4" applyFont="1" applyFill="1" applyBorder="1" applyAlignment="1">
      <alignment horizontal="left" vertical="center" wrapText="1"/>
    </xf>
    <xf numFmtId="0" fontId="26" fillId="34" borderId="12" xfId="4" applyFont="1" applyFill="1" applyBorder="1" applyAlignment="1">
      <alignment horizontal="left" vertical="center" wrapText="1"/>
    </xf>
    <xf numFmtId="0" fontId="26" fillId="34" borderId="17" xfId="4" applyFont="1" applyFill="1" applyBorder="1" applyAlignment="1">
      <alignment horizontal="left" vertical="center" wrapText="1"/>
    </xf>
    <xf numFmtId="0" fontId="26" fillId="34" borderId="18" xfId="4" applyFont="1" applyFill="1" applyBorder="1" applyAlignment="1">
      <alignment horizontal="left" vertical="center" wrapText="1"/>
    </xf>
    <xf numFmtId="0" fontId="38" fillId="0" borderId="43" xfId="4" applyFont="1" applyBorder="1" applyAlignment="1" applyProtection="1">
      <alignment horizontal="center"/>
    </xf>
    <xf numFmtId="0" fontId="38" fillId="0" borderId="24" xfId="4" applyFont="1" applyBorder="1" applyAlignment="1" applyProtection="1">
      <alignment horizontal="center"/>
    </xf>
    <xf numFmtId="0" fontId="38" fillId="0" borderId="44" xfId="4" applyFont="1" applyBorder="1" applyAlignment="1" applyProtection="1">
      <alignment horizontal="center"/>
    </xf>
  </cellXfs>
  <cellStyles count="578">
    <cellStyle name="$" xfId="11"/>
    <cellStyle name="$ 2" xfId="12"/>
    <cellStyle name="$ 2 2" xfId="13"/>
    <cellStyle name="$.00" xfId="14"/>
    <cellStyle name="$.00 2" xfId="15"/>
    <cellStyle name="$.00 2 2" xfId="16"/>
    <cellStyle name="$_2. 2011-2014  Rev_ FCast_IRM 2012_COS2013_Ongoing Operations_with CDM" xfId="17"/>
    <cellStyle name="$_2. 2011-2014  Rev_ FCast_IRM 2012_COS2013_Ongoing Operations_with CDM_1. Creation and Assumptions Budget_Revised with CDM" xfId="18"/>
    <cellStyle name="$_9. Rev2Cost_GDPIPI" xfId="19"/>
    <cellStyle name="$_9. Rev2Cost_GDPIPI 2" xfId="20"/>
    <cellStyle name="$_CGAAP FA Budget Model v2 james" xfId="21"/>
    <cellStyle name="$_CGAAP FA Budget Model v2 james 2" xfId="22"/>
    <cellStyle name="$_lists" xfId="23"/>
    <cellStyle name="$_lists 2" xfId="24"/>
    <cellStyle name="$_lists_4. Current Monthly Fixed Charge" xfId="25"/>
    <cellStyle name="$_Oct 2010 SM PILs Recognition" xfId="26"/>
    <cellStyle name="$_Sheet4" xfId="27"/>
    <cellStyle name="$_Sheet4 2" xfId="28"/>
    <cellStyle name="$_Xl0000180" xfId="29"/>
    <cellStyle name="$M" xfId="30"/>
    <cellStyle name="$M 2" xfId="31"/>
    <cellStyle name="$M 2 2" xfId="32"/>
    <cellStyle name="$M.00" xfId="33"/>
    <cellStyle name="$M.00 2" xfId="34"/>
    <cellStyle name="$M.00 2 2" xfId="35"/>
    <cellStyle name="$M_2. 2011-2014  Rev_ FCast_IRM 2012_COS2013_Ongoing Operations_with CDM" xfId="36"/>
    <cellStyle name="20% - Accent1 2" xfId="37"/>
    <cellStyle name="20% - Accent1 2 2" xfId="38"/>
    <cellStyle name="20% - Accent1 2 3" xfId="39"/>
    <cellStyle name="20% - Accent1 3" xfId="40"/>
    <cellStyle name="20% - Accent2 2" xfId="41"/>
    <cellStyle name="20% - Accent2 2 2" xfId="42"/>
    <cellStyle name="20% - Accent2 2 3" xfId="43"/>
    <cellStyle name="20% - Accent2 3" xfId="44"/>
    <cellStyle name="20% - Accent3 2" xfId="45"/>
    <cellStyle name="20% - Accent3 2 2" xfId="46"/>
    <cellStyle name="20% - Accent3 2 3" xfId="47"/>
    <cellStyle name="20% - Accent3 3" xfId="48"/>
    <cellStyle name="20% - Accent4 2" xfId="49"/>
    <cellStyle name="20% - Accent4 2 2" xfId="50"/>
    <cellStyle name="20% - Accent4 2 3" xfId="51"/>
    <cellStyle name="20% - Accent4 3" xfId="52"/>
    <cellStyle name="20% - Accent5 2" xfId="53"/>
    <cellStyle name="20% - Accent5 2 2" xfId="54"/>
    <cellStyle name="20% - Accent5 2 3" xfId="55"/>
    <cellStyle name="20% - Accent5 3" xfId="56"/>
    <cellStyle name="20% - Accent6 2" xfId="57"/>
    <cellStyle name="20% - Accent6 2 2" xfId="58"/>
    <cellStyle name="20% - Accent6 2 3" xfId="59"/>
    <cellStyle name="20% - Accent6 3" xfId="60"/>
    <cellStyle name="40% - Accent1 2" xfId="61"/>
    <cellStyle name="40% - Accent1 2 2" xfId="62"/>
    <cellStyle name="40% - Accent1 2 3" xfId="63"/>
    <cellStyle name="40% - Accent1 3" xfId="64"/>
    <cellStyle name="40% - Accent2 2" xfId="65"/>
    <cellStyle name="40% - Accent2 2 2" xfId="66"/>
    <cellStyle name="40% - Accent2 2 3" xfId="67"/>
    <cellStyle name="40% - Accent2 3" xfId="68"/>
    <cellStyle name="40% - Accent3 2" xfId="69"/>
    <cellStyle name="40% - Accent3 2 2" xfId="70"/>
    <cellStyle name="40% - Accent3 2 3" xfId="71"/>
    <cellStyle name="40% - Accent3 3" xfId="72"/>
    <cellStyle name="40% - Accent4 2" xfId="73"/>
    <cellStyle name="40% - Accent4 2 2" xfId="74"/>
    <cellStyle name="40% - Accent4 2 3" xfId="75"/>
    <cellStyle name="40% - Accent4 3" xfId="76"/>
    <cellStyle name="40% - Accent5 2" xfId="77"/>
    <cellStyle name="40% - Accent5 2 2" xfId="78"/>
    <cellStyle name="40% - Accent5 2 3" xfId="79"/>
    <cellStyle name="40% - Accent5 3" xfId="80"/>
    <cellStyle name="40% - Accent6 2" xfId="81"/>
    <cellStyle name="40% - Accent6 2 2" xfId="82"/>
    <cellStyle name="40% - Accent6 2 3" xfId="83"/>
    <cellStyle name="40% - Accent6 3" xfId="84"/>
    <cellStyle name="60% - Accent1 2" xfId="85"/>
    <cellStyle name="60% - Accent1 2 2" xfId="86"/>
    <cellStyle name="60% - Accent1 2 3" xfId="87"/>
    <cellStyle name="60% - Accent1 3" xfId="88"/>
    <cellStyle name="60% - Accent2 2" xfId="89"/>
    <cellStyle name="60% - Accent2 2 2" xfId="90"/>
    <cellStyle name="60% - Accent2 2 3" xfId="91"/>
    <cellStyle name="60% - Accent2 3" xfId="92"/>
    <cellStyle name="60% - Accent3 2" xfId="93"/>
    <cellStyle name="60% - Accent3 2 2" xfId="94"/>
    <cellStyle name="60% - Accent3 2 3" xfId="95"/>
    <cellStyle name="60% - Accent3 3" xfId="96"/>
    <cellStyle name="60% - Accent4 2" xfId="97"/>
    <cellStyle name="60% - Accent4 2 2" xfId="98"/>
    <cellStyle name="60% - Accent4 2 3" xfId="99"/>
    <cellStyle name="60% - Accent4 3" xfId="100"/>
    <cellStyle name="60% - Accent5 2" xfId="101"/>
    <cellStyle name="60% - Accent5 2 2" xfId="102"/>
    <cellStyle name="60% - Accent5 2 3" xfId="103"/>
    <cellStyle name="60% - Accent5 3" xfId="104"/>
    <cellStyle name="60% - Accent6 2" xfId="105"/>
    <cellStyle name="60% - Accent6 2 2" xfId="106"/>
    <cellStyle name="60% - Accent6 2 3" xfId="107"/>
    <cellStyle name="60% - Accent6 3" xfId="108"/>
    <cellStyle name="Accent1 2" xfId="109"/>
    <cellStyle name="Accent1 2 2" xfId="110"/>
    <cellStyle name="Accent1 2 3" xfId="111"/>
    <cellStyle name="Accent1 3" xfId="112"/>
    <cellStyle name="Accent2 2" xfId="113"/>
    <cellStyle name="Accent2 2 2" xfId="114"/>
    <cellStyle name="Accent2 2 3" xfId="115"/>
    <cellStyle name="Accent2 3" xfId="116"/>
    <cellStyle name="Accent3 2" xfId="117"/>
    <cellStyle name="Accent3 2 2" xfId="118"/>
    <cellStyle name="Accent3 2 3" xfId="119"/>
    <cellStyle name="Accent3 3" xfId="120"/>
    <cellStyle name="Accent4 2" xfId="121"/>
    <cellStyle name="Accent4 2 2" xfId="122"/>
    <cellStyle name="Accent4 2 3" xfId="123"/>
    <cellStyle name="Accent4 3" xfId="124"/>
    <cellStyle name="Accent5 2" xfId="125"/>
    <cellStyle name="Accent5 2 2" xfId="126"/>
    <cellStyle name="Accent5 2 3" xfId="127"/>
    <cellStyle name="Accent5 3" xfId="128"/>
    <cellStyle name="Accent6 2" xfId="129"/>
    <cellStyle name="Accent6 2 2" xfId="130"/>
    <cellStyle name="Accent6 2 3" xfId="131"/>
    <cellStyle name="Accent6 3" xfId="132"/>
    <cellStyle name="Bad 2" xfId="133"/>
    <cellStyle name="Bad 2 2" xfId="134"/>
    <cellStyle name="Bad 2 3" xfId="135"/>
    <cellStyle name="Bad 3" xfId="136"/>
    <cellStyle name="Calculation 2" xfId="137"/>
    <cellStyle name="Calculation 2 2" xfId="138"/>
    <cellStyle name="Calculation 2 3" xfId="139"/>
    <cellStyle name="Calculation 2 4" xfId="140"/>
    <cellStyle name="Calculation 3" xfId="141"/>
    <cellStyle name="Calculation 4" xfId="142"/>
    <cellStyle name="Check Cell 2" xfId="143"/>
    <cellStyle name="Check Cell 2 2" xfId="144"/>
    <cellStyle name="Check Cell 2 3" xfId="145"/>
    <cellStyle name="Check Cell 3" xfId="146"/>
    <cellStyle name="Comma" xfId="1" builtinId="3"/>
    <cellStyle name="Comma [0] 2" xfId="147"/>
    <cellStyle name="Comma 10" xfId="148"/>
    <cellStyle name="Comma 10 2" xfId="149"/>
    <cellStyle name="Comma 10 2 2" xfId="150"/>
    <cellStyle name="Comma 10 3" xfId="151"/>
    <cellStyle name="Comma 10 3 2" xfId="152"/>
    <cellStyle name="Comma 10 3 3" xfId="153"/>
    <cellStyle name="Comma 10 3 4" xfId="154"/>
    <cellStyle name="Comma 10 4" xfId="155"/>
    <cellStyle name="Comma 10 5" xfId="156"/>
    <cellStyle name="Comma 10 6" xfId="157"/>
    <cellStyle name="Comma 10 7" xfId="158"/>
    <cellStyle name="Comma 10 8" xfId="159"/>
    <cellStyle name="Comma 11" xfId="160"/>
    <cellStyle name="Comma 11 2" xfId="161"/>
    <cellStyle name="Comma 11 2 2" xfId="162"/>
    <cellStyle name="Comma 11 3" xfId="163"/>
    <cellStyle name="Comma 11 4" xfId="164"/>
    <cellStyle name="Comma 11 5" xfId="165"/>
    <cellStyle name="Comma 12" xfId="166"/>
    <cellStyle name="Comma 12 2" xfId="167"/>
    <cellStyle name="Comma 12 3" xfId="168"/>
    <cellStyle name="Comma 12 4" xfId="169"/>
    <cellStyle name="Comma 12 5" xfId="170"/>
    <cellStyle name="Comma 13" xfId="171"/>
    <cellStyle name="Comma 13 2" xfId="172"/>
    <cellStyle name="Comma 13 3" xfId="173"/>
    <cellStyle name="Comma 14" xfId="174"/>
    <cellStyle name="Comma 14 2" xfId="175"/>
    <cellStyle name="Comma 14 3" xfId="176"/>
    <cellStyle name="Comma 15" xfId="177"/>
    <cellStyle name="Comma 15 2" xfId="178"/>
    <cellStyle name="Comma 15 3" xfId="179"/>
    <cellStyle name="Comma 16" xfId="180"/>
    <cellStyle name="Comma 16 2" xfId="181"/>
    <cellStyle name="Comma 16 3" xfId="182"/>
    <cellStyle name="Comma 16 4" xfId="183"/>
    <cellStyle name="Comma 17" xfId="184"/>
    <cellStyle name="Comma 18" xfId="185"/>
    <cellStyle name="Comma 18 2" xfId="186"/>
    <cellStyle name="Comma 18 3" xfId="187"/>
    <cellStyle name="Comma 19" xfId="188"/>
    <cellStyle name="Comma 2" xfId="5"/>
    <cellStyle name="Comma 2 10" xfId="189"/>
    <cellStyle name="Comma 2 11" xfId="190"/>
    <cellStyle name="Comma 2 12" xfId="191"/>
    <cellStyle name="Comma 2 2" xfId="192"/>
    <cellStyle name="Comma 2 2 2" xfId="193"/>
    <cellStyle name="Comma 2 2 3" xfId="194"/>
    <cellStyle name="Comma 2 2 4" xfId="195"/>
    <cellStyle name="Comma 2 3" xfId="196"/>
    <cellStyle name="Comma 2 3 2" xfId="197"/>
    <cellStyle name="Comma 2 3 3" xfId="198"/>
    <cellStyle name="Comma 2 3 4" xfId="199"/>
    <cellStyle name="Comma 2 4" xfId="200"/>
    <cellStyle name="Comma 2 4 2" xfId="201"/>
    <cellStyle name="Comma 2 4 3" xfId="202"/>
    <cellStyle name="Comma 2 5" xfId="203"/>
    <cellStyle name="Comma 2 5 2" xfId="204"/>
    <cellStyle name="Comma 2 5 3" xfId="205"/>
    <cellStyle name="Comma 2 6" xfId="206"/>
    <cellStyle name="Comma 2 7" xfId="207"/>
    <cellStyle name="Comma 2 8" xfId="208"/>
    <cellStyle name="Comma 2 9" xfId="209"/>
    <cellStyle name="Comma 2_2.1556 Regulatory Reporting without PILs YTD March 11" xfId="210"/>
    <cellStyle name="Comma 20" xfId="211"/>
    <cellStyle name="Comma 20 2" xfId="212"/>
    <cellStyle name="Comma 20 3" xfId="213"/>
    <cellStyle name="Comma 20 4" xfId="214"/>
    <cellStyle name="Comma 21" xfId="215"/>
    <cellStyle name="Comma 22" xfId="216"/>
    <cellStyle name="Comma 23" xfId="217"/>
    <cellStyle name="Comma 24" xfId="218"/>
    <cellStyle name="Comma 25" xfId="219"/>
    <cellStyle name="Comma 26" xfId="220"/>
    <cellStyle name="Comma 27" xfId="7"/>
    <cellStyle name="Comma 27 2" xfId="221"/>
    <cellStyle name="Comma 28" xfId="222"/>
    <cellStyle name="Comma 3" xfId="223"/>
    <cellStyle name="Comma 3 2" xfId="224"/>
    <cellStyle name="Comma 3 2 2" xfId="225"/>
    <cellStyle name="Comma 3 2 3" xfId="226"/>
    <cellStyle name="Comma 3 2 4" xfId="227"/>
    <cellStyle name="Comma 3 2 5" xfId="228"/>
    <cellStyle name="Comma 3 3" xfId="229"/>
    <cellStyle name="Comma 3 3 2" xfId="230"/>
    <cellStyle name="Comma 3 3 3" xfId="231"/>
    <cellStyle name="Comma 3 4" xfId="232"/>
    <cellStyle name="Comma 3 4 2" xfId="233"/>
    <cellStyle name="Comma 3 4 3" xfId="234"/>
    <cellStyle name="Comma 3 5" xfId="235"/>
    <cellStyle name="Comma 3 6" xfId="236"/>
    <cellStyle name="Comma 3_2. 2011-2014  Rev_ FCast_IRM 2012_COS2013_Ongoing Operations_with CDM" xfId="237"/>
    <cellStyle name="Comma 4" xfId="238"/>
    <cellStyle name="Comma 4 2" xfId="239"/>
    <cellStyle name="Comma 4 2 2" xfId="240"/>
    <cellStyle name="Comma 4 2 3" xfId="241"/>
    <cellStyle name="Comma 4 2 4" xfId="242"/>
    <cellStyle name="Comma 4 3" xfId="243"/>
    <cellStyle name="Comma 4 4" xfId="244"/>
    <cellStyle name="Comma 4 5" xfId="245"/>
    <cellStyle name="Comma 4 6" xfId="246"/>
    <cellStyle name="Comma 5" xfId="247"/>
    <cellStyle name="Comma 5 2" xfId="248"/>
    <cellStyle name="Comma 6" xfId="249"/>
    <cellStyle name="Comma 6 2" xfId="250"/>
    <cellStyle name="Comma 6 2 2" xfId="251"/>
    <cellStyle name="Comma 6 3" xfId="252"/>
    <cellStyle name="Comma 6 4" xfId="253"/>
    <cellStyle name="Comma 6 5" xfId="254"/>
    <cellStyle name="Comma 7" xfId="255"/>
    <cellStyle name="Comma 7 2" xfId="256"/>
    <cellStyle name="Comma 7 2 2" xfId="257"/>
    <cellStyle name="Comma 7 3" xfId="258"/>
    <cellStyle name="Comma 7 4" xfId="259"/>
    <cellStyle name="Comma 8" xfId="260"/>
    <cellStyle name="Comma 8 2" xfId="261"/>
    <cellStyle name="Comma 8 2 2" xfId="262"/>
    <cellStyle name="Comma 8 3" xfId="263"/>
    <cellStyle name="Comma 8 4" xfId="264"/>
    <cellStyle name="Comma 9" xfId="265"/>
    <cellStyle name="Comma 9 2" xfId="266"/>
    <cellStyle name="Comma 9 2 2" xfId="267"/>
    <cellStyle name="Comma 9 2 3" xfId="268"/>
    <cellStyle name="Comma 9 3" xfId="269"/>
    <cellStyle name="Comma 9 4" xfId="270"/>
    <cellStyle name="Comma 9 5" xfId="271"/>
    <cellStyle name="Comma 9 6" xfId="272"/>
    <cellStyle name="Comma0" xfId="273"/>
    <cellStyle name="Comma0 2" xfId="274"/>
    <cellStyle name="Comma0 2 2" xfId="275"/>
    <cellStyle name="Comma0 3" xfId="276"/>
    <cellStyle name="Currency" xfId="2" builtinId="4"/>
    <cellStyle name="Currency 10" xfId="277"/>
    <cellStyle name="Currency 10 2" xfId="6"/>
    <cellStyle name="Currency 11" xfId="278"/>
    <cellStyle name="Currency 12" xfId="279"/>
    <cellStyle name="Currency 13" xfId="280"/>
    <cellStyle name="Currency 13 2" xfId="281"/>
    <cellStyle name="Currency 14" xfId="282"/>
    <cellStyle name="Currency 2" xfId="283"/>
    <cellStyle name="Currency 2 2" xfId="284"/>
    <cellStyle name="Currency 2 2 2" xfId="285"/>
    <cellStyle name="Currency 2 2 3" xfId="286"/>
    <cellStyle name="Currency 2 2 4" xfId="287"/>
    <cellStyle name="Currency 2 3" xfId="288"/>
    <cellStyle name="Currency 2 3 2" xfId="289"/>
    <cellStyle name="Currency 2 3 3" xfId="290"/>
    <cellStyle name="Currency 2 3 4" xfId="291"/>
    <cellStyle name="Currency 2 4" xfId="10"/>
    <cellStyle name="Currency 2 5" xfId="292"/>
    <cellStyle name="Currency 3" xfId="293"/>
    <cellStyle name="Currency 3 2" xfId="294"/>
    <cellStyle name="Currency 3 2 2" xfId="295"/>
    <cellStyle name="Currency 3 2 3" xfId="296"/>
    <cellStyle name="Currency 3 2 4" xfId="297"/>
    <cellStyle name="Currency 3 3" xfId="298"/>
    <cellStyle name="Currency 3 4" xfId="299"/>
    <cellStyle name="Currency 3 5" xfId="300"/>
    <cellStyle name="Currency 3_2.1556 Regulatory Reporting without PILs YTD March 11" xfId="301"/>
    <cellStyle name="Currency 4" xfId="302"/>
    <cellStyle name="Currency 4 2" xfId="303"/>
    <cellStyle name="Currency 4 2 2" xfId="304"/>
    <cellStyle name="Currency 4 2 3" xfId="305"/>
    <cellStyle name="Currency 4 2 4" xfId="306"/>
    <cellStyle name="Currency 4 3" xfId="307"/>
    <cellStyle name="Currency 4 3 2" xfId="308"/>
    <cellStyle name="Currency 4 3 3" xfId="309"/>
    <cellStyle name="Currency 4 4" xfId="310"/>
    <cellStyle name="Currency 4 5" xfId="311"/>
    <cellStyle name="Currency 5" xfId="312"/>
    <cellStyle name="Currency 5 2" xfId="313"/>
    <cellStyle name="Currency 6" xfId="314"/>
    <cellStyle name="Currency 6 2" xfId="315"/>
    <cellStyle name="Currency 6 3" xfId="316"/>
    <cellStyle name="Currency 6 4" xfId="317"/>
    <cellStyle name="Currency 7" xfId="318"/>
    <cellStyle name="Currency 8" xfId="319"/>
    <cellStyle name="Currency 8 2" xfId="320"/>
    <cellStyle name="Currency 8 3" xfId="321"/>
    <cellStyle name="Currency 9" xfId="322"/>
    <cellStyle name="Currency0" xfId="323"/>
    <cellStyle name="Currency0 2" xfId="324"/>
    <cellStyle name="Currency0 2 2" xfId="325"/>
    <cellStyle name="Currency0 3" xfId="326"/>
    <cellStyle name="custom" xfId="327"/>
    <cellStyle name="Date" xfId="328"/>
    <cellStyle name="Date 2" xfId="329"/>
    <cellStyle name="Date 2 2" xfId="330"/>
    <cellStyle name="Date 3" xfId="331"/>
    <cellStyle name="Euro" xfId="332"/>
    <cellStyle name="Euro 2" xfId="333"/>
    <cellStyle name="Explanatory Text 2" xfId="334"/>
    <cellStyle name="Explanatory Text 2 2" xfId="335"/>
    <cellStyle name="Explanatory Text 2 3" xfId="336"/>
    <cellStyle name="Explanatory Text 3" xfId="337"/>
    <cellStyle name="Fixed" xfId="338"/>
    <cellStyle name="Fixed 2" xfId="339"/>
    <cellStyle name="Fixed 2 2" xfId="340"/>
    <cellStyle name="Fixed 3" xfId="341"/>
    <cellStyle name="Good 2" xfId="342"/>
    <cellStyle name="Good 2 2" xfId="343"/>
    <cellStyle name="Good 2 3" xfId="344"/>
    <cellStyle name="Good 3" xfId="345"/>
    <cellStyle name="Grey" xfId="346"/>
    <cellStyle name="Grey 2" xfId="347"/>
    <cellStyle name="header" xfId="348"/>
    <cellStyle name="Header1" xfId="349"/>
    <cellStyle name="Header2" xfId="350"/>
    <cellStyle name="Header2 2" xfId="351"/>
    <cellStyle name="Header2 3" xfId="352"/>
    <cellStyle name="Header2 3 2" xfId="353"/>
    <cellStyle name="Heading 1 10" xfId="354"/>
    <cellStyle name="Heading 1 11" xfId="355"/>
    <cellStyle name="Heading 1 12" xfId="356"/>
    <cellStyle name="Heading 1 13" xfId="357"/>
    <cellStyle name="Heading 1 14" xfId="358"/>
    <cellStyle name="Heading 1 15" xfId="359"/>
    <cellStyle name="Heading 1 2" xfId="360"/>
    <cellStyle name="Heading 1 2 2" xfId="361"/>
    <cellStyle name="Heading 1 2 3" xfId="362"/>
    <cellStyle name="Heading 1 2 4" xfId="363"/>
    <cellStyle name="Heading 1 2 5" xfId="364"/>
    <cellStyle name="Heading 1 3" xfId="365"/>
    <cellStyle name="Heading 1 4" xfId="366"/>
    <cellStyle name="Heading 1 5" xfId="367"/>
    <cellStyle name="Heading 1 6" xfId="368"/>
    <cellStyle name="Heading 1 7" xfId="369"/>
    <cellStyle name="Heading 1 8" xfId="370"/>
    <cellStyle name="Heading 1 9" xfId="371"/>
    <cellStyle name="Heading 2 10" xfId="372"/>
    <cellStyle name="Heading 2 11" xfId="373"/>
    <cellStyle name="Heading 2 12" xfId="374"/>
    <cellStyle name="Heading 2 13" xfId="375"/>
    <cellStyle name="Heading 2 14" xfId="376"/>
    <cellStyle name="Heading 2 15" xfId="377"/>
    <cellStyle name="Heading 2 2" xfId="378"/>
    <cellStyle name="Heading 2 2 2" xfId="379"/>
    <cellStyle name="Heading 2 2 3" xfId="380"/>
    <cellStyle name="Heading 2 2 4" xfId="381"/>
    <cellStyle name="Heading 2 3" xfId="382"/>
    <cellStyle name="Heading 2 3 2" xfId="383"/>
    <cellStyle name="Heading 2 4" xfId="384"/>
    <cellStyle name="Heading 2 5" xfId="385"/>
    <cellStyle name="Heading 2 6" xfId="386"/>
    <cellStyle name="Heading 2 7" xfId="387"/>
    <cellStyle name="Heading 2 8" xfId="388"/>
    <cellStyle name="Heading 2 9" xfId="389"/>
    <cellStyle name="Heading 3 2" xfId="390"/>
    <cellStyle name="Heading 3 2 2" xfId="391"/>
    <cellStyle name="Heading 3 2 3" xfId="392"/>
    <cellStyle name="Heading 3 3" xfId="393"/>
    <cellStyle name="Heading 4 2" xfId="394"/>
    <cellStyle name="Heading 4 2 2" xfId="395"/>
    <cellStyle name="Heading 4 2 3" xfId="396"/>
    <cellStyle name="Heading 4 3" xfId="397"/>
    <cellStyle name="Hyperlink 2" xfId="3"/>
    <cellStyle name="Hyperlink 3" xfId="398"/>
    <cellStyle name="Input [yellow]" xfId="399"/>
    <cellStyle name="Input [yellow] 2" xfId="400"/>
    <cellStyle name="Input [yellow] 2 2" xfId="401"/>
    <cellStyle name="Input [yellow] 2 3" xfId="402"/>
    <cellStyle name="Input 2" xfId="403"/>
    <cellStyle name="Input 2 2" xfId="404"/>
    <cellStyle name="Input 2 3" xfId="405"/>
    <cellStyle name="Input 2 4" xfId="406"/>
    <cellStyle name="Input 3" xfId="407"/>
    <cellStyle name="Input 4" xfId="408"/>
    <cellStyle name="Input 5" xfId="409"/>
    <cellStyle name="Linked Cell 2" xfId="410"/>
    <cellStyle name="Linked Cell 2 2" xfId="411"/>
    <cellStyle name="Linked Cell 2 3" xfId="412"/>
    <cellStyle name="Linked Cell 3" xfId="413"/>
    <cellStyle name="M" xfId="414"/>
    <cellStyle name="M 2" xfId="415"/>
    <cellStyle name="M 2 2" xfId="416"/>
    <cellStyle name="M.00" xfId="417"/>
    <cellStyle name="M.00 2" xfId="418"/>
    <cellStyle name="M.00 2 2" xfId="419"/>
    <cellStyle name="M_2. 2011-2014  Rev_ FCast_IRM 2012_COS2013_Ongoing Operations_with CDM" xfId="420"/>
    <cellStyle name="M_2. 2011-2014  Rev_ FCast_IRM 2012_COS2013_Ongoing Operations_with CDM_1. Creation and Assumptions Budget_Revised with CDM" xfId="421"/>
    <cellStyle name="M_9. Rev2Cost_GDPIPI" xfId="422"/>
    <cellStyle name="M_9. Rev2Cost_GDPIPI 2" xfId="423"/>
    <cellStyle name="M_CGAAP FA Budget Model v2 james" xfId="424"/>
    <cellStyle name="M_CGAAP FA Budget Model v2 james 2" xfId="425"/>
    <cellStyle name="M_lists" xfId="426"/>
    <cellStyle name="M_lists 2" xfId="427"/>
    <cellStyle name="M_lists_4. Current Monthly Fixed Charge" xfId="428"/>
    <cellStyle name="M_Oct 2010 SM PILs Recognition" xfId="429"/>
    <cellStyle name="M_Sheet4" xfId="430"/>
    <cellStyle name="M_Sheet4 2" xfId="431"/>
    <cellStyle name="M_Xl0000180" xfId="432"/>
    <cellStyle name="Neutral 2" xfId="433"/>
    <cellStyle name="Neutral 2 2" xfId="434"/>
    <cellStyle name="Neutral 2 3" xfId="435"/>
    <cellStyle name="Neutral 3" xfId="436"/>
    <cellStyle name="Normal" xfId="0" builtinId="0"/>
    <cellStyle name="Normal - Style1" xfId="437"/>
    <cellStyle name="Normal - Style1 2" xfId="438"/>
    <cellStyle name="Normal - Style1 2 2" xfId="439"/>
    <cellStyle name="Normal - Style1 2 3" xfId="440"/>
    <cellStyle name="Normal - Style1 3" xfId="441"/>
    <cellStyle name="Normal - Style1 3 2" xfId="442"/>
    <cellStyle name="Normal - Style1 3 3" xfId="443"/>
    <cellStyle name="Normal - Style1 4" xfId="444"/>
    <cellStyle name="Normal - Style1_1595 FIT Support" xfId="445"/>
    <cellStyle name="Normal 10" xfId="446"/>
    <cellStyle name="Normal 10 2" xfId="447"/>
    <cellStyle name="Normal 10 2 2" xfId="448"/>
    <cellStyle name="Normal 10 2 3" xfId="449"/>
    <cellStyle name="Normal 10 3" xfId="450"/>
    <cellStyle name="Normal 10 4" xfId="451"/>
    <cellStyle name="Normal 11" xfId="452"/>
    <cellStyle name="Normal 11 2" xfId="453"/>
    <cellStyle name="Normal 11 3" xfId="454"/>
    <cellStyle name="Normal 12" xfId="455"/>
    <cellStyle name="Normal 12 2" xfId="456"/>
    <cellStyle name="Normal 13" xfId="457"/>
    <cellStyle name="Normal 14" xfId="458"/>
    <cellStyle name="Normal 15" xfId="459"/>
    <cellStyle name="Normal 16" xfId="460"/>
    <cellStyle name="Normal 17" xfId="461"/>
    <cellStyle name="Normal 18" xfId="462"/>
    <cellStyle name="Normal 19" xfId="463"/>
    <cellStyle name="Normal 2" xfId="464"/>
    <cellStyle name="Normal 2 2" xfId="465"/>
    <cellStyle name="Normal 2 2 2" xfId="4"/>
    <cellStyle name="Normal 2 2 3" xfId="466"/>
    <cellStyle name="Normal 2 2 4" xfId="467"/>
    <cellStyle name="Normal 2 3" xfId="468"/>
    <cellStyle name="Normal 20" xfId="469"/>
    <cellStyle name="Normal 21" xfId="470"/>
    <cellStyle name="Normal 22" xfId="471"/>
    <cellStyle name="Normal 23" xfId="472"/>
    <cellStyle name="Normal 25" xfId="473"/>
    <cellStyle name="Normal 3" xfId="474"/>
    <cellStyle name="Normal 3 2" xfId="475"/>
    <cellStyle name="Normal 3 3" xfId="476"/>
    <cellStyle name="Normal 3 3 2" xfId="477"/>
    <cellStyle name="Normal 3 3 3" xfId="478"/>
    <cellStyle name="Normal 3 4" xfId="479"/>
    <cellStyle name="Normal 3 5" xfId="480"/>
    <cellStyle name="Normal 4" xfId="481"/>
    <cellStyle name="Normal 4 2" xfId="482"/>
    <cellStyle name="Normal 4 3" xfId="483"/>
    <cellStyle name="Normal 5" xfId="484"/>
    <cellStyle name="Normal 5 2" xfId="485"/>
    <cellStyle name="Normal 5 2 2" xfId="486"/>
    <cellStyle name="Normal 5 2 3" xfId="487"/>
    <cellStyle name="Normal 5 3" xfId="488"/>
    <cellStyle name="Normal 5 4" xfId="489"/>
    <cellStyle name="Normal 5 5" xfId="490"/>
    <cellStyle name="Normal 6" xfId="491"/>
    <cellStyle name="Normal 6 2" xfId="492"/>
    <cellStyle name="Normal 6 3" xfId="493"/>
    <cellStyle name="Normal 6 4" xfId="494"/>
    <cellStyle name="Normal 6 5" xfId="495"/>
    <cellStyle name="Normal 7" xfId="496"/>
    <cellStyle name="Normal 7 2" xfId="497"/>
    <cellStyle name="Normal 7 3" xfId="498"/>
    <cellStyle name="Normal 7 4" xfId="499"/>
    <cellStyle name="Normal 8" xfId="500"/>
    <cellStyle name="Normal 8 2" xfId="501"/>
    <cellStyle name="Normal 8 3" xfId="502"/>
    <cellStyle name="Normal 9" xfId="503"/>
    <cellStyle name="Normal 9 2" xfId="504"/>
    <cellStyle name="Normal 9 2 2" xfId="505"/>
    <cellStyle name="Normal 9 2 3" xfId="506"/>
    <cellStyle name="Normal 9 3" xfId="507"/>
    <cellStyle name="Normal 9 4" xfId="508"/>
    <cellStyle name="Note 2" xfId="509"/>
    <cellStyle name="Note 2 2" xfId="510"/>
    <cellStyle name="Note 2 3" xfId="511"/>
    <cellStyle name="Note 2 4" xfId="512"/>
    <cellStyle name="Note 3" xfId="513"/>
    <cellStyle name="Output 2" xfId="514"/>
    <cellStyle name="Output 2 2" xfId="515"/>
    <cellStyle name="Output 2 3" xfId="516"/>
    <cellStyle name="Output 2 4" xfId="517"/>
    <cellStyle name="Output 3" xfId="518"/>
    <cellStyle name="Output Line Items" xfId="519"/>
    <cellStyle name="Percent" xfId="577" builtinId="5"/>
    <cellStyle name="Percent [2]" xfId="520"/>
    <cellStyle name="Percent [2] 2" xfId="521"/>
    <cellStyle name="Percent [2] 2 2" xfId="522"/>
    <cellStyle name="Percent [2] 3" xfId="523"/>
    <cellStyle name="Percent 10" xfId="524"/>
    <cellStyle name="Percent 11" xfId="525"/>
    <cellStyle name="Percent 11 2" xfId="526"/>
    <cellStyle name="Percent 12" xfId="8"/>
    <cellStyle name="Percent 2" xfId="9"/>
    <cellStyle name="Percent 2 2" xfId="527"/>
    <cellStyle name="Percent 2 2 2" xfId="528"/>
    <cellStyle name="Percent 2 2 3" xfId="529"/>
    <cellStyle name="Percent 3" xfId="530"/>
    <cellStyle name="Percent 3 2" xfId="531"/>
    <cellStyle name="Percent 3 2 2" xfId="532"/>
    <cellStyle name="Percent 3 2 3" xfId="533"/>
    <cellStyle name="Percent 3 2 4" xfId="534"/>
    <cellStyle name="Percent 3 3" xfId="535"/>
    <cellStyle name="Percent 3 4" xfId="536"/>
    <cellStyle name="Percent 3 5" xfId="537"/>
    <cellStyle name="Percent 4" xfId="538"/>
    <cellStyle name="Percent 4 2" xfId="539"/>
    <cellStyle name="Percent 5" xfId="540"/>
    <cellStyle name="Percent 5 2" xfId="541"/>
    <cellStyle name="Percent 5 3" xfId="542"/>
    <cellStyle name="Percent 6" xfId="543"/>
    <cellStyle name="Percent 6 2" xfId="544"/>
    <cellStyle name="Percent 7" xfId="545"/>
    <cellStyle name="Percent 8" xfId="546"/>
    <cellStyle name="Percent 9" xfId="547"/>
    <cellStyle name="Percent 9 2" xfId="548"/>
    <cellStyle name="Percent 9 3" xfId="549"/>
    <cellStyle name="Style 23" xfId="550"/>
    <cellStyle name="Title 2" xfId="551"/>
    <cellStyle name="Title 2 2" xfId="552"/>
    <cellStyle name="Title 2 3" xfId="553"/>
    <cellStyle name="Total 10" xfId="554"/>
    <cellStyle name="Total 11" xfId="555"/>
    <cellStyle name="Total 12" xfId="556"/>
    <cellStyle name="Total 13" xfId="557"/>
    <cellStyle name="Total 14" xfId="558"/>
    <cellStyle name="Total 15" xfId="559"/>
    <cellStyle name="Total 2" xfId="560"/>
    <cellStyle name="Total 2 2" xfId="561"/>
    <cellStyle name="Total 2 3" xfId="562"/>
    <cellStyle name="Total 2 4" xfId="563"/>
    <cellStyle name="Total 2 5" xfId="564"/>
    <cellStyle name="Total 2 6" xfId="565"/>
    <cellStyle name="Total 3" xfId="566"/>
    <cellStyle name="Total 4" xfId="567"/>
    <cellStyle name="Total 5" xfId="568"/>
    <cellStyle name="Total 6" xfId="569"/>
    <cellStyle name="Total 7" xfId="570"/>
    <cellStyle name="Total 8" xfId="571"/>
    <cellStyle name="Total 9" xfId="572"/>
    <cellStyle name="Warning Text 2" xfId="573"/>
    <cellStyle name="Warning Text 2 2" xfId="574"/>
    <cellStyle name="Warning Text 2 3" xfId="575"/>
    <cellStyle name="Warning Text 3" xfId="576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2000\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GLOB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RATES\2004\2004%20Budget%20rev.%20before%204_1_04%20Adj\2004%20Det%20Bud%20Calend%20BEFORE4_1%20Adj.%20V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1.%20JohnB\2008%20Rates\Models\scenario%20for%20Roland\EDR%202008%20Model%20recre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1.%20JohnB\2008%20Rates\Models\Rate%20Riders\scenario%20for%20Roland\EDR%202008%20Model%20recre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RPCAP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Financial%20Analysis\2004\November%202004\Hydro%20Revenue%20Nov%202004%20v2%20fr%20M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Documents%20and%20Settings\mbenum\My%20Documents\Rates\Rates%20Reporting\OEB%20Quarterly%20Submissions\July%202004\Carrying%20Charg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OPTIMU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1\Project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wasney\AppData\Local\Microsoft\Windows\Temporary%20Internet%20Files\Content.Outlook\PB93Z003\2.%20Enersource%20Disposition%20Adjustment_March%203%20Decision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wasney\AppData\Local\Microsoft\Windows\Temporary%20Internet%20Files\Content.Outlook\PB93Z003\Final%20Files%20for%20Regulatory\Updated%20Schedules%20for%20Filing_Sept%2018\2.%20Enersource%20Disposition%20Adjustment_Sept%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2\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USERS\POONJA\FORECAST\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ong\Desktop\2015_IRM_Rate_Generator_Fina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inance\Budget\Bud2010\Internal%20Budget\7.%202009%20APPENDIX%20C%20HYDRO\Appendix%20C-7%20-%20Capital%20Program\2010%20Final%20Capital%20Budget%20Propos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CAPACITY\RPCAP96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PROJ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 xml:space="preserve"> </v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 xml:space="preserve"> </v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 xml:space="preserve"> </v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 xml:space="preserve"> </v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 xml:space="preserve"> </v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 xml:space="preserve"> </v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 xml:space="preserve"> </v>
          </cell>
        </row>
        <row r="251">
          <cell r="B251" t="str">
            <v xml:space="preserve"> </v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 xml:space="preserve"> </v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 xml:space="preserve"> </v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 xml:space="preserve"> </v>
          </cell>
        </row>
        <row r="271">
          <cell r="B271" t="str">
            <v xml:space="preserve"> </v>
          </cell>
        </row>
        <row r="290">
          <cell r="B290" t="str">
            <v xml:space="preserve"> </v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 xml:space="preserve"> </v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 xml:space="preserve"> </v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 xml:space="preserve"> </v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 xml:space="preserve"> </v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 xml:space="preserve"> </v>
          </cell>
          <cell r="C370">
            <v>0.7</v>
          </cell>
        </row>
        <row r="371">
          <cell r="B371" t="str">
            <v xml:space="preserve"> </v>
          </cell>
        </row>
        <row r="372">
          <cell r="B372" t="str">
            <v xml:space="preserve"> </v>
          </cell>
        </row>
        <row r="373">
          <cell r="A373">
            <v>2</v>
          </cell>
          <cell r="B373" t="str">
            <v xml:space="preserve"> </v>
          </cell>
          <cell r="C373" t="str">
            <v>REBUILD</v>
          </cell>
          <cell r="D373">
            <v>295000</v>
          </cell>
        </row>
        <row r="374">
          <cell r="B374" t="str">
            <v xml:space="preserve"> </v>
          </cell>
          <cell r="C374">
            <v>0.8</v>
          </cell>
          <cell r="F374">
            <v>2</v>
          </cell>
        </row>
        <row r="375">
          <cell r="B375" t="str">
            <v xml:space="preserve"> </v>
          </cell>
        </row>
        <row r="376">
          <cell r="B376" t="str">
            <v xml:space="preserve"> </v>
          </cell>
        </row>
        <row r="378">
          <cell r="A378">
            <v>3</v>
          </cell>
          <cell r="B378" t="str">
            <v xml:space="preserve"> </v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 xml:space="preserve"> </v>
          </cell>
          <cell r="C379">
            <v>0.5</v>
          </cell>
        </row>
        <row r="380">
          <cell r="B380" t="str">
            <v xml:space="preserve"> </v>
          </cell>
        </row>
        <row r="383">
          <cell r="A383">
            <v>4</v>
          </cell>
          <cell r="B383" t="str">
            <v xml:space="preserve"> </v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 xml:space="preserve"> </v>
          </cell>
          <cell r="C384">
            <v>0.8</v>
          </cell>
        </row>
        <row r="385">
          <cell r="B385" t="str">
            <v xml:space="preserve"> </v>
          </cell>
        </row>
        <row r="410">
          <cell r="B410" t="str">
            <v xml:space="preserve"> </v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 xml:space="preserve"> </v>
          </cell>
        </row>
        <row r="432">
          <cell r="B432" t="str">
            <v xml:space="preserve"> </v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 xml:space="preserve"> </v>
          </cell>
        </row>
        <row r="437">
          <cell r="B437" t="str">
            <v xml:space="preserve"> </v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 xml:space="preserve"> </v>
          </cell>
        </row>
        <row r="441">
          <cell r="B441" t="str">
            <v xml:space="preserve"> </v>
          </cell>
        </row>
        <row r="444">
          <cell r="A444">
            <v>5</v>
          </cell>
          <cell r="B444" t="str">
            <v xml:space="preserve"> </v>
          </cell>
        </row>
        <row r="445">
          <cell r="B445" t="str">
            <v xml:space="preserve"> </v>
          </cell>
        </row>
        <row r="446">
          <cell r="B446" t="str">
            <v xml:space="preserve"> </v>
          </cell>
        </row>
        <row r="449">
          <cell r="A449">
            <v>6</v>
          </cell>
          <cell r="B449" t="str">
            <v xml:space="preserve"> </v>
          </cell>
        </row>
        <row r="450">
          <cell r="B450" t="str">
            <v xml:space="preserve"> </v>
          </cell>
        </row>
        <row r="451">
          <cell r="B451" t="str">
            <v xml:space="preserve"> </v>
          </cell>
        </row>
        <row r="454">
          <cell r="A454">
            <v>7</v>
          </cell>
          <cell r="B454" t="str">
            <v xml:space="preserve"> </v>
          </cell>
        </row>
        <row r="455">
          <cell r="B455" t="str">
            <v xml:space="preserve"> </v>
          </cell>
        </row>
        <row r="456">
          <cell r="B456" t="str">
            <v xml:space="preserve"> </v>
          </cell>
        </row>
        <row r="458">
          <cell r="A458">
            <v>8</v>
          </cell>
          <cell r="B458" t="str">
            <v xml:space="preserve"> </v>
          </cell>
        </row>
        <row r="459">
          <cell r="B459" t="str">
            <v xml:space="preserve"> </v>
          </cell>
        </row>
        <row r="460">
          <cell r="B460" t="str">
            <v xml:space="preserve"> </v>
          </cell>
        </row>
        <row r="461">
          <cell r="B461" t="str">
            <v xml:space="preserve"> </v>
          </cell>
        </row>
        <row r="462">
          <cell r="B462" t="str">
            <v xml:space="preserve"> </v>
          </cell>
        </row>
        <row r="464">
          <cell r="A464">
            <v>9</v>
          </cell>
          <cell r="B464" t="str">
            <v xml:space="preserve"> </v>
          </cell>
        </row>
        <row r="465">
          <cell r="B465" t="str">
            <v xml:space="preserve"> </v>
          </cell>
        </row>
        <row r="466">
          <cell r="B466" t="str">
            <v xml:space="preserve"> </v>
          </cell>
        </row>
        <row r="469">
          <cell r="A469">
            <v>10</v>
          </cell>
          <cell r="B469" t="str">
            <v xml:space="preserve"> </v>
          </cell>
        </row>
        <row r="470">
          <cell r="B470" t="str">
            <v xml:space="preserve"> </v>
          </cell>
        </row>
        <row r="471">
          <cell r="B471" t="str">
            <v xml:space="preserve"> </v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 xml:space="preserve"> </v>
          </cell>
        </row>
        <row r="489">
          <cell r="B489" t="str">
            <v xml:space="preserve"> </v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 xml:space="preserve"> </v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 xml:space="preserve"> </v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Test"/>
      <sheetName val="3. Continuity Schedule"/>
      <sheetName val="1. Billing Det. for Def-Var"/>
      <sheetName val="2. Allocating Def-Var Balances"/>
      <sheetName val="3. Calculation of Def-Var RR"/>
      <sheetName val="4. Calculation of GA RR"/>
      <sheetName val="5. Summary of Def-Var RR"/>
      <sheetName val="7. STS - Tax Change"/>
      <sheetName val="8. Shared Tax - Rate Rider"/>
      <sheetName val="9.RTSR Current Rates"/>
      <sheetName val="10. RTSR - UTR's and Sub-tx"/>
      <sheetName val="11. RTSR - Historical Wholesale"/>
      <sheetName val="12. RTSR - Current Wholesale"/>
      <sheetName val="13. RTSR - Forecast Wholesale"/>
      <sheetName val="14. RTSR  Rates to Forecast "/>
      <sheetName val="6. Rev2Cost_GDPIPI"/>
      <sheetName val="16. Additional Rates"/>
      <sheetName val="7. Final Tariff Schedule"/>
      <sheetName val="Bill Impacts"/>
      <sheetName val="RTSR %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E22">
            <v>15.751275</v>
          </cell>
        </row>
        <row r="23">
          <cell r="E23">
            <v>0.79</v>
          </cell>
        </row>
        <row r="24">
          <cell r="E24">
            <v>0.06</v>
          </cell>
        </row>
        <row r="25">
          <cell r="E25">
            <v>1.0195000000000001E-2</v>
          </cell>
        </row>
        <row r="26">
          <cell r="E26">
            <v>3.3779802421608253E-4</v>
          </cell>
        </row>
        <row r="27">
          <cell r="E27">
            <v>1.7232448694954414E-3</v>
          </cell>
        </row>
        <row r="28">
          <cell r="E28">
            <v>2.0000000000000001E-4</v>
          </cell>
        </row>
        <row r="29">
          <cell r="E29">
            <v>7.5000000000000006E-3</v>
          </cell>
        </row>
        <row r="30">
          <cell r="E30">
            <v>7.6979795285856117E-3</v>
          </cell>
        </row>
        <row r="31">
          <cell r="E31">
            <v>6.4253618534697602E-3</v>
          </cell>
        </row>
        <row r="35">
          <cell r="E35">
            <v>3.5999999999999999E-3</v>
          </cell>
        </row>
        <row r="36">
          <cell r="E36">
            <v>1.2999999999999999E-3</v>
          </cell>
        </row>
        <row r="37">
          <cell r="E37">
            <v>1.1000000000000001E-3</v>
          </cell>
        </row>
        <row r="38">
          <cell r="E38">
            <v>0.25</v>
          </cell>
        </row>
        <row r="125">
          <cell r="E125">
            <v>41.473260000000003</v>
          </cell>
        </row>
        <row r="126">
          <cell r="E126">
            <v>0.79</v>
          </cell>
        </row>
        <row r="127">
          <cell r="E127">
            <v>1.2132050000000002E-2</v>
          </cell>
        </row>
        <row r="128">
          <cell r="E128">
            <v>3.3779802421608253E-4</v>
          </cell>
        </row>
        <row r="129">
          <cell r="E129">
            <v>2.8018245404710287E-3</v>
          </cell>
        </row>
        <row r="130">
          <cell r="E130">
            <v>2.0000000000000001E-4</v>
          </cell>
        </row>
        <row r="131">
          <cell r="E131">
            <v>2.0000000000000001E-4</v>
          </cell>
        </row>
        <row r="132">
          <cell r="E132">
            <v>7.2227956085606651E-3</v>
          </cell>
        </row>
        <row r="133">
          <cell r="E133">
            <v>5.8035526338812322E-3</v>
          </cell>
        </row>
        <row r="137">
          <cell r="E137">
            <v>3.5999999999999999E-3</v>
          </cell>
        </row>
        <row r="139">
          <cell r="E139">
            <v>1.1000000000000001E-3</v>
          </cell>
        </row>
        <row r="157">
          <cell r="E157">
            <v>73.03698</v>
          </cell>
        </row>
        <row r="158">
          <cell r="E158">
            <v>4.3958801000000003</v>
          </cell>
        </row>
        <row r="159">
          <cell r="E159">
            <v>0.65439999999999998</v>
          </cell>
        </row>
        <row r="160">
          <cell r="E160">
            <v>-0.53403629391617513</v>
          </cell>
        </row>
        <row r="161">
          <cell r="E161">
            <v>1.0544140243102702</v>
          </cell>
        </row>
        <row r="162">
          <cell r="E162">
            <v>0.70801402431027016</v>
          </cell>
        </row>
        <row r="163">
          <cell r="E163">
            <v>8.0199999999999994E-2</v>
          </cell>
        </row>
        <row r="164">
          <cell r="E164">
            <v>1.7007024564497954E-3</v>
          </cell>
        </row>
        <row r="165">
          <cell r="E165">
            <v>3.1699999999999999E-2</v>
          </cell>
        </row>
        <row r="166">
          <cell r="E166">
            <v>2.7819167517318983</v>
          </cell>
        </row>
        <row r="167">
          <cell r="E167">
            <v>2.2758217150040996</v>
          </cell>
        </row>
        <row r="171">
          <cell r="E171">
            <v>3.5999999999999999E-3</v>
          </cell>
        </row>
        <row r="172">
          <cell r="E172">
            <v>1.2999999999999999E-3</v>
          </cell>
        </row>
        <row r="173">
          <cell r="E173">
            <v>1.1000000000000001E-3</v>
          </cell>
        </row>
        <row r="191">
          <cell r="E191">
            <v>1663.3754200000001</v>
          </cell>
        </row>
        <row r="192">
          <cell r="E192">
            <v>2.2619646500000004</v>
          </cell>
        </row>
        <row r="193">
          <cell r="E193">
            <v>0.82959999999999989</v>
          </cell>
        </row>
        <row r="194">
          <cell r="E194">
            <v>-0.67632833690092031</v>
          </cell>
        </row>
        <row r="195">
          <cell r="E195">
            <v>1.7349153975572156</v>
          </cell>
        </row>
        <row r="196">
          <cell r="E196">
            <v>1.3289153975572157</v>
          </cell>
        </row>
        <row r="197">
          <cell r="E197">
            <v>7.8399999999999997E-2</v>
          </cell>
        </row>
        <row r="198">
          <cell r="E198">
            <v>1.4798949386780704E-3</v>
          </cell>
        </row>
        <row r="199">
          <cell r="E199">
            <v>2.63E-2</v>
          </cell>
        </row>
        <row r="200">
          <cell r="E200">
            <v>2.6914417303723432</v>
          </cell>
        </row>
        <row r="201">
          <cell r="E201">
            <v>2.2269060559693652</v>
          </cell>
        </row>
        <row r="205">
          <cell r="E205">
            <v>3.5999999999999999E-3</v>
          </cell>
        </row>
        <row r="206">
          <cell r="E206">
            <v>1.2999999999999999E-3</v>
          </cell>
        </row>
        <row r="207">
          <cell r="E207">
            <v>1.1000000000000001E-3</v>
          </cell>
        </row>
        <row r="227">
          <cell r="E227">
            <v>13115.07229</v>
          </cell>
        </row>
        <row r="228">
          <cell r="E228">
            <v>2.8076010500000002</v>
          </cell>
        </row>
        <row r="229">
          <cell r="E229">
            <v>0.19243614735443026</v>
          </cell>
        </row>
        <row r="230">
          <cell r="E230">
            <v>-0.23482875616453472</v>
          </cell>
        </row>
        <row r="231">
          <cell r="E231">
            <v>1.4069045771687987</v>
          </cell>
        </row>
        <row r="232">
          <cell r="E232">
            <v>8.3799999999999999E-2</v>
          </cell>
        </row>
        <row r="233">
          <cell r="E233">
            <v>1.2042211362103313E-3</v>
          </cell>
        </row>
        <row r="234">
          <cell r="E234">
            <v>2.2200000000000001E-2</v>
          </cell>
        </row>
        <row r="235">
          <cell r="E235">
            <v>2.8720116207297077</v>
          </cell>
        </row>
        <row r="236">
          <cell r="E236">
            <v>2.3784202337203344</v>
          </cell>
        </row>
        <row r="239">
          <cell r="E239">
            <v>3.5999999999999999E-3</v>
          </cell>
        </row>
        <row r="240">
          <cell r="E240">
            <v>1.2999999999999999E-3</v>
          </cell>
        </row>
        <row r="241">
          <cell r="E241">
            <v>1.1000000000000001E-3</v>
          </cell>
        </row>
        <row r="258">
          <cell r="E258">
            <v>8.5638000000000005</v>
          </cell>
        </row>
        <row r="259">
          <cell r="E259">
            <v>1.559835E-2</v>
          </cell>
        </row>
        <row r="260">
          <cell r="E260">
            <v>3.3779802421608253E-4</v>
          </cell>
        </row>
        <row r="261">
          <cell r="E261">
            <v>2.3336007456497619E-3</v>
          </cell>
        </row>
        <row r="262">
          <cell r="E262">
            <v>2.0000000000000001E-4</v>
          </cell>
        </row>
        <row r="263">
          <cell r="E263">
            <v>2.9999999999999997E-4</v>
          </cell>
        </row>
        <row r="264">
          <cell r="E264">
            <v>7.2227959077614552E-3</v>
          </cell>
        </row>
        <row r="265">
          <cell r="E265">
            <v>5.8035526207134407E-3</v>
          </cell>
        </row>
        <row r="268">
          <cell r="E268">
            <v>3.5999999999999999E-3</v>
          </cell>
        </row>
        <row r="270">
          <cell r="E270">
            <v>1.1000000000000001E-3</v>
          </cell>
        </row>
        <row r="287">
          <cell r="E287">
            <v>1.437495</v>
          </cell>
        </row>
        <row r="288">
          <cell r="E288">
            <v>10.9832774</v>
          </cell>
        </row>
        <row r="289">
          <cell r="E289">
            <v>0.17661095710617547</v>
          </cell>
        </row>
        <row r="290">
          <cell r="E290">
            <v>1.2104268347777023</v>
          </cell>
        </row>
        <row r="291">
          <cell r="E291">
            <v>5.8000000000000003E-2</v>
          </cell>
        </row>
        <row r="292">
          <cell r="E292">
            <v>5.2053544734660786E-3</v>
          </cell>
        </row>
        <row r="293">
          <cell r="E293">
            <v>0.14069999999999999</v>
          </cell>
        </row>
        <row r="294">
          <cell r="E294">
            <v>1.9264906109964786</v>
          </cell>
        </row>
        <row r="295">
          <cell r="E295">
            <v>1.6456181395317646</v>
          </cell>
        </row>
        <row r="299">
          <cell r="E299">
            <v>3.5999999999999999E-3</v>
          </cell>
        </row>
        <row r="300">
          <cell r="E300">
            <v>1.2999999999999999E-3</v>
          </cell>
        </row>
        <row r="301">
          <cell r="E301">
            <v>1.1000000000000001E-3</v>
          </cell>
        </row>
      </sheetData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Test"/>
      <sheetName val="3. Continuity Schedule"/>
      <sheetName val="1. Billing Det. for Def-Var"/>
      <sheetName val="2. Allocating Def-Var Balances"/>
      <sheetName val="3. Calculation of Def-Var RR"/>
      <sheetName val="4. Calculation of GA RR"/>
      <sheetName val="5. Summary of Def-Var RR"/>
      <sheetName val="7. STS - Tax Change"/>
      <sheetName val="8. Shared Tax - Rate Rider"/>
      <sheetName val="9.RTSR Current Rates"/>
      <sheetName val="10. RTSR - UTR's and Sub-tx"/>
      <sheetName val="11. RTSR - Historical Wholesale"/>
      <sheetName val="12. RTSR - Current Wholesale"/>
      <sheetName val="13. RTSR - Forecast Wholesale"/>
      <sheetName val="14. RTSR  Rates to Forecast "/>
      <sheetName val="6. Rev2Cost_GDPIPI"/>
      <sheetName val="16. Additional Rates"/>
      <sheetName val="7. Final Tariff Schedule"/>
      <sheetName val="Bill Impacts"/>
      <sheetName val="RTSR % Ch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2">
          <cell r="E22">
            <v>15.751275</v>
          </cell>
        </row>
        <row r="68">
          <cell r="E68">
            <v>1.2999999999999999E-3</v>
          </cell>
        </row>
        <row r="69">
          <cell r="E69">
            <v>0.25</v>
          </cell>
        </row>
        <row r="103">
          <cell r="E103">
            <v>0.25</v>
          </cell>
        </row>
        <row r="137">
          <cell r="E137">
            <v>0.25</v>
          </cell>
        </row>
        <row r="171">
          <cell r="E171">
            <v>0.25</v>
          </cell>
        </row>
        <row r="200">
          <cell r="E200">
            <v>1.2999999999999999E-3</v>
          </cell>
        </row>
        <row r="201">
          <cell r="E201">
            <v>0.25</v>
          </cell>
        </row>
        <row r="232">
          <cell r="E232">
            <v>0.25</v>
          </cell>
        </row>
      </sheetData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STS - Billing Det &amp; Rates"/>
      <sheetName val="10. STS - Rebased Rev"/>
      <sheetName val="9. STS - Billing Det &amp; Rate HID"/>
      <sheetName val="11. STS - Tax Change"/>
      <sheetName val="12. STS - Tax Change Rate Rider"/>
      <sheetName val="13. RTSR Rate Sheet"/>
      <sheetName val="14. RTSR RRR Data"/>
      <sheetName val="14. RTSR RRR Data Copy"/>
      <sheetName val="15. RTSR - UTRs &amp; Sub-Tx"/>
      <sheetName val="16. RTSR - Historical Wholesale"/>
      <sheetName val="17. RTSR - Current Wholesale"/>
      <sheetName val="18. RTSR - Forecast Wholesale"/>
      <sheetName val="19. RTSR Ntwrk to Curren WS"/>
      <sheetName val="20. RTSR Adj Conn to Current WS"/>
      <sheetName val="21. RTSR Adj Ntwk to Forcast WS"/>
      <sheetName val="22. RTSR Adj Conn. to Forcst WS"/>
      <sheetName val="23. RTSR Final 2015 RTS Rates"/>
      <sheetName val="24. Rev2Cost_GDPIPI"/>
      <sheetName val="24. hidden"/>
      <sheetName val="25. Other Charges &amp; LF"/>
      <sheetName val="26. Proposed Rates"/>
      <sheetName val="26. Hidden"/>
      <sheetName val="27. Final Tariff Schedule"/>
      <sheetName val="14. Bill Impacts"/>
      <sheetName val="28. Bill Impacts"/>
      <sheetName val="lists"/>
    </sheetNames>
    <sheetDataSet>
      <sheetData sheetId="0"/>
      <sheetData sheetId="1"/>
      <sheetData sheetId="2">
        <row r="19">
          <cell r="B19" t="str">
            <v>RESIDENTIAL</v>
          </cell>
        </row>
        <row r="20">
          <cell r="B20" t="str">
            <v>GENERAL SERVICE LESS THAN 50 KW</v>
          </cell>
        </row>
        <row r="21">
          <cell r="B21" t="str">
            <v>UNMETERED SCATTERED LOAD</v>
          </cell>
        </row>
        <row r="22">
          <cell r="B22" t="str">
            <v>GENERAL SERVICE 50 TO 499 KW</v>
          </cell>
        </row>
        <row r="23">
          <cell r="B23" t="str">
            <v>GENERAL SERVICE 500 TO 4,999 KW</v>
          </cell>
        </row>
        <row r="24">
          <cell r="B24" t="str">
            <v>LARGE USE &gt; 5000 KW</v>
          </cell>
        </row>
        <row r="25">
          <cell r="B25" t="str">
            <v>STREET LIGHTING</v>
          </cell>
        </row>
        <row r="26">
          <cell r="B26" t="str">
            <v>STANDBY DISTRIBUTION SERVICE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 t="str">
            <v/>
          </cell>
          <cell r="C214" t="str">
            <v/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 t="str">
            <v/>
          </cell>
          <cell r="C215" t="str">
            <v/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 t="str">
            <v/>
          </cell>
          <cell r="C216" t="str">
            <v/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 t="str">
            <v/>
          </cell>
          <cell r="C217" t="str">
            <v/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 t="str">
            <v/>
          </cell>
          <cell r="C218" t="str">
            <v/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 t="str">
            <v/>
          </cell>
          <cell r="C219" t="str">
            <v/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 t="str">
            <v/>
          </cell>
          <cell r="C223" t="str">
            <v/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 t="str">
            <v/>
          </cell>
          <cell r="C226" t="str">
            <v/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 t="str">
            <v/>
          </cell>
          <cell r="C227" t="str">
            <v/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 t="str">
            <v/>
          </cell>
          <cell r="C228" t="str">
            <v/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 t="str">
            <v/>
          </cell>
          <cell r="C229" t="str">
            <v/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 t="str">
            <v/>
          </cell>
          <cell r="C231" t="str">
            <v/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 t="str">
            <v/>
          </cell>
          <cell r="C233" t="str">
            <v/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 t="str">
            <v/>
          </cell>
          <cell r="C235" t="str">
            <v/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 t="str">
            <v/>
          </cell>
          <cell r="C237" t="str">
            <v/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 t="str">
            <v/>
          </cell>
          <cell r="C238" t="str">
            <v/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 t="str">
            <v/>
          </cell>
          <cell r="C239" t="str">
            <v/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 t="str">
            <v/>
          </cell>
          <cell r="C240" t="str">
            <v/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 t="str">
            <v/>
          </cell>
          <cell r="C241" t="str">
            <v/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 t="str">
            <v/>
          </cell>
          <cell r="C265" t="str">
            <v/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 t="str">
            <v/>
          </cell>
          <cell r="C266" t="str">
            <v/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 t="str">
            <v/>
          </cell>
          <cell r="C267" t="str">
            <v/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 t="str">
            <v/>
          </cell>
          <cell r="C270" t="str">
            <v/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 t="str">
            <v/>
          </cell>
          <cell r="C273" t="str">
            <v/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 t="str">
            <v/>
          </cell>
          <cell r="C274" t="str">
            <v/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 t="str">
            <v/>
          </cell>
          <cell r="C276" t="str">
            <v/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 t="str">
            <v/>
          </cell>
          <cell r="C277" t="str">
            <v/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 t="str">
            <v/>
          </cell>
          <cell r="C280" t="str">
            <v/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 t="str">
            <v/>
          </cell>
          <cell r="C282" t="str">
            <v/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 t="str">
            <v/>
          </cell>
          <cell r="C284" t="str">
            <v/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 t="str">
            <v/>
          </cell>
          <cell r="C313" t="str">
            <v/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 t="str">
            <v/>
          </cell>
          <cell r="C317" t="str">
            <v/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 t="str">
            <v/>
          </cell>
          <cell r="C320" t="str">
            <v/>
          </cell>
          <cell r="D320">
            <v>0</v>
          </cell>
          <cell r="F320">
            <v>0</v>
          </cell>
        </row>
        <row r="321">
          <cell r="B321" t="str">
            <v/>
          </cell>
          <cell r="C321" t="str">
            <v/>
          </cell>
          <cell r="D321">
            <v>0</v>
          </cell>
          <cell r="F321">
            <v>0</v>
          </cell>
        </row>
        <row r="322">
          <cell r="B322" t="str">
            <v/>
          </cell>
          <cell r="C322" t="str">
            <v/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 xml:space="preserve"> </v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GB141"/>
  <sheetViews>
    <sheetView zoomScale="85" zoomScaleNormal="85" workbookViewId="0">
      <pane ySplit="7" topLeftCell="A128" activePane="bottomLeft" state="frozen"/>
      <selection activeCell="F49" sqref="F49"/>
      <selection pane="bottomLeft" activeCell="F45" sqref="F45"/>
    </sheetView>
  </sheetViews>
  <sheetFormatPr defaultColWidth="9.109375" defaultRowHeight="15" outlineLevelCol="1" x14ac:dyDescent="0.25"/>
  <cols>
    <col min="1" max="1" width="2.33203125" style="7" customWidth="1"/>
    <col min="2" max="2" width="41.33203125" style="7" customWidth="1"/>
    <col min="3" max="3" width="12.5546875" style="7" customWidth="1"/>
    <col min="4" max="4" width="81.109375" style="5" customWidth="1"/>
    <col min="5" max="5" width="13.33203125" style="7" customWidth="1"/>
    <col min="6" max="6" width="21.33203125" style="7" customWidth="1"/>
    <col min="7" max="7" width="21.5546875" style="7" customWidth="1"/>
    <col min="8" max="8" width="9.109375" style="7" customWidth="1"/>
    <col min="9" max="9" width="39" style="4" hidden="1" customWidth="1" outlineLevel="1"/>
    <col min="10" max="10" width="52.88671875" style="4" hidden="1" customWidth="1" outlineLevel="1"/>
    <col min="11" max="11" width="17.88671875" style="4" hidden="1" customWidth="1" outlineLevel="1"/>
    <col min="12" max="12" width="12" style="4" hidden="1" customWidth="1" outlineLevel="1"/>
    <col min="13" max="13" width="8.44140625" style="4" hidden="1" customWidth="1" outlineLevel="1"/>
    <col min="14" max="19" width="9.109375" style="7" hidden="1" customWidth="1" outlineLevel="1"/>
    <col min="20" max="20" width="31.88671875" style="7" hidden="1" customWidth="1" outlineLevel="1"/>
    <col min="21" max="21" width="14.33203125" style="7" hidden="1" customWidth="1" outlineLevel="1" collapsed="1"/>
    <col min="22" max="22" width="14.6640625" style="7" hidden="1" customWidth="1" outlineLevel="1" collapsed="1"/>
    <col min="23" max="23" width="11" style="7" hidden="1" customWidth="1" outlineLevel="1"/>
    <col min="24" max="24" width="9.109375" style="7" hidden="1" customWidth="1" collapsed="1"/>
    <col min="25" max="25" width="19.6640625" style="7" hidden="1" customWidth="1"/>
    <col min="26" max="26" width="23.6640625" style="7" hidden="1" customWidth="1"/>
    <col min="27" max="16384" width="9.109375" style="7"/>
  </cols>
  <sheetData>
    <row r="1" spans="1:184" ht="30" x14ac:dyDescent="0.25">
      <c r="A1" s="1"/>
      <c r="B1" s="333" t="s">
        <v>0</v>
      </c>
      <c r="C1" s="333"/>
      <c r="D1" s="333"/>
      <c r="E1" s="333"/>
      <c r="F1" s="333"/>
      <c r="G1" s="333"/>
      <c r="H1" s="2"/>
      <c r="I1" s="2"/>
      <c r="J1" s="3"/>
      <c r="N1" s="5"/>
      <c r="O1" s="5"/>
      <c r="P1" s="5"/>
      <c r="Q1" s="5"/>
      <c r="R1" s="5"/>
      <c r="S1" s="5"/>
      <c r="T1" s="5"/>
      <c r="U1" s="6" t="s">
        <v>1</v>
      </c>
      <c r="V1" s="5"/>
      <c r="W1" s="5"/>
      <c r="X1" s="5"/>
      <c r="Y1" s="5"/>
      <c r="Z1" s="5"/>
    </row>
    <row r="2" spans="1:184" ht="21" thickBot="1" x14ac:dyDescent="0.35">
      <c r="A2" s="8"/>
      <c r="B2" s="334" t="s">
        <v>247</v>
      </c>
      <c r="C2" s="334"/>
      <c r="D2" s="334"/>
      <c r="E2" s="334"/>
      <c r="F2" s="334"/>
      <c r="G2" s="334"/>
    </row>
    <row r="3" spans="1:184" ht="52.5" customHeight="1" thickBot="1" x14ac:dyDescent="0.25">
      <c r="A3" s="9"/>
      <c r="B3" s="335" t="s">
        <v>250</v>
      </c>
      <c r="C3" s="336"/>
      <c r="D3" s="336"/>
      <c r="E3" s="336"/>
      <c r="F3" s="10" t="s">
        <v>246</v>
      </c>
      <c r="G3" s="10" t="s">
        <v>2</v>
      </c>
      <c r="I3" s="11" t="s">
        <v>3</v>
      </c>
      <c r="J3" s="12" t="s">
        <v>4</v>
      </c>
      <c r="K3" s="12" t="s">
        <v>5</v>
      </c>
      <c r="L3" s="13" t="s">
        <v>6</v>
      </c>
      <c r="M3" s="12" t="s">
        <v>7</v>
      </c>
    </row>
    <row r="4" spans="1:184" s="16" customFormat="1" ht="94.5" x14ac:dyDescent="0.25">
      <c r="A4" s="14"/>
      <c r="B4" s="337"/>
      <c r="C4" s="338"/>
      <c r="D4" s="338"/>
      <c r="E4" s="338"/>
      <c r="F4" s="15" t="s">
        <v>248</v>
      </c>
      <c r="G4" s="15" t="s">
        <v>9</v>
      </c>
      <c r="I4" s="17"/>
      <c r="J4" s="18"/>
      <c r="K4" s="18"/>
      <c r="L4" s="19"/>
      <c r="M4" s="18"/>
    </row>
    <row r="5" spans="1:184" x14ac:dyDescent="0.2">
      <c r="A5" s="9"/>
      <c r="B5" s="20"/>
      <c r="C5" s="21"/>
      <c r="D5" s="22"/>
      <c r="E5" s="22"/>
      <c r="F5" s="23"/>
      <c r="G5" s="23"/>
      <c r="H5" s="5"/>
      <c r="I5" s="24"/>
      <c r="J5" s="25"/>
      <c r="K5" s="25"/>
      <c r="L5" s="26"/>
      <c r="M5" s="2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</row>
    <row r="6" spans="1:184" ht="15.75" x14ac:dyDescent="0.25">
      <c r="A6" s="9"/>
      <c r="B6" s="20"/>
      <c r="C6" s="21"/>
      <c r="D6" s="22"/>
      <c r="E6" s="22"/>
      <c r="F6" s="27"/>
      <c r="G6" s="27"/>
      <c r="H6" s="5"/>
      <c r="I6" s="24"/>
      <c r="J6" s="25"/>
      <c r="K6" s="25"/>
      <c r="L6" s="26"/>
      <c r="M6" s="25"/>
      <c r="N6" s="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28"/>
      <c r="AC6" s="28"/>
      <c r="AD6" s="28"/>
      <c r="AE6" s="29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</row>
    <row r="7" spans="1:184" ht="30" x14ac:dyDescent="0.2">
      <c r="A7" s="1"/>
      <c r="B7" s="30" t="s">
        <v>10</v>
      </c>
      <c r="C7" s="31" t="s">
        <v>11</v>
      </c>
      <c r="D7" s="117" t="s">
        <v>12</v>
      </c>
      <c r="E7" s="32" t="s">
        <v>13</v>
      </c>
      <c r="F7" s="33" t="s">
        <v>14</v>
      </c>
      <c r="G7" s="33" t="s">
        <v>14</v>
      </c>
      <c r="I7" s="24"/>
      <c r="J7" s="25"/>
      <c r="K7" s="25"/>
      <c r="L7" s="26"/>
      <c r="M7" s="25"/>
      <c r="N7" s="34"/>
      <c r="T7" s="35" t="s">
        <v>15</v>
      </c>
      <c r="U7" s="36"/>
    </row>
    <row r="8" spans="1:184" s="5" customFormat="1" ht="18" x14ac:dyDescent="0.25">
      <c r="A8" s="37"/>
      <c r="B8" s="38" t="s">
        <v>16</v>
      </c>
      <c r="C8" s="39"/>
      <c r="D8" s="40"/>
      <c r="E8" s="41"/>
      <c r="F8" s="42"/>
      <c r="G8" s="42"/>
      <c r="I8" s="43"/>
      <c r="J8" s="44"/>
      <c r="K8" s="44"/>
      <c r="L8" s="45"/>
      <c r="M8" s="46"/>
      <c r="N8" s="4"/>
    </row>
    <row r="9" spans="1:184" s="5" customFormat="1" ht="15.75" x14ac:dyDescent="0.25">
      <c r="A9" s="37"/>
      <c r="B9" s="47"/>
      <c r="C9" s="48" t="s">
        <v>17</v>
      </c>
      <c r="D9" s="49" t="s">
        <v>18</v>
      </c>
      <c r="E9" s="50" t="s">
        <v>19</v>
      </c>
      <c r="F9" s="286">
        <f>'[21]7. Final Tariff Schedule'!$E$22</f>
        <v>15.751275</v>
      </c>
      <c r="G9" s="274">
        <v>13.21894</v>
      </c>
      <c r="H9" s="52"/>
      <c r="I9" s="53"/>
      <c r="J9" s="54"/>
      <c r="K9" s="54"/>
      <c r="L9" s="52"/>
      <c r="M9" s="55"/>
      <c r="N9" s="56"/>
      <c r="O9" s="57"/>
      <c r="T9" s="49" t="s">
        <v>20</v>
      </c>
      <c r="X9" s="5" t="s">
        <v>21</v>
      </c>
    </row>
    <row r="10" spans="1:184" s="5" customFormat="1" ht="16.5" customHeight="1" x14ac:dyDescent="0.25">
      <c r="A10" s="37"/>
      <c r="B10" s="58" t="s">
        <v>22</v>
      </c>
      <c r="C10" s="48" t="s">
        <v>23</v>
      </c>
      <c r="D10" s="49" t="s">
        <v>24</v>
      </c>
      <c r="E10" s="50" t="s">
        <v>19</v>
      </c>
      <c r="F10" s="286">
        <f>'[21]7. Final Tariff Schedule'!$E$23</f>
        <v>0.79</v>
      </c>
      <c r="G10" s="269">
        <v>0.79</v>
      </c>
      <c r="H10" s="59"/>
      <c r="I10" s="60"/>
      <c r="J10" s="61"/>
      <c r="K10" s="51"/>
      <c r="L10" s="59"/>
      <c r="M10" s="55"/>
      <c r="N10" s="56"/>
      <c r="O10" s="57"/>
      <c r="T10" s="49"/>
      <c r="U10" s="62"/>
      <c r="V10" s="62"/>
      <c r="W10" s="62"/>
      <c r="X10" s="5" t="s">
        <v>21</v>
      </c>
      <c r="AA10" s="290"/>
    </row>
    <row r="11" spans="1:184" s="5" customFormat="1" ht="15.75" customHeight="1" x14ac:dyDescent="0.3">
      <c r="A11" s="37"/>
      <c r="B11" s="58"/>
      <c r="C11" s="48"/>
      <c r="D11" s="49" t="s">
        <v>262</v>
      </c>
      <c r="E11" s="50" t="s">
        <v>19</v>
      </c>
      <c r="F11" s="286">
        <f>'[21]7. Final Tariff Schedule'!$E$29</f>
        <v>7.5000000000000006E-3</v>
      </c>
      <c r="G11" s="269">
        <v>0</v>
      </c>
      <c r="H11" s="59"/>
      <c r="I11" s="60"/>
      <c r="J11" s="61"/>
      <c r="K11" s="51"/>
      <c r="L11" s="59"/>
      <c r="M11" s="55"/>
      <c r="N11" s="56"/>
      <c r="O11" s="57"/>
      <c r="T11" s="49"/>
      <c r="U11" s="62"/>
      <c r="V11" s="62"/>
      <c r="W11" s="62"/>
    </row>
    <row r="12" spans="1:184" s="5" customFormat="1" ht="15.75" x14ac:dyDescent="0.25">
      <c r="A12" s="9"/>
      <c r="B12" s="58"/>
      <c r="C12" s="48"/>
      <c r="D12" s="49" t="s">
        <v>254</v>
      </c>
      <c r="E12" s="50" t="s">
        <v>19</v>
      </c>
      <c r="F12" s="331" t="s">
        <v>272</v>
      </c>
      <c r="G12" s="286">
        <v>0</v>
      </c>
      <c r="H12" s="64"/>
      <c r="I12" s="60" t="s">
        <v>35</v>
      </c>
      <c r="J12" s="61" t="s">
        <v>36</v>
      </c>
      <c r="K12" s="67" t="s">
        <v>37</v>
      </c>
      <c r="L12" s="68">
        <v>4006</v>
      </c>
      <c r="M12" s="69">
        <v>4000</v>
      </c>
      <c r="N12" s="56"/>
      <c r="O12" s="57"/>
      <c r="T12" s="49" t="s">
        <v>20</v>
      </c>
      <c r="U12" s="62"/>
      <c r="V12" s="62"/>
      <c r="W12" s="62"/>
      <c r="Y12" s="5" t="s">
        <v>30</v>
      </c>
    </row>
    <row r="13" spans="1:184" s="5" customFormat="1" ht="15.75" x14ac:dyDescent="0.25">
      <c r="A13" s="9"/>
      <c r="B13" s="58"/>
      <c r="C13" s="48"/>
      <c r="D13" s="49" t="s">
        <v>271</v>
      </c>
      <c r="E13" s="50" t="s">
        <v>19</v>
      </c>
      <c r="F13" s="286">
        <f>'[21]7. Final Tariff Schedule'!$E$24</f>
        <v>0.06</v>
      </c>
      <c r="G13" s="287"/>
      <c r="H13" s="64"/>
      <c r="I13" s="60"/>
      <c r="J13" s="61"/>
      <c r="K13" s="67"/>
      <c r="L13" s="68"/>
      <c r="M13" s="69"/>
      <c r="N13" s="56"/>
      <c r="O13" s="57"/>
      <c r="T13" s="49"/>
      <c r="U13" s="62"/>
      <c r="V13" s="62"/>
      <c r="W13" s="62"/>
    </row>
    <row r="14" spans="1:184" s="5" customFormat="1" x14ac:dyDescent="0.2">
      <c r="A14" s="9"/>
      <c r="B14" s="58"/>
      <c r="C14" s="48" t="s">
        <v>25</v>
      </c>
      <c r="D14" s="49" t="s">
        <v>26</v>
      </c>
      <c r="E14" s="50" t="s">
        <v>27</v>
      </c>
      <c r="F14" s="293">
        <f>'[21]7. Final Tariff Schedule'!$E$25</f>
        <v>1.0195000000000001E-2</v>
      </c>
      <c r="G14" s="275">
        <v>1.328995E-2</v>
      </c>
      <c r="H14" s="64"/>
      <c r="I14" s="65"/>
      <c r="J14" s="63"/>
      <c r="K14" s="63"/>
      <c r="L14" s="64"/>
      <c r="M14" s="55"/>
      <c r="N14" s="66" t="s">
        <v>28</v>
      </c>
      <c r="O14" s="57"/>
      <c r="T14" s="49" t="s">
        <v>20</v>
      </c>
      <c r="U14" s="62"/>
      <c r="V14" s="62"/>
      <c r="W14" s="62"/>
      <c r="X14" s="5" t="s">
        <v>29</v>
      </c>
      <c r="Y14" s="5" t="s">
        <v>30</v>
      </c>
    </row>
    <row r="15" spans="1:184" s="5" customFormat="1" ht="15.75" x14ac:dyDescent="0.25">
      <c r="A15" s="9"/>
      <c r="B15" s="58"/>
      <c r="C15" s="48" t="s">
        <v>31</v>
      </c>
      <c r="D15" s="49" t="s">
        <v>252</v>
      </c>
      <c r="E15" s="50" t="s">
        <v>27</v>
      </c>
      <c r="F15" s="293">
        <f>ROUND('[21]7. Final Tariff Schedule'!$E$26,4)</f>
        <v>2.9999999999999997E-4</v>
      </c>
      <c r="G15" s="270">
        <v>0</v>
      </c>
      <c r="H15" s="64"/>
      <c r="I15" s="60" t="s">
        <v>32</v>
      </c>
      <c r="J15" s="61" t="s">
        <v>33</v>
      </c>
      <c r="K15" s="67" t="s">
        <v>34</v>
      </c>
      <c r="L15" s="68">
        <v>4080</v>
      </c>
      <c r="M15" s="69">
        <v>4000</v>
      </c>
      <c r="N15" s="56"/>
      <c r="O15" s="57"/>
      <c r="T15" s="49" t="s">
        <v>20</v>
      </c>
      <c r="U15" s="62"/>
      <c r="V15" s="62"/>
      <c r="W15" s="62"/>
      <c r="X15" s="5" t="s">
        <v>29</v>
      </c>
      <c r="Y15" s="5" t="s">
        <v>30</v>
      </c>
    </row>
    <row r="16" spans="1:184" s="5" customFormat="1" ht="15.75" x14ac:dyDescent="0.25">
      <c r="A16" s="9"/>
      <c r="B16" s="58"/>
      <c r="C16" s="48" t="s">
        <v>38</v>
      </c>
      <c r="D16" s="49" t="s">
        <v>255</v>
      </c>
      <c r="E16" s="50" t="s">
        <v>27</v>
      </c>
      <c r="F16" s="293">
        <f>ROUND('[21]7. Final Tariff Schedule'!$E$27,4)</f>
        <v>1.6999999999999999E-3</v>
      </c>
      <c r="G16" s="270">
        <v>0</v>
      </c>
      <c r="H16" s="64"/>
      <c r="I16" s="60" t="s">
        <v>39</v>
      </c>
      <c r="J16" s="61" t="s">
        <v>40</v>
      </c>
      <c r="K16" s="67" t="s">
        <v>34</v>
      </c>
      <c r="L16" s="68">
        <v>4006</v>
      </c>
      <c r="M16" s="69">
        <v>4000</v>
      </c>
      <c r="N16" s="56"/>
      <c r="O16" s="57"/>
      <c r="T16" s="49" t="s">
        <v>20</v>
      </c>
      <c r="U16" s="62"/>
      <c r="V16" s="62"/>
      <c r="W16" s="62"/>
      <c r="Y16" s="5" t="s">
        <v>30</v>
      </c>
    </row>
    <row r="17" spans="1:25" s="5" customFormat="1" ht="15.75" x14ac:dyDescent="0.25">
      <c r="A17" s="9"/>
      <c r="B17" s="58"/>
      <c r="C17" s="48" t="s">
        <v>41</v>
      </c>
      <c r="D17" s="49" t="s">
        <v>42</v>
      </c>
      <c r="E17" s="50" t="s">
        <v>27</v>
      </c>
      <c r="F17" s="293">
        <f>'[21]7. Final Tariff Schedule'!$E$28</f>
        <v>2.0000000000000001E-4</v>
      </c>
      <c r="G17" s="270">
        <v>2.0000000000000001E-4</v>
      </c>
      <c r="H17" s="64"/>
      <c r="I17" s="60" t="s">
        <v>43</v>
      </c>
      <c r="J17" s="67" t="s">
        <v>44</v>
      </c>
      <c r="K17" s="67" t="s">
        <v>34</v>
      </c>
      <c r="L17" s="68">
        <v>4075</v>
      </c>
      <c r="M17" s="69">
        <v>4000</v>
      </c>
      <c r="N17" s="56"/>
      <c r="O17" s="57"/>
      <c r="T17" s="49" t="s">
        <v>20</v>
      </c>
      <c r="X17" s="5" t="s">
        <v>29</v>
      </c>
      <c r="Y17" s="5" t="s">
        <v>30</v>
      </c>
    </row>
    <row r="18" spans="1:25" s="5" customFormat="1" x14ac:dyDescent="0.2">
      <c r="A18" s="9"/>
      <c r="B18" s="58"/>
      <c r="C18" s="48" t="s">
        <v>45</v>
      </c>
      <c r="D18" s="49" t="s">
        <v>46</v>
      </c>
      <c r="E18" s="50" t="s">
        <v>27</v>
      </c>
      <c r="F18" s="293">
        <f>'[21]7. Final Tariff Schedule'!$E$30</f>
        <v>7.6979795285856117E-3</v>
      </c>
      <c r="G18" s="271">
        <v>8.0999999999999996E-3</v>
      </c>
      <c r="H18" s="71"/>
      <c r="I18" s="72"/>
      <c r="J18" s="70"/>
      <c r="K18" s="70"/>
      <c r="L18" s="71"/>
      <c r="M18" s="55"/>
      <c r="N18" s="56"/>
      <c r="O18" s="57"/>
      <c r="T18" s="49" t="s">
        <v>20</v>
      </c>
    </row>
    <row r="19" spans="1:25" s="5" customFormat="1" x14ac:dyDescent="0.2">
      <c r="A19" s="9"/>
      <c r="B19" s="58"/>
      <c r="C19" s="48" t="s">
        <v>47</v>
      </c>
      <c r="D19" s="49" t="s">
        <v>48</v>
      </c>
      <c r="E19" s="50" t="s">
        <v>27</v>
      </c>
      <c r="F19" s="293">
        <f>'[21]7. Final Tariff Schedule'!$E$31</f>
        <v>6.4253618534697602E-3</v>
      </c>
      <c r="G19" s="271">
        <v>6.1999999999999998E-3</v>
      </c>
      <c r="H19" s="71"/>
      <c r="I19" s="72"/>
      <c r="J19" s="70"/>
      <c r="K19" s="70"/>
      <c r="L19" s="71"/>
      <c r="M19" s="55"/>
      <c r="N19" s="56"/>
      <c r="O19" s="57"/>
      <c r="T19" s="49" t="s">
        <v>20</v>
      </c>
    </row>
    <row r="20" spans="1:25" s="5" customFormat="1" x14ac:dyDescent="0.2">
      <c r="A20" s="9"/>
      <c r="B20" s="58"/>
      <c r="C20" s="48" t="s">
        <v>49</v>
      </c>
      <c r="D20" s="49" t="s">
        <v>50</v>
      </c>
      <c r="E20" s="50" t="s">
        <v>27</v>
      </c>
      <c r="F20" s="293">
        <f>'[21]7. Final Tariff Schedule'!$E$35</f>
        <v>3.5999999999999999E-3</v>
      </c>
      <c r="G20" s="271">
        <v>4.4000000000000003E-3</v>
      </c>
      <c r="H20" s="71"/>
      <c r="I20" s="72"/>
      <c r="J20" s="70"/>
      <c r="K20" s="70"/>
      <c r="L20" s="71"/>
      <c r="M20" s="55"/>
      <c r="N20" s="56"/>
      <c r="O20" s="57"/>
      <c r="T20" s="49" t="s">
        <v>51</v>
      </c>
    </row>
    <row r="21" spans="1:25" s="5" customFormat="1" x14ac:dyDescent="0.2">
      <c r="A21" s="9"/>
      <c r="B21" s="58"/>
      <c r="C21" s="48" t="s">
        <v>49</v>
      </c>
      <c r="D21" s="73" t="s">
        <v>52</v>
      </c>
      <c r="E21" s="50" t="s">
        <v>27</v>
      </c>
      <c r="F21" s="293">
        <f>'[21]7. Final Tariff Schedule'!$E$36</f>
        <v>1.2999999999999999E-3</v>
      </c>
      <c r="G21" s="271">
        <v>1.2999999999999999E-3</v>
      </c>
      <c r="H21" s="71"/>
      <c r="I21" s="72"/>
      <c r="J21" s="70"/>
      <c r="K21" s="70"/>
      <c r="L21" s="71"/>
      <c r="M21" s="55"/>
      <c r="N21" s="56"/>
      <c r="O21" s="57"/>
      <c r="T21" s="49" t="s">
        <v>51</v>
      </c>
    </row>
    <row r="22" spans="1:25" s="5" customFormat="1" x14ac:dyDescent="0.2">
      <c r="A22" s="9"/>
      <c r="B22" s="58"/>
      <c r="C22" s="48"/>
      <c r="D22" s="73" t="s">
        <v>273</v>
      </c>
      <c r="E22" s="50" t="s">
        <v>27</v>
      </c>
      <c r="F22" s="293">
        <f>'[21]7. Final Tariff Schedule'!$E$37</f>
        <v>1.1000000000000001E-3</v>
      </c>
      <c r="G22" s="271"/>
      <c r="H22" s="71"/>
      <c r="I22" s="72"/>
      <c r="J22" s="271"/>
      <c r="K22" s="271"/>
      <c r="L22" s="71"/>
      <c r="M22" s="55"/>
      <c r="N22" s="56"/>
      <c r="O22" s="57"/>
      <c r="T22" s="49"/>
    </row>
    <row r="23" spans="1:25" s="5" customFormat="1" x14ac:dyDescent="0.2">
      <c r="A23" s="9"/>
      <c r="B23" s="58"/>
      <c r="C23" s="48" t="s">
        <v>55</v>
      </c>
      <c r="D23" s="73" t="s">
        <v>56</v>
      </c>
      <c r="E23" s="50" t="s">
        <v>27</v>
      </c>
      <c r="F23" s="294">
        <v>7.0000000000000001E-3</v>
      </c>
      <c r="G23" s="273">
        <v>7.0000000000000001E-3</v>
      </c>
      <c r="H23" s="79"/>
      <c r="I23" s="80"/>
      <c r="J23" s="81"/>
      <c r="K23" s="81"/>
      <c r="L23" s="82"/>
      <c r="M23" s="83"/>
      <c r="N23" s="56"/>
      <c r="O23" s="57"/>
      <c r="T23" s="49" t="s">
        <v>57</v>
      </c>
      <c r="U23" s="79" t="e">
        <f>SUM(#REF!)</f>
        <v>#REF!</v>
      </c>
      <c r="V23" s="79">
        <f>SUM(F9:F24)</f>
        <v>16.898293341382054</v>
      </c>
      <c r="W23" s="79">
        <f>SUM(G9:G24)</f>
        <v>14.29942995</v>
      </c>
    </row>
    <row r="24" spans="1:25" s="5" customFormat="1" x14ac:dyDescent="0.2">
      <c r="A24" s="9"/>
      <c r="B24" s="58"/>
      <c r="C24" s="48" t="s">
        <v>53</v>
      </c>
      <c r="D24" s="49" t="s">
        <v>54</v>
      </c>
      <c r="E24" s="50" t="s">
        <v>19</v>
      </c>
      <c r="F24" s="286">
        <f>'[21]7. Final Tariff Schedule'!$E$38</f>
        <v>0.25</v>
      </c>
      <c r="G24" s="272">
        <v>0.25</v>
      </c>
      <c r="H24" s="75"/>
      <c r="I24" s="76"/>
      <c r="J24" s="74"/>
      <c r="K24" s="74"/>
      <c r="L24" s="75"/>
      <c r="M24" s="55"/>
      <c r="N24" s="56"/>
      <c r="O24" s="57"/>
      <c r="T24" s="49" t="s">
        <v>51</v>
      </c>
    </row>
    <row r="25" spans="1:25" s="5" customFormat="1" ht="30" customHeight="1" x14ac:dyDescent="0.25">
      <c r="A25" s="37"/>
      <c r="B25" s="38" t="s">
        <v>58</v>
      </c>
      <c r="C25" s="39"/>
      <c r="D25" s="40"/>
      <c r="E25" s="41"/>
      <c r="F25" s="42"/>
      <c r="G25" s="42"/>
      <c r="H25" s="37"/>
      <c r="I25" s="43"/>
      <c r="J25" s="44"/>
      <c r="K25" s="44"/>
      <c r="L25" s="45"/>
      <c r="M25" s="46"/>
      <c r="N25" s="26"/>
      <c r="O25" s="37"/>
    </row>
    <row r="26" spans="1:25" s="5" customFormat="1" x14ac:dyDescent="0.2">
      <c r="A26" s="37"/>
      <c r="B26" s="58"/>
      <c r="C26" s="48" t="s">
        <v>59</v>
      </c>
      <c r="D26" s="49" t="s">
        <v>18</v>
      </c>
      <c r="E26" s="50" t="s">
        <v>19</v>
      </c>
      <c r="F26" s="51">
        <f>'[21]7. Final Tariff Schedule'!$E$125</f>
        <v>41.473260000000003</v>
      </c>
      <c r="G26" s="276">
        <v>40.681449999999998</v>
      </c>
      <c r="H26" s="59"/>
      <c r="I26" s="84"/>
      <c r="J26" s="51"/>
      <c r="K26" s="51"/>
      <c r="L26" s="59"/>
      <c r="M26" s="85"/>
      <c r="N26" s="56"/>
      <c r="O26" s="37"/>
    </row>
    <row r="27" spans="1:25" s="5" customFormat="1" ht="15.75" x14ac:dyDescent="0.25">
      <c r="A27" s="37"/>
      <c r="B27" s="58" t="s">
        <v>22</v>
      </c>
      <c r="C27" s="48" t="s">
        <v>60</v>
      </c>
      <c r="D27" s="49" t="s">
        <v>24</v>
      </c>
      <c r="E27" s="50" t="s">
        <v>19</v>
      </c>
      <c r="F27" s="51">
        <f>'[21]7. Final Tariff Schedule'!$E$126</f>
        <v>0.79</v>
      </c>
      <c r="G27" s="51">
        <v>0.79</v>
      </c>
      <c r="H27" s="59"/>
      <c r="I27" s="60"/>
      <c r="J27" s="61"/>
      <c r="K27" s="51"/>
      <c r="L27" s="59"/>
      <c r="M27" s="85"/>
      <c r="N27" s="56"/>
      <c r="O27" s="37"/>
    </row>
    <row r="28" spans="1:25" s="5" customFormat="1" ht="15.75" x14ac:dyDescent="0.25">
      <c r="A28" s="37"/>
      <c r="B28" s="58"/>
      <c r="C28" s="48"/>
      <c r="D28" s="49" t="s">
        <v>254</v>
      </c>
      <c r="E28" s="50" t="s">
        <v>19</v>
      </c>
      <c r="F28" s="331" t="s">
        <v>272</v>
      </c>
      <c r="G28" s="51">
        <v>0</v>
      </c>
      <c r="H28" s="59"/>
      <c r="I28" s="60"/>
      <c r="J28" s="61"/>
      <c r="K28" s="51"/>
      <c r="L28" s="59"/>
      <c r="M28" s="85"/>
      <c r="N28" s="56"/>
      <c r="O28" s="37"/>
    </row>
    <row r="29" spans="1:25" s="5" customFormat="1" x14ac:dyDescent="0.2">
      <c r="A29" s="9"/>
      <c r="B29" s="58"/>
      <c r="C29" s="48" t="s">
        <v>61</v>
      </c>
      <c r="D29" s="49" t="s">
        <v>26</v>
      </c>
      <c r="E29" s="50" t="s">
        <v>27</v>
      </c>
      <c r="F29" s="63">
        <f>'[21]7. Final Tariff Schedule'!$E$127</f>
        <v>1.2132050000000002E-2</v>
      </c>
      <c r="G29" s="277">
        <v>1.1869650000000001E-2</v>
      </c>
      <c r="H29" s="64"/>
      <c r="I29" s="86"/>
      <c r="J29" s="25"/>
      <c r="K29" s="25"/>
      <c r="L29" s="26"/>
      <c r="M29" s="55"/>
      <c r="N29" s="56"/>
      <c r="O29" s="37"/>
    </row>
    <row r="30" spans="1:25" s="5" customFormat="1" ht="15.75" x14ac:dyDescent="0.25">
      <c r="A30" s="9"/>
      <c r="B30" s="58"/>
      <c r="C30" s="48" t="s">
        <v>62</v>
      </c>
      <c r="D30" s="49" t="s">
        <v>252</v>
      </c>
      <c r="E30" s="50" t="s">
        <v>27</v>
      </c>
      <c r="F30" s="293">
        <f>'[21]7. Final Tariff Schedule'!$E$128</f>
        <v>3.3779802421608253E-4</v>
      </c>
      <c r="G30" s="63">
        <v>0</v>
      </c>
      <c r="H30" s="64"/>
      <c r="I30" s="60" t="s">
        <v>63</v>
      </c>
      <c r="J30" s="61" t="s">
        <v>64</v>
      </c>
      <c r="K30" s="67" t="s">
        <v>34</v>
      </c>
      <c r="L30" s="68">
        <v>4080</v>
      </c>
      <c r="M30" s="69">
        <v>4000</v>
      </c>
      <c r="N30" s="56"/>
      <c r="O30" s="37"/>
    </row>
    <row r="31" spans="1:25" s="5" customFormat="1" ht="15.75" x14ac:dyDescent="0.25">
      <c r="A31" s="9"/>
      <c r="B31" s="58"/>
      <c r="C31" s="48"/>
      <c r="D31" s="49" t="s">
        <v>271</v>
      </c>
      <c r="E31" s="50" t="s">
        <v>27</v>
      </c>
      <c r="F31" s="293">
        <f>'[21]7. Final Tariff Schedule'!$E$131</f>
        <v>2.0000000000000001E-4</v>
      </c>
      <c r="G31" s="287"/>
      <c r="H31" s="64"/>
      <c r="I31" s="60"/>
      <c r="J31" s="61"/>
      <c r="K31" s="67"/>
      <c r="L31" s="68"/>
      <c r="M31" s="69"/>
      <c r="N31" s="56"/>
      <c r="O31" s="37"/>
    </row>
    <row r="32" spans="1:25" s="5" customFormat="1" ht="15.75" x14ac:dyDescent="0.25">
      <c r="A32" s="9"/>
      <c r="B32" s="58"/>
      <c r="C32" s="48" t="s">
        <v>67</v>
      </c>
      <c r="D32" s="49" t="s">
        <v>255</v>
      </c>
      <c r="E32" s="50" t="s">
        <v>27</v>
      </c>
      <c r="F32" s="293">
        <f>'[21]7. Final Tariff Schedule'!$E$129</f>
        <v>2.8018245404710287E-3</v>
      </c>
      <c r="G32" s="63">
        <v>0</v>
      </c>
      <c r="H32" s="64"/>
      <c r="I32" s="60" t="s">
        <v>68</v>
      </c>
      <c r="J32" s="61" t="s">
        <v>69</v>
      </c>
      <c r="K32" s="67" t="s">
        <v>34</v>
      </c>
      <c r="L32" s="68">
        <v>4035</v>
      </c>
      <c r="M32" s="69">
        <v>4000</v>
      </c>
      <c r="N32" s="56"/>
      <c r="O32" s="37"/>
    </row>
    <row r="33" spans="1:20" s="5" customFormat="1" ht="15.75" x14ac:dyDescent="0.25">
      <c r="A33" s="9"/>
      <c r="B33" s="58"/>
      <c r="C33" s="48" t="s">
        <v>70</v>
      </c>
      <c r="D33" s="49" t="s">
        <v>42</v>
      </c>
      <c r="E33" s="50" t="s">
        <v>27</v>
      </c>
      <c r="F33" s="63">
        <f>'[21]7. Final Tariff Schedule'!$E$130</f>
        <v>2.0000000000000001E-4</v>
      </c>
      <c r="G33" s="63">
        <v>2.0000000000000001E-4</v>
      </c>
      <c r="H33" s="64"/>
      <c r="I33" s="60" t="s">
        <v>71</v>
      </c>
      <c r="J33" s="61" t="s">
        <v>72</v>
      </c>
      <c r="K33" s="67" t="s">
        <v>34</v>
      </c>
      <c r="L33" s="68">
        <v>4075</v>
      </c>
      <c r="M33" s="69">
        <v>4000</v>
      </c>
      <c r="N33" s="56"/>
      <c r="O33" s="37"/>
    </row>
    <row r="34" spans="1:20" s="5" customFormat="1" x14ac:dyDescent="0.25">
      <c r="A34" s="9"/>
      <c r="B34" s="58"/>
      <c r="C34" s="48"/>
      <c r="D34" s="49" t="s">
        <v>262</v>
      </c>
      <c r="E34" s="50" t="s">
        <v>27</v>
      </c>
      <c r="F34" s="293">
        <v>0</v>
      </c>
      <c r="G34" s="63">
        <v>0</v>
      </c>
      <c r="H34" s="64"/>
      <c r="I34" s="65"/>
      <c r="J34" s="63"/>
      <c r="K34" s="63"/>
      <c r="L34" s="64"/>
      <c r="M34" s="85"/>
      <c r="N34" s="56"/>
      <c r="O34" s="37"/>
    </row>
    <row r="35" spans="1:20" s="5" customFormat="1" ht="15.75" x14ac:dyDescent="0.25">
      <c r="A35" s="9"/>
      <c r="B35" s="58"/>
      <c r="C35" s="48"/>
      <c r="D35" s="49" t="s">
        <v>256</v>
      </c>
      <c r="E35" s="50" t="s">
        <v>27</v>
      </c>
      <c r="F35" s="331" t="s">
        <v>272</v>
      </c>
      <c r="G35" s="63">
        <v>0</v>
      </c>
      <c r="H35" s="64"/>
      <c r="I35" s="60" t="s">
        <v>65</v>
      </c>
      <c r="J35" s="61" t="s">
        <v>66</v>
      </c>
      <c r="K35" s="67" t="s">
        <v>37</v>
      </c>
      <c r="L35" s="68">
        <v>4035</v>
      </c>
      <c r="M35" s="69">
        <v>4000</v>
      </c>
      <c r="N35" s="56"/>
      <c r="O35" s="37"/>
    </row>
    <row r="36" spans="1:20" s="5" customFormat="1" x14ac:dyDescent="0.2">
      <c r="A36" s="9"/>
      <c r="B36" s="58"/>
      <c r="C36" s="48" t="s">
        <v>73</v>
      </c>
      <c r="D36" s="49" t="s">
        <v>74</v>
      </c>
      <c r="E36" s="50" t="s">
        <v>27</v>
      </c>
      <c r="F36" s="70">
        <f>'[21]7. Final Tariff Schedule'!$E$132</f>
        <v>7.2227956085606651E-3</v>
      </c>
      <c r="G36" s="70">
        <v>7.6E-3</v>
      </c>
      <c r="H36" s="71"/>
      <c r="I36" s="72"/>
      <c r="J36" s="70"/>
      <c r="K36" s="70"/>
      <c r="L36" s="71"/>
      <c r="M36" s="85"/>
      <c r="N36" s="56"/>
      <c r="O36" s="37"/>
    </row>
    <row r="37" spans="1:20" s="5" customFormat="1" x14ac:dyDescent="0.2">
      <c r="A37" s="9"/>
      <c r="B37" s="58"/>
      <c r="C37" s="48" t="s">
        <v>75</v>
      </c>
      <c r="D37" s="49" t="s">
        <v>76</v>
      </c>
      <c r="E37" s="50" t="s">
        <v>27</v>
      </c>
      <c r="F37" s="271">
        <f>'[21]7. Final Tariff Schedule'!$E$133</f>
        <v>5.8035526338812322E-3</v>
      </c>
      <c r="G37" s="70">
        <v>5.5999999999999999E-3</v>
      </c>
      <c r="H37" s="71"/>
      <c r="I37" s="72"/>
      <c r="J37" s="70"/>
      <c r="K37" s="70"/>
      <c r="L37" s="71"/>
      <c r="M37" s="85"/>
      <c r="N37" s="56"/>
      <c r="O37" s="37"/>
    </row>
    <row r="38" spans="1:20" s="5" customFormat="1" x14ac:dyDescent="0.2">
      <c r="A38" s="9"/>
      <c r="B38" s="58"/>
      <c r="C38" s="48" t="s">
        <v>49</v>
      </c>
      <c r="D38" s="49" t="s">
        <v>50</v>
      </c>
      <c r="E38" s="50" t="s">
        <v>27</v>
      </c>
      <c r="F38" s="70">
        <f>'[21]7. Final Tariff Schedule'!$E$137</f>
        <v>3.5999999999999999E-3</v>
      </c>
      <c r="G38" s="70">
        <v>4.4000000000000003E-3</v>
      </c>
      <c r="H38" s="71"/>
      <c r="I38" s="72"/>
      <c r="J38" s="70"/>
      <c r="K38" s="70"/>
      <c r="L38" s="71"/>
      <c r="M38" s="85"/>
      <c r="N38" s="56"/>
      <c r="O38" s="37"/>
      <c r="T38" s="5" t="s">
        <v>77</v>
      </c>
    </row>
    <row r="39" spans="1:20" s="5" customFormat="1" x14ac:dyDescent="0.2">
      <c r="A39" s="9"/>
      <c r="B39" s="58"/>
      <c r="C39" s="48" t="s">
        <v>49</v>
      </c>
      <c r="D39" s="73" t="s">
        <v>52</v>
      </c>
      <c r="E39" s="50" t="s">
        <v>27</v>
      </c>
      <c r="F39" s="70">
        <f>'[22]7. Final Tariff Schedule'!E68</f>
        <v>1.2999999999999999E-3</v>
      </c>
      <c r="G39" s="70">
        <v>1.2999999999999999E-3</v>
      </c>
      <c r="H39" s="71"/>
      <c r="I39" s="72"/>
      <c r="J39" s="70"/>
      <c r="K39" s="70"/>
      <c r="L39" s="71"/>
      <c r="M39" s="85"/>
      <c r="N39" s="56"/>
      <c r="O39" s="37"/>
    </row>
    <row r="40" spans="1:20" s="5" customFormat="1" x14ac:dyDescent="0.2">
      <c r="A40" s="9"/>
      <c r="B40" s="58"/>
      <c r="C40" s="48"/>
      <c r="D40" s="73" t="s">
        <v>273</v>
      </c>
      <c r="E40" s="50" t="s">
        <v>27</v>
      </c>
      <c r="F40" s="271">
        <f>'[21]7. Final Tariff Schedule'!$E$139</f>
        <v>1.1000000000000001E-3</v>
      </c>
      <c r="G40" s="271"/>
      <c r="H40" s="71"/>
      <c r="I40" s="72"/>
      <c r="J40" s="271"/>
      <c r="K40" s="271"/>
      <c r="L40" s="71"/>
      <c r="M40" s="85"/>
      <c r="N40" s="56"/>
      <c r="O40" s="37"/>
    </row>
    <row r="41" spans="1:20" s="5" customFormat="1" x14ac:dyDescent="0.2">
      <c r="A41" s="9"/>
      <c r="B41" s="58"/>
      <c r="C41" s="48" t="s">
        <v>55</v>
      </c>
      <c r="D41" s="73" t="s">
        <v>56</v>
      </c>
      <c r="E41" s="50" t="s">
        <v>27</v>
      </c>
      <c r="F41" s="78">
        <v>7.0000000000000001E-3</v>
      </c>
      <c r="G41" s="78">
        <v>7.0000000000000001E-3</v>
      </c>
      <c r="H41" s="89"/>
      <c r="I41" s="90"/>
      <c r="J41" s="78"/>
      <c r="K41" s="78"/>
      <c r="L41" s="89"/>
      <c r="M41" s="85"/>
      <c r="N41" s="56"/>
      <c r="O41" s="37"/>
    </row>
    <row r="42" spans="1:20" s="5" customFormat="1" x14ac:dyDescent="0.2">
      <c r="A42" s="9"/>
      <c r="B42" s="58"/>
      <c r="C42" s="88" t="s">
        <v>53</v>
      </c>
      <c r="D42" s="49" t="s">
        <v>54</v>
      </c>
      <c r="E42" s="50" t="s">
        <v>19</v>
      </c>
      <c r="F42" s="74">
        <f>'[22]7. Final Tariff Schedule'!E69</f>
        <v>0.25</v>
      </c>
      <c r="G42" s="74">
        <v>0.25</v>
      </c>
      <c r="H42" s="75"/>
      <c r="I42" s="76"/>
      <c r="J42" s="74"/>
      <c r="K42" s="74"/>
      <c r="L42" s="75"/>
      <c r="M42" s="85"/>
      <c r="N42" s="56"/>
      <c r="O42" s="37"/>
    </row>
    <row r="43" spans="1:20" s="5" customFormat="1" ht="47.25" x14ac:dyDescent="0.25">
      <c r="A43" s="37"/>
      <c r="B43" s="38" t="s">
        <v>78</v>
      </c>
      <c r="C43" s="48"/>
      <c r="D43" s="40"/>
      <c r="E43" s="41"/>
      <c r="F43" s="42"/>
      <c r="G43" s="42"/>
      <c r="I43" s="43"/>
      <c r="J43" s="44"/>
      <c r="K43" s="44"/>
      <c r="L43" s="45"/>
      <c r="M43" s="46"/>
      <c r="N43" s="4"/>
    </row>
    <row r="44" spans="1:20" s="5" customFormat="1" x14ac:dyDescent="0.2">
      <c r="A44" s="37"/>
      <c r="B44" s="91"/>
      <c r="C44" s="48" t="s">
        <v>79</v>
      </c>
      <c r="D44" s="92" t="s">
        <v>80</v>
      </c>
      <c r="E44" s="50" t="s">
        <v>19</v>
      </c>
      <c r="F44" s="51">
        <f>'[21]7. Final Tariff Schedule'!$E$258</f>
        <v>8.5638000000000005</v>
      </c>
      <c r="G44" s="278">
        <v>8.4000599999999999</v>
      </c>
      <c r="H44" s="59"/>
      <c r="I44" s="84"/>
      <c r="J44" s="51"/>
      <c r="K44" s="51"/>
      <c r="L44" s="59"/>
      <c r="M44" s="55"/>
      <c r="N44" s="93"/>
      <c r="O44" s="94"/>
    </row>
    <row r="45" spans="1:20" s="5" customFormat="1" ht="15" customHeight="1" x14ac:dyDescent="0.2">
      <c r="A45" s="37"/>
      <c r="B45" s="58"/>
      <c r="C45" s="48"/>
      <c r="D45" s="49" t="s">
        <v>254</v>
      </c>
      <c r="E45" s="50" t="s">
        <v>19</v>
      </c>
      <c r="F45" s="331" t="s">
        <v>272</v>
      </c>
      <c r="G45" s="278">
        <v>0</v>
      </c>
      <c r="H45" s="59"/>
      <c r="I45" s="84"/>
      <c r="J45" s="51"/>
      <c r="K45" s="51"/>
      <c r="L45" s="59"/>
      <c r="M45" s="55"/>
      <c r="N45" s="93"/>
      <c r="O45" s="94"/>
    </row>
    <row r="46" spans="1:20" s="5" customFormat="1" x14ac:dyDescent="0.2">
      <c r="A46" s="9"/>
      <c r="B46" s="58"/>
      <c r="C46" s="48" t="s">
        <v>81</v>
      </c>
      <c r="D46" s="49" t="s">
        <v>26</v>
      </c>
      <c r="E46" s="50" t="s">
        <v>27</v>
      </c>
      <c r="F46" s="63">
        <f>'[21]7. Final Tariff Schedule'!$E$259</f>
        <v>1.559835E-2</v>
      </c>
      <c r="G46" s="279">
        <v>1.531895E-2</v>
      </c>
      <c r="H46" s="64"/>
      <c r="I46" s="65"/>
      <c r="J46" s="63"/>
      <c r="K46" s="63"/>
      <c r="L46" s="64"/>
      <c r="M46" s="55"/>
      <c r="N46" s="93"/>
      <c r="O46" s="94"/>
    </row>
    <row r="47" spans="1:20" s="5" customFormat="1" ht="15.75" x14ac:dyDescent="0.25">
      <c r="A47" s="9"/>
      <c r="B47" s="58"/>
      <c r="C47" s="48" t="s">
        <v>82</v>
      </c>
      <c r="D47" s="49" t="s">
        <v>257</v>
      </c>
      <c r="E47" s="50" t="s">
        <v>27</v>
      </c>
      <c r="F47" s="293">
        <f>ROUND('[21]7. Final Tariff Schedule'!$E$260,4)</f>
        <v>2.9999999999999997E-4</v>
      </c>
      <c r="G47" s="63">
        <v>0</v>
      </c>
      <c r="H47" s="64"/>
      <c r="I47" s="60" t="s">
        <v>83</v>
      </c>
      <c r="J47" s="61" t="s">
        <v>84</v>
      </c>
      <c r="K47" s="67" t="s">
        <v>34</v>
      </c>
      <c r="L47" s="68">
        <v>4080</v>
      </c>
      <c r="M47" s="69">
        <v>4000</v>
      </c>
      <c r="N47" s="93"/>
      <c r="O47" s="94"/>
    </row>
    <row r="48" spans="1:20" s="5" customFormat="1" ht="15.75" x14ac:dyDescent="0.25">
      <c r="A48" s="9"/>
      <c r="B48" s="58"/>
      <c r="C48" s="48"/>
      <c r="D48" s="49" t="s">
        <v>271</v>
      </c>
      <c r="E48" s="50" t="s">
        <v>27</v>
      </c>
      <c r="F48" s="293">
        <f>'[21]7. Final Tariff Schedule'!$E$263</f>
        <v>2.9999999999999997E-4</v>
      </c>
      <c r="G48" s="287"/>
      <c r="H48" s="64"/>
      <c r="I48" s="60"/>
      <c r="J48" s="61"/>
      <c r="K48" s="67"/>
      <c r="L48" s="68"/>
      <c r="M48" s="69"/>
      <c r="N48" s="93"/>
      <c r="O48" s="94"/>
    </row>
    <row r="49" spans="1:26" s="5" customFormat="1" ht="15.75" x14ac:dyDescent="0.25">
      <c r="A49" s="9"/>
      <c r="B49" s="58"/>
      <c r="C49" s="48" t="s">
        <v>88</v>
      </c>
      <c r="D49" s="49" t="s">
        <v>255</v>
      </c>
      <c r="E49" s="50" t="s">
        <v>27</v>
      </c>
      <c r="F49" s="293">
        <f>ROUND('[21]7. Final Tariff Schedule'!$E$261,4)</f>
        <v>2.3E-3</v>
      </c>
      <c r="G49" s="63">
        <v>0</v>
      </c>
      <c r="H49" s="64"/>
      <c r="I49" s="60" t="s">
        <v>89</v>
      </c>
      <c r="J49" s="61" t="s">
        <v>90</v>
      </c>
      <c r="K49" s="67" t="s">
        <v>34</v>
      </c>
      <c r="L49" s="68">
        <v>4010</v>
      </c>
      <c r="M49" s="69">
        <v>4000</v>
      </c>
      <c r="N49" s="93"/>
      <c r="O49" s="94"/>
    </row>
    <row r="50" spans="1:26" s="5" customFormat="1" ht="15.75" x14ac:dyDescent="0.25">
      <c r="A50" s="9"/>
      <c r="B50" s="58"/>
      <c r="C50" s="48" t="s">
        <v>91</v>
      </c>
      <c r="D50" s="49" t="s">
        <v>42</v>
      </c>
      <c r="E50" s="50" t="s">
        <v>27</v>
      </c>
      <c r="F50" s="293">
        <f>'[21]7. Final Tariff Schedule'!$E$262</f>
        <v>2.0000000000000001E-4</v>
      </c>
      <c r="G50" s="63">
        <v>2.0000000000000001E-4</v>
      </c>
      <c r="H50" s="64"/>
      <c r="I50" s="60" t="s">
        <v>92</v>
      </c>
      <c r="J50" s="61" t="s">
        <v>93</v>
      </c>
      <c r="K50" s="67" t="s">
        <v>34</v>
      </c>
      <c r="L50" s="68">
        <v>4075</v>
      </c>
      <c r="M50" s="69">
        <v>4000</v>
      </c>
      <c r="N50" s="93"/>
      <c r="O50" s="94"/>
    </row>
    <row r="51" spans="1:26" s="5" customFormat="1" ht="15.6" x14ac:dyDescent="0.3">
      <c r="A51" s="9"/>
      <c r="B51" s="58"/>
      <c r="C51" s="48"/>
      <c r="D51" s="49" t="s">
        <v>262</v>
      </c>
      <c r="E51" s="50" t="s">
        <v>27</v>
      </c>
      <c r="F51" s="293">
        <v>0</v>
      </c>
      <c r="G51" s="63">
        <v>0</v>
      </c>
      <c r="H51" s="64"/>
      <c r="I51" s="60" t="s">
        <v>85</v>
      </c>
      <c r="J51" s="61" t="s">
        <v>86</v>
      </c>
      <c r="K51" s="67" t="s">
        <v>37</v>
      </c>
      <c r="L51" s="68">
        <v>4010</v>
      </c>
      <c r="M51" s="69">
        <v>4000</v>
      </c>
      <c r="N51" s="93"/>
      <c r="O51" s="94"/>
      <c r="T51" s="5" t="s">
        <v>87</v>
      </c>
    </row>
    <row r="52" spans="1:26" s="5" customFormat="1" ht="15.75" x14ac:dyDescent="0.25">
      <c r="A52" s="9"/>
      <c r="B52" s="58"/>
      <c r="C52" s="48"/>
      <c r="D52" s="49" t="s">
        <v>256</v>
      </c>
      <c r="E52" s="50" t="s">
        <v>27</v>
      </c>
      <c r="F52" s="331" t="s">
        <v>272</v>
      </c>
      <c r="G52" s="287">
        <v>0</v>
      </c>
      <c r="H52" s="64"/>
      <c r="I52" s="60"/>
      <c r="J52" s="61"/>
      <c r="K52" s="67"/>
      <c r="L52" s="68"/>
      <c r="M52" s="69"/>
      <c r="N52" s="93"/>
      <c r="O52" s="94"/>
    </row>
    <row r="53" spans="1:26" s="5" customFormat="1" x14ac:dyDescent="0.2">
      <c r="A53" s="9"/>
      <c r="B53" s="58"/>
      <c r="C53" s="48" t="s">
        <v>94</v>
      </c>
      <c r="D53" s="49" t="s">
        <v>74</v>
      </c>
      <c r="E53" s="50" t="s">
        <v>27</v>
      </c>
      <c r="F53" s="293">
        <f>'[21]7. Final Tariff Schedule'!$E$264</f>
        <v>7.2227959077614552E-3</v>
      </c>
      <c r="G53" s="70">
        <v>7.6E-3</v>
      </c>
      <c r="H53" s="71"/>
      <c r="I53" s="72"/>
      <c r="J53" s="70"/>
      <c r="K53" s="70"/>
      <c r="L53" s="71"/>
      <c r="M53" s="55"/>
      <c r="N53" s="93"/>
      <c r="O53" s="94"/>
      <c r="T53" s="5" t="s">
        <v>95</v>
      </c>
    </row>
    <row r="54" spans="1:26" s="5" customFormat="1" x14ac:dyDescent="0.2">
      <c r="A54" s="9"/>
      <c r="B54" s="58"/>
      <c r="C54" s="48" t="s">
        <v>96</v>
      </c>
      <c r="D54" s="49" t="s">
        <v>76</v>
      </c>
      <c r="E54" s="50" t="s">
        <v>27</v>
      </c>
      <c r="F54" s="293">
        <f>'[21]7. Final Tariff Schedule'!$E$265</f>
        <v>5.8035526207134407E-3</v>
      </c>
      <c r="G54" s="70">
        <v>5.5999999999999999E-3</v>
      </c>
      <c r="H54" s="71"/>
      <c r="I54" s="72"/>
      <c r="J54" s="70"/>
      <c r="K54" s="70"/>
      <c r="L54" s="71"/>
      <c r="M54" s="55"/>
      <c r="N54" s="93"/>
      <c r="O54" s="94"/>
      <c r="T54" s="5" t="s">
        <v>95</v>
      </c>
    </row>
    <row r="55" spans="1:26" s="5" customFormat="1" x14ac:dyDescent="0.2">
      <c r="A55" s="9"/>
      <c r="B55" s="58"/>
      <c r="C55" s="48" t="s">
        <v>49</v>
      </c>
      <c r="D55" s="49" t="s">
        <v>50</v>
      </c>
      <c r="E55" s="50" t="s">
        <v>27</v>
      </c>
      <c r="F55" s="293">
        <f>'[21]7. Final Tariff Schedule'!$E$268</f>
        <v>3.5999999999999999E-3</v>
      </c>
      <c r="G55" s="70">
        <v>4.4000000000000003E-3</v>
      </c>
      <c r="H55" s="71"/>
      <c r="I55" s="72"/>
      <c r="J55" s="70"/>
      <c r="K55" s="70"/>
      <c r="L55" s="71"/>
      <c r="M55" s="55"/>
      <c r="N55" s="93"/>
      <c r="O55" s="94"/>
    </row>
    <row r="56" spans="1:26" s="5" customFormat="1" x14ac:dyDescent="0.2">
      <c r="A56" s="9"/>
      <c r="B56" s="58"/>
      <c r="C56" s="48" t="s">
        <v>49</v>
      </c>
      <c r="D56" s="73" t="s">
        <v>52</v>
      </c>
      <c r="E56" s="50" t="s">
        <v>27</v>
      </c>
      <c r="F56" s="70">
        <f>'[22]7. Final Tariff Schedule'!E200</f>
        <v>1.2999999999999999E-3</v>
      </c>
      <c r="G56" s="70">
        <v>1.2999999999999999E-3</v>
      </c>
      <c r="H56" s="71"/>
      <c r="I56" s="72"/>
      <c r="J56" s="70"/>
      <c r="K56" s="70"/>
      <c r="L56" s="71"/>
      <c r="M56" s="55"/>
      <c r="N56" s="93"/>
      <c r="O56" s="94"/>
    </row>
    <row r="57" spans="1:26" s="5" customFormat="1" x14ac:dyDescent="0.2">
      <c r="A57" s="9"/>
      <c r="B57" s="58"/>
      <c r="C57" s="48"/>
      <c r="D57" s="73" t="s">
        <v>273</v>
      </c>
      <c r="E57" s="50" t="s">
        <v>27</v>
      </c>
      <c r="F57" s="271">
        <f>'[21]7. Final Tariff Schedule'!$E$270</f>
        <v>1.1000000000000001E-3</v>
      </c>
      <c r="G57" s="271"/>
      <c r="H57" s="71"/>
      <c r="I57" s="72"/>
      <c r="J57" s="271"/>
      <c r="K57" s="271"/>
      <c r="L57" s="71"/>
      <c r="M57" s="55"/>
      <c r="N57" s="93"/>
      <c r="O57" s="94"/>
    </row>
    <row r="58" spans="1:26" s="5" customFormat="1" x14ac:dyDescent="0.2">
      <c r="A58" s="9"/>
      <c r="B58" s="58"/>
      <c r="C58" s="48" t="s">
        <v>55</v>
      </c>
      <c r="D58" s="49" t="s">
        <v>56</v>
      </c>
      <c r="E58" s="50" t="s">
        <v>27</v>
      </c>
      <c r="F58" s="78">
        <v>7.0000000000000001E-3</v>
      </c>
      <c r="G58" s="78">
        <v>7.0000000000000001E-3</v>
      </c>
      <c r="H58" s="89"/>
      <c r="I58" s="90"/>
      <c r="J58" s="78"/>
      <c r="K58" s="78"/>
      <c r="L58" s="89"/>
      <c r="M58" s="55"/>
      <c r="N58" s="93"/>
      <c r="O58" s="94"/>
    </row>
    <row r="59" spans="1:26" s="5" customFormat="1" x14ac:dyDescent="0.2">
      <c r="A59" s="9"/>
      <c r="B59" s="58"/>
      <c r="C59" s="88" t="s">
        <v>53</v>
      </c>
      <c r="D59" s="49" t="s">
        <v>54</v>
      </c>
      <c r="E59" s="50" t="s">
        <v>19</v>
      </c>
      <c r="F59" s="74">
        <f>'[22]7. Final Tariff Schedule'!E201</f>
        <v>0.25</v>
      </c>
      <c r="G59" s="74">
        <v>0.25</v>
      </c>
      <c r="H59" s="75"/>
      <c r="I59" s="76"/>
      <c r="J59" s="74"/>
      <c r="K59" s="74"/>
      <c r="L59" s="75"/>
      <c r="M59" s="55"/>
      <c r="N59" s="93"/>
      <c r="O59" s="94"/>
    </row>
    <row r="60" spans="1:26" s="5" customFormat="1" ht="31.5" x14ac:dyDescent="0.25">
      <c r="A60" s="37"/>
      <c r="B60" s="38" t="s">
        <v>268</v>
      </c>
      <c r="C60" s="48"/>
      <c r="D60" s="40"/>
      <c r="E60" s="41"/>
      <c r="F60" s="42"/>
      <c r="G60" s="42"/>
      <c r="H60" s="37"/>
      <c r="I60" s="86"/>
      <c r="J60" s="25"/>
      <c r="K60" s="25"/>
      <c r="L60" s="26"/>
      <c r="M60" s="55"/>
      <c r="N60" s="26"/>
      <c r="O60" s="37"/>
    </row>
    <row r="61" spans="1:26" s="5" customFormat="1" x14ac:dyDescent="0.2">
      <c r="A61" s="37"/>
      <c r="B61" s="58"/>
      <c r="C61" s="48" t="s">
        <v>97</v>
      </c>
      <c r="D61" s="49" t="s">
        <v>18</v>
      </c>
      <c r="E61" s="50" t="s">
        <v>19</v>
      </c>
      <c r="F61" s="51">
        <f>'[21]7. Final Tariff Schedule'!$E$157</f>
        <v>73.03698</v>
      </c>
      <c r="G61" s="280">
        <v>71.643990000000002</v>
      </c>
      <c r="H61" s="59"/>
      <c r="I61" s="84"/>
      <c r="J61" s="51"/>
      <c r="K61" s="51"/>
      <c r="L61" s="59"/>
      <c r="M61" s="55"/>
      <c r="N61" s="56"/>
      <c r="O61" s="57"/>
      <c r="P61" s="37"/>
    </row>
    <row r="62" spans="1:26" s="5" customFormat="1" ht="15.75" customHeight="1" x14ac:dyDescent="0.25">
      <c r="A62" s="37"/>
      <c r="B62" s="58"/>
      <c r="C62" s="48"/>
      <c r="D62" s="49" t="s">
        <v>254</v>
      </c>
      <c r="E62" s="50" t="s">
        <v>19</v>
      </c>
      <c r="F62" s="331" t="s">
        <v>272</v>
      </c>
      <c r="G62" s="280">
        <v>0</v>
      </c>
      <c r="H62" s="59"/>
      <c r="I62" s="60"/>
      <c r="J62" s="61"/>
      <c r="K62" s="67"/>
      <c r="L62" s="68"/>
      <c r="M62" s="69"/>
      <c r="N62" s="56"/>
      <c r="O62" s="57"/>
      <c r="P62" s="37"/>
    </row>
    <row r="63" spans="1:26" s="5" customFormat="1" x14ac:dyDescent="0.2">
      <c r="A63" s="9"/>
      <c r="B63" s="58"/>
      <c r="C63" s="48" t="s">
        <v>98</v>
      </c>
      <c r="D63" s="49" t="s">
        <v>26</v>
      </c>
      <c r="E63" s="50" t="s">
        <v>99</v>
      </c>
      <c r="F63" s="63">
        <f>'[21]7. Final Tariff Schedule'!$E$158</f>
        <v>4.3958801000000003</v>
      </c>
      <c r="G63" s="281">
        <v>4.3118278999999999</v>
      </c>
      <c r="H63" s="64"/>
      <c r="I63" s="65"/>
      <c r="J63" s="63"/>
      <c r="K63" s="63"/>
      <c r="L63" s="64"/>
      <c r="M63" s="55"/>
      <c r="N63" s="56"/>
      <c r="O63" s="57"/>
      <c r="P63" s="37"/>
      <c r="X63" s="5" t="s">
        <v>29</v>
      </c>
      <c r="Y63" s="5" t="s">
        <v>100</v>
      </c>
      <c r="Z63" s="5" t="s">
        <v>101</v>
      </c>
    </row>
    <row r="64" spans="1:26" s="5" customFormat="1" ht="15.75" customHeight="1" x14ac:dyDescent="0.25">
      <c r="A64" s="9"/>
      <c r="B64" s="58"/>
      <c r="C64" s="48" t="s">
        <v>102</v>
      </c>
      <c r="D64" s="49" t="s">
        <v>252</v>
      </c>
      <c r="E64" s="50" t="s">
        <v>99</v>
      </c>
      <c r="F64" s="287">
        <f>'[21]7. Final Tariff Schedule'!$E$159</f>
        <v>0.65439999999999998</v>
      </c>
      <c r="G64" s="63">
        <v>0</v>
      </c>
      <c r="H64" s="64"/>
      <c r="I64" s="60" t="s">
        <v>103</v>
      </c>
      <c r="J64" s="61" t="s">
        <v>104</v>
      </c>
      <c r="K64" s="67" t="s">
        <v>34</v>
      </c>
      <c r="L64" s="68">
        <v>4080</v>
      </c>
      <c r="M64" s="69">
        <v>4000</v>
      </c>
      <c r="N64" s="56"/>
      <c r="O64" s="57"/>
      <c r="P64" s="37"/>
      <c r="X64" s="5" t="s">
        <v>29</v>
      </c>
      <c r="Y64" s="5" t="s">
        <v>100</v>
      </c>
      <c r="Z64" s="5" t="s">
        <v>101</v>
      </c>
    </row>
    <row r="65" spans="1:26" s="5" customFormat="1" ht="15.75" x14ac:dyDescent="0.25">
      <c r="A65" s="9"/>
      <c r="B65" s="58"/>
      <c r="C65" s="48" t="s">
        <v>105</v>
      </c>
      <c r="D65" s="49" t="s">
        <v>253</v>
      </c>
      <c r="E65" s="50" t="s">
        <v>99</v>
      </c>
      <c r="F65" s="287">
        <f>'[21]7. Final Tariff Schedule'!$E$160</f>
        <v>-0.53403629391617513</v>
      </c>
      <c r="G65" s="63">
        <v>0</v>
      </c>
      <c r="H65" s="64"/>
      <c r="I65" s="87" t="s">
        <v>106</v>
      </c>
      <c r="J65" s="61" t="s">
        <v>107</v>
      </c>
      <c r="K65" s="67" t="s">
        <v>34</v>
      </c>
      <c r="L65" s="68">
        <v>4080</v>
      </c>
      <c r="M65" s="69">
        <v>4000</v>
      </c>
      <c r="N65" s="56"/>
      <c r="O65" s="57"/>
      <c r="P65" s="37"/>
      <c r="X65" s="5" t="s">
        <v>29</v>
      </c>
      <c r="Y65" s="5" t="s">
        <v>100</v>
      </c>
      <c r="Z65" s="5" t="s">
        <v>101</v>
      </c>
    </row>
    <row r="66" spans="1:26" s="5" customFormat="1" ht="15.75" x14ac:dyDescent="0.25">
      <c r="A66" s="9"/>
      <c r="B66" s="58"/>
      <c r="C66" s="48"/>
      <c r="D66" s="49" t="s">
        <v>271</v>
      </c>
      <c r="E66" s="50" t="s">
        <v>99</v>
      </c>
      <c r="F66" s="287">
        <f>'[21]7. Final Tariff Schedule'!$E$165</f>
        <v>3.1699999999999999E-2</v>
      </c>
      <c r="G66" s="287"/>
      <c r="H66" s="64"/>
      <c r="I66" s="87"/>
      <c r="J66" s="61"/>
      <c r="K66" s="67"/>
      <c r="L66" s="68"/>
      <c r="M66" s="69"/>
      <c r="N66" s="56"/>
      <c r="O66" s="57"/>
      <c r="P66" s="37"/>
    </row>
    <row r="67" spans="1:26" s="5" customFormat="1" ht="15.75" x14ac:dyDescent="0.25">
      <c r="A67" s="9"/>
      <c r="B67" s="58"/>
      <c r="C67" s="48" t="s">
        <v>112</v>
      </c>
      <c r="D67" s="49" t="s">
        <v>258</v>
      </c>
      <c r="E67" s="50" t="s">
        <v>99</v>
      </c>
      <c r="F67" s="287">
        <f>'[21]7. Final Tariff Schedule'!$E$161</f>
        <v>1.0544140243102702</v>
      </c>
      <c r="G67" s="63">
        <v>0</v>
      </c>
      <c r="H67" s="64"/>
      <c r="I67" s="87" t="s">
        <v>113</v>
      </c>
      <c r="J67" s="61" t="s">
        <v>114</v>
      </c>
      <c r="K67" s="67" t="s">
        <v>34</v>
      </c>
      <c r="L67" s="68">
        <v>4035</v>
      </c>
      <c r="M67" s="69">
        <v>4000</v>
      </c>
      <c r="N67" s="56"/>
      <c r="O67" s="57"/>
      <c r="P67" s="37"/>
      <c r="Z67" s="5" t="s">
        <v>101</v>
      </c>
    </row>
    <row r="68" spans="1:26" s="5" customFormat="1" ht="15.75" x14ac:dyDescent="0.25">
      <c r="A68" s="9"/>
      <c r="B68" s="58"/>
      <c r="C68" s="48" t="s">
        <v>115</v>
      </c>
      <c r="D68" s="49" t="s">
        <v>259</v>
      </c>
      <c r="E68" s="50" t="s">
        <v>99</v>
      </c>
      <c r="F68" s="287">
        <f>'[21]7. Final Tariff Schedule'!$E$162</f>
        <v>0.70801402431027016</v>
      </c>
      <c r="G68" s="63">
        <v>0</v>
      </c>
      <c r="H68" s="64"/>
      <c r="I68" s="87"/>
      <c r="J68" s="61"/>
      <c r="K68" s="67"/>
      <c r="L68" s="68"/>
      <c r="M68" s="69"/>
      <c r="N68" s="56"/>
      <c r="O68" s="57"/>
      <c r="P68" s="37"/>
      <c r="Y68" s="5" t="s">
        <v>100</v>
      </c>
    </row>
    <row r="69" spans="1:26" s="5" customFormat="1" ht="15.75" x14ac:dyDescent="0.25">
      <c r="A69" s="9"/>
      <c r="B69" s="58"/>
      <c r="C69" s="48" t="s">
        <v>116</v>
      </c>
      <c r="D69" s="49" t="s">
        <v>42</v>
      </c>
      <c r="E69" s="50" t="s">
        <v>99</v>
      </c>
      <c r="F69" s="287">
        <f>'[21]7. Final Tariff Schedule'!$E$163</f>
        <v>8.0199999999999994E-2</v>
      </c>
      <c r="G69" s="63">
        <v>8.0199999999999994E-2</v>
      </c>
      <c r="H69" s="64"/>
      <c r="I69" s="60" t="s">
        <v>117</v>
      </c>
      <c r="J69" s="61" t="s">
        <v>118</v>
      </c>
      <c r="K69" s="67" t="s">
        <v>34</v>
      </c>
      <c r="L69" s="68">
        <v>4075</v>
      </c>
      <c r="M69" s="69">
        <v>4000</v>
      </c>
      <c r="N69" s="56"/>
      <c r="O69" s="57"/>
      <c r="P69" s="37"/>
      <c r="X69" s="5" t="s">
        <v>29</v>
      </c>
      <c r="Y69" s="5" t="s">
        <v>100</v>
      </c>
      <c r="Z69" s="5" t="s">
        <v>101</v>
      </c>
    </row>
    <row r="70" spans="1:26" s="5" customFormat="1" ht="15.6" x14ac:dyDescent="0.3">
      <c r="A70" s="9"/>
      <c r="B70" s="58"/>
      <c r="C70" s="48"/>
      <c r="D70" s="49" t="s">
        <v>262</v>
      </c>
      <c r="E70" s="50" t="s">
        <v>99</v>
      </c>
      <c r="F70" s="287">
        <f>'[21]7. Final Tariff Schedule'!$E$164</f>
        <v>1.7007024564497954E-3</v>
      </c>
      <c r="G70" s="63">
        <v>0</v>
      </c>
      <c r="H70" s="64"/>
      <c r="I70" s="60" t="s">
        <v>108</v>
      </c>
      <c r="J70" s="61" t="s">
        <v>109</v>
      </c>
      <c r="K70" s="67" t="s">
        <v>34</v>
      </c>
      <c r="L70" s="68">
        <v>4080</v>
      </c>
      <c r="M70" s="69">
        <v>4000</v>
      </c>
      <c r="N70" s="56"/>
      <c r="O70" s="57"/>
      <c r="P70" s="37"/>
      <c r="X70" s="5" t="s">
        <v>29</v>
      </c>
      <c r="Y70" s="5" t="s">
        <v>100</v>
      </c>
      <c r="Z70" s="5" t="s">
        <v>101</v>
      </c>
    </row>
    <row r="71" spans="1:26" s="5" customFormat="1" ht="15.75" customHeight="1" x14ac:dyDescent="0.25">
      <c r="A71" s="9"/>
      <c r="B71" s="58"/>
      <c r="C71" s="48"/>
      <c r="D71" s="49" t="s">
        <v>256</v>
      </c>
      <c r="E71" s="50" t="s">
        <v>99</v>
      </c>
      <c r="F71" s="331" t="s">
        <v>272</v>
      </c>
      <c r="G71" s="63">
        <v>0</v>
      </c>
      <c r="H71" s="64"/>
      <c r="I71" s="60" t="s">
        <v>110</v>
      </c>
      <c r="J71" s="61" t="s">
        <v>111</v>
      </c>
      <c r="K71" s="67" t="s">
        <v>37</v>
      </c>
      <c r="L71" s="68">
        <v>4035</v>
      </c>
      <c r="M71" s="69">
        <v>4000</v>
      </c>
      <c r="N71" s="56"/>
      <c r="O71" s="57"/>
      <c r="P71" s="37"/>
      <c r="Y71" s="5" t="s">
        <v>100</v>
      </c>
      <c r="Z71" s="5" t="s">
        <v>101</v>
      </c>
    </row>
    <row r="72" spans="1:26" s="5" customFormat="1" x14ac:dyDescent="0.2">
      <c r="A72" s="9"/>
      <c r="B72" s="95"/>
      <c r="C72" s="48" t="s">
        <v>119</v>
      </c>
      <c r="D72" s="49" t="s">
        <v>74</v>
      </c>
      <c r="E72" s="50" t="s">
        <v>99</v>
      </c>
      <c r="F72" s="287">
        <f>'[21]7. Final Tariff Schedule'!$E$166</f>
        <v>2.7819167517318983</v>
      </c>
      <c r="G72" s="70">
        <v>2.9272</v>
      </c>
      <c r="H72" s="71"/>
      <c r="I72" s="72"/>
      <c r="J72" s="70"/>
      <c r="K72" s="70"/>
      <c r="L72" s="71"/>
      <c r="M72" s="55"/>
      <c r="N72" s="4"/>
    </row>
    <row r="73" spans="1:26" s="5" customFormat="1" x14ac:dyDescent="0.2">
      <c r="A73" s="9"/>
      <c r="B73" s="95"/>
      <c r="C73" s="48" t="s">
        <v>120</v>
      </c>
      <c r="D73" s="49" t="s">
        <v>76</v>
      </c>
      <c r="E73" s="50" t="s">
        <v>99</v>
      </c>
      <c r="F73" s="287">
        <f>'[21]7. Final Tariff Schedule'!$E$167</f>
        <v>2.2758217150040996</v>
      </c>
      <c r="G73" s="70">
        <v>2.1960000000000002</v>
      </c>
      <c r="H73" s="71"/>
      <c r="I73" s="72"/>
      <c r="J73" s="70"/>
      <c r="K73" s="70"/>
      <c r="L73" s="71"/>
      <c r="M73" s="55"/>
      <c r="N73" s="56"/>
      <c r="O73" s="57"/>
      <c r="P73" s="37"/>
    </row>
    <row r="74" spans="1:26" s="5" customFormat="1" x14ac:dyDescent="0.2">
      <c r="A74" s="9"/>
      <c r="B74" s="95"/>
      <c r="C74" s="48" t="s">
        <v>121</v>
      </c>
      <c r="D74" s="49" t="s">
        <v>122</v>
      </c>
      <c r="E74" s="50" t="s">
        <v>99</v>
      </c>
      <c r="F74" s="271">
        <v>-0.4</v>
      </c>
      <c r="G74" s="271">
        <v>-0.4</v>
      </c>
      <c r="H74" s="59"/>
      <c r="I74" s="97"/>
      <c r="J74" s="98"/>
      <c r="K74" s="98"/>
      <c r="L74" s="99"/>
      <c r="M74" s="83"/>
      <c r="N74" s="56"/>
      <c r="O74" s="57"/>
      <c r="P74" s="37"/>
      <c r="T74" s="79"/>
      <c r="U74" s="79">
        <f>SUM(F61:F79)</f>
        <v>84.34999102389682</v>
      </c>
      <c r="V74" s="79">
        <f>SUM(G61:G79)</f>
        <v>81.021917900000005</v>
      </c>
    </row>
    <row r="75" spans="1:26" s="5" customFormat="1" x14ac:dyDescent="0.2">
      <c r="A75" s="9"/>
      <c r="B75" s="58"/>
      <c r="C75" s="48" t="s">
        <v>49</v>
      </c>
      <c r="D75" s="49" t="s">
        <v>50</v>
      </c>
      <c r="E75" s="50" t="s">
        <v>27</v>
      </c>
      <c r="F75" s="287">
        <f>'[21]7. Final Tariff Schedule'!$E$171</f>
        <v>3.5999999999999999E-3</v>
      </c>
      <c r="G75" s="70">
        <v>4.4000000000000003E-3</v>
      </c>
      <c r="H75" s="71"/>
      <c r="I75" s="72"/>
      <c r="J75" s="70"/>
      <c r="K75" s="70"/>
      <c r="L75" s="71"/>
      <c r="M75" s="55"/>
      <c r="N75" s="56"/>
      <c r="O75" s="57"/>
      <c r="P75" s="37"/>
    </row>
    <row r="76" spans="1:26" s="5" customFormat="1" x14ac:dyDescent="0.2">
      <c r="A76" s="9"/>
      <c r="B76" s="58"/>
      <c r="C76" s="48" t="s">
        <v>49</v>
      </c>
      <c r="D76" s="49" t="s">
        <v>52</v>
      </c>
      <c r="E76" s="50" t="s">
        <v>27</v>
      </c>
      <c r="F76" s="70">
        <f>'[21]7. Final Tariff Schedule'!$E$172</f>
        <v>1.2999999999999999E-3</v>
      </c>
      <c r="G76" s="70">
        <v>1.2999999999999999E-3</v>
      </c>
      <c r="H76" s="71"/>
      <c r="I76" s="72"/>
      <c r="J76" s="70"/>
      <c r="K76" s="70"/>
      <c r="L76" s="71"/>
      <c r="M76" s="55"/>
      <c r="N76" s="56"/>
      <c r="O76" s="57"/>
      <c r="P76" s="37"/>
    </row>
    <row r="77" spans="1:26" s="5" customFormat="1" x14ac:dyDescent="0.2">
      <c r="A77" s="9"/>
      <c r="B77" s="58"/>
      <c r="C77" s="48"/>
      <c r="D77" s="73" t="s">
        <v>273</v>
      </c>
      <c r="E77" s="50" t="s">
        <v>27</v>
      </c>
      <c r="F77" s="271">
        <f>'[21]7. Final Tariff Schedule'!$E$173</f>
        <v>1.1000000000000001E-3</v>
      </c>
      <c r="G77" s="271"/>
      <c r="H77" s="71"/>
      <c r="I77" s="72"/>
      <c r="J77" s="271"/>
      <c r="K77" s="271"/>
      <c r="L77" s="71"/>
      <c r="M77" s="55"/>
      <c r="N77" s="56"/>
      <c r="O77" s="57"/>
      <c r="P77" s="37"/>
    </row>
    <row r="78" spans="1:26" s="5" customFormat="1" x14ac:dyDescent="0.2">
      <c r="A78" s="9"/>
      <c r="B78" s="58"/>
      <c r="C78" s="48" t="s">
        <v>55</v>
      </c>
      <c r="D78" s="73" t="s">
        <v>56</v>
      </c>
      <c r="E78" s="50" t="s">
        <v>27</v>
      </c>
      <c r="F78" s="78">
        <v>7.0000000000000001E-3</v>
      </c>
      <c r="G78" s="78">
        <v>7.0000000000000001E-3</v>
      </c>
      <c r="H78" s="89"/>
      <c r="I78" s="90"/>
      <c r="J78" s="78"/>
      <c r="K78" s="78"/>
      <c r="L78" s="89"/>
      <c r="M78" s="55"/>
      <c r="N78" s="56"/>
      <c r="O78" s="57"/>
      <c r="P78" s="37"/>
    </row>
    <row r="79" spans="1:26" s="5" customFormat="1" x14ac:dyDescent="0.2">
      <c r="A79" s="9"/>
      <c r="B79" s="58"/>
      <c r="C79" s="88" t="s">
        <v>53</v>
      </c>
      <c r="D79" s="96" t="s">
        <v>54</v>
      </c>
      <c r="E79" s="77" t="s">
        <v>19</v>
      </c>
      <c r="F79" s="296">
        <f>'[22]7. Final Tariff Schedule'!E103</f>
        <v>0.25</v>
      </c>
      <c r="G79" s="296">
        <v>0.25</v>
      </c>
      <c r="H79" s="75"/>
      <c r="I79" s="76"/>
      <c r="J79" s="74"/>
      <c r="K79" s="74"/>
      <c r="L79" s="75"/>
      <c r="M79" s="55"/>
      <c r="N79" s="56"/>
      <c r="O79" s="57"/>
      <c r="P79" s="37"/>
    </row>
    <row r="80" spans="1:26" s="5" customFormat="1" ht="31.5" x14ac:dyDescent="0.25">
      <c r="A80" s="37"/>
      <c r="B80" s="38" t="s">
        <v>269</v>
      </c>
      <c r="C80" s="48"/>
      <c r="D80" s="37"/>
      <c r="E80" s="295"/>
      <c r="F80" s="100"/>
      <c r="G80" s="100"/>
      <c r="H80" s="37"/>
      <c r="I80" s="43"/>
      <c r="J80" s="44"/>
      <c r="K80" s="44"/>
      <c r="L80" s="45"/>
      <c r="M80" s="46"/>
      <c r="N80" s="26"/>
      <c r="O80" s="37"/>
      <c r="P80" s="37"/>
    </row>
    <row r="81" spans="1:22" s="5" customFormat="1" x14ac:dyDescent="0.2">
      <c r="A81" s="37"/>
      <c r="B81" s="58" t="s">
        <v>123</v>
      </c>
      <c r="C81" s="48" t="s">
        <v>124</v>
      </c>
      <c r="D81" s="49" t="s">
        <v>18</v>
      </c>
      <c r="E81" s="50" t="s">
        <v>19</v>
      </c>
      <c r="F81" s="51">
        <f>'[21]7. Final Tariff Schedule'!$E$191</f>
        <v>1663.3754200000001</v>
      </c>
      <c r="G81" s="282">
        <v>1631.5594799999999</v>
      </c>
      <c r="H81" s="59"/>
      <c r="I81" s="84"/>
      <c r="J81" s="51"/>
      <c r="K81" s="51"/>
      <c r="L81" s="59"/>
      <c r="M81" s="85"/>
      <c r="N81" s="56"/>
    </row>
    <row r="82" spans="1:22" s="5" customFormat="1" x14ac:dyDescent="0.2">
      <c r="A82" s="37"/>
      <c r="B82" s="58"/>
      <c r="C82" s="48"/>
      <c r="D82" s="49" t="s">
        <v>254</v>
      </c>
      <c r="E82" s="50" t="s">
        <v>19</v>
      </c>
      <c r="F82" s="331" t="s">
        <v>272</v>
      </c>
      <c r="G82" s="282">
        <v>0</v>
      </c>
      <c r="H82" s="59"/>
      <c r="I82" s="84"/>
      <c r="J82" s="51"/>
      <c r="K82" s="51"/>
      <c r="L82" s="59"/>
      <c r="M82" s="85"/>
      <c r="N82" s="56"/>
    </row>
    <row r="83" spans="1:22" s="5" customFormat="1" x14ac:dyDescent="0.2">
      <c r="A83" s="9"/>
      <c r="B83" s="58"/>
      <c r="C83" s="48" t="s">
        <v>125</v>
      </c>
      <c r="D83" s="49" t="s">
        <v>26</v>
      </c>
      <c r="E83" s="50" t="s">
        <v>99</v>
      </c>
      <c r="F83" s="63">
        <f>'[21]7. Final Tariff Schedule'!$E$192</f>
        <v>2.2619646500000004</v>
      </c>
      <c r="G83" s="283">
        <v>2.2187114999999999</v>
      </c>
      <c r="H83" s="64"/>
      <c r="I83" s="65"/>
      <c r="J83" s="63"/>
      <c r="K83" s="63"/>
      <c r="L83" s="64"/>
      <c r="M83" s="85"/>
      <c r="N83" s="56"/>
    </row>
    <row r="84" spans="1:22" s="5" customFormat="1" ht="15.75" x14ac:dyDescent="0.25">
      <c r="A84" s="9"/>
      <c r="B84" s="58"/>
      <c r="C84" s="48" t="s">
        <v>126</v>
      </c>
      <c r="D84" s="49" t="s">
        <v>252</v>
      </c>
      <c r="E84" s="50" t="s">
        <v>99</v>
      </c>
      <c r="F84" s="287">
        <f>'[21]7. Final Tariff Schedule'!$E$193</f>
        <v>0.82959999999999989</v>
      </c>
      <c r="G84" s="63">
        <v>0</v>
      </c>
      <c r="H84" s="64"/>
      <c r="I84" s="60" t="s">
        <v>127</v>
      </c>
      <c r="J84" s="61" t="s">
        <v>128</v>
      </c>
      <c r="K84" s="67" t="s">
        <v>34</v>
      </c>
      <c r="L84" s="68">
        <v>4080</v>
      </c>
      <c r="M84" s="69">
        <v>4000</v>
      </c>
      <c r="N84" s="56"/>
    </row>
    <row r="85" spans="1:22" s="5" customFormat="1" ht="15.75" x14ac:dyDescent="0.25">
      <c r="A85" s="9"/>
      <c r="B85" s="58"/>
      <c r="C85" s="48" t="s">
        <v>129</v>
      </c>
      <c r="D85" s="49" t="s">
        <v>253</v>
      </c>
      <c r="E85" s="50" t="s">
        <v>99</v>
      </c>
      <c r="F85" s="287">
        <f>'[21]7. Final Tariff Schedule'!$E$194</f>
        <v>-0.67632833690092031</v>
      </c>
      <c r="G85" s="63">
        <v>0</v>
      </c>
      <c r="H85" s="64"/>
      <c r="I85" s="87" t="s">
        <v>130</v>
      </c>
      <c r="J85" s="61" t="s">
        <v>131</v>
      </c>
      <c r="K85" s="67" t="s">
        <v>34</v>
      </c>
      <c r="L85" s="68">
        <v>4080</v>
      </c>
      <c r="M85" s="69">
        <v>4000</v>
      </c>
      <c r="N85" s="56"/>
    </row>
    <row r="86" spans="1:22" s="5" customFormat="1" ht="15.75" x14ac:dyDescent="0.25">
      <c r="A86" s="9"/>
      <c r="B86" s="58"/>
      <c r="C86" s="48"/>
      <c r="D86" s="49" t="s">
        <v>271</v>
      </c>
      <c r="E86" s="50" t="s">
        <v>99</v>
      </c>
      <c r="F86" s="287">
        <f>'[21]7. Final Tariff Schedule'!$E$199</f>
        <v>2.63E-2</v>
      </c>
      <c r="G86" s="287"/>
      <c r="H86" s="64"/>
      <c r="I86" s="87"/>
      <c r="J86" s="61"/>
      <c r="K86" s="67"/>
      <c r="L86" s="68"/>
      <c r="M86" s="69"/>
      <c r="N86" s="56"/>
    </row>
    <row r="87" spans="1:22" s="5" customFormat="1" ht="15.75" x14ac:dyDescent="0.25">
      <c r="A87" s="9"/>
      <c r="B87" s="58"/>
      <c r="C87" s="48" t="s">
        <v>134</v>
      </c>
      <c r="D87" s="49" t="s">
        <v>258</v>
      </c>
      <c r="E87" s="50" t="s">
        <v>99</v>
      </c>
      <c r="F87" s="287">
        <f>'[21]7. Final Tariff Schedule'!$E$195</f>
        <v>1.7349153975572156</v>
      </c>
      <c r="G87" s="63">
        <v>0</v>
      </c>
      <c r="H87" s="64"/>
      <c r="I87" s="87" t="s">
        <v>135</v>
      </c>
      <c r="J87" s="61" t="s">
        <v>136</v>
      </c>
      <c r="K87" s="67" t="s">
        <v>34</v>
      </c>
      <c r="L87" s="68">
        <v>4035</v>
      </c>
      <c r="M87" s="69">
        <v>4000</v>
      </c>
      <c r="N87" s="56"/>
    </row>
    <row r="88" spans="1:22" s="5" customFormat="1" ht="15.75" x14ac:dyDescent="0.25">
      <c r="A88" s="9"/>
      <c r="B88" s="58"/>
      <c r="C88" s="48" t="s">
        <v>137</v>
      </c>
      <c r="D88" s="49" t="s">
        <v>259</v>
      </c>
      <c r="E88" s="50" t="s">
        <v>99</v>
      </c>
      <c r="F88" s="287">
        <f>'[21]7. Final Tariff Schedule'!$E$196</f>
        <v>1.3289153975572157</v>
      </c>
      <c r="G88" s="63">
        <v>0</v>
      </c>
      <c r="H88" s="64"/>
      <c r="I88" s="87"/>
      <c r="J88" s="61"/>
      <c r="K88" s="67"/>
      <c r="L88" s="68"/>
      <c r="M88" s="69"/>
      <c r="N88" s="56"/>
    </row>
    <row r="89" spans="1:22" s="5" customFormat="1" ht="15.75" x14ac:dyDescent="0.25">
      <c r="A89" s="9"/>
      <c r="B89" s="58"/>
      <c r="C89" s="48" t="s">
        <v>138</v>
      </c>
      <c r="D89" s="49" t="s">
        <v>42</v>
      </c>
      <c r="E89" s="50" t="s">
        <v>99</v>
      </c>
      <c r="F89" s="287">
        <f>'[21]7. Final Tariff Schedule'!$E$197</f>
        <v>7.8399999999999997E-2</v>
      </c>
      <c r="G89" s="63">
        <v>7.8399999999999997E-2</v>
      </c>
      <c r="H89" s="64"/>
      <c r="I89" s="60" t="s">
        <v>139</v>
      </c>
      <c r="J89" s="61" t="s">
        <v>140</v>
      </c>
      <c r="K89" s="67" t="s">
        <v>34</v>
      </c>
      <c r="L89" s="68">
        <v>4075</v>
      </c>
      <c r="M89" s="69">
        <v>4000</v>
      </c>
      <c r="N89" s="56"/>
    </row>
    <row r="90" spans="1:22" s="5" customFormat="1" ht="15.6" x14ac:dyDescent="0.3">
      <c r="A90" s="9"/>
      <c r="B90" s="58"/>
      <c r="C90" s="48"/>
      <c r="D90" s="49" t="s">
        <v>262</v>
      </c>
      <c r="E90" s="50" t="s">
        <v>99</v>
      </c>
      <c r="F90" s="293">
        <f>'[21]7. Final Tariff Schedule'!$E$198</f>
        <v>1.4798949386780704E-3</v>
      </c>
      <c r="G90" s="63">
        <v>0</v>
      </c>
      <c r="H90" s="64"/>
      <c r="I90" s="60"/>
      <c r="J90" s="61"/>
      <c r="K90" s="67"/>
      <c r="L90" s="68"/>
      <c r="M90" s="69"/>
      <c r="N90" s="56"/>
    </row>
    <row r="91" spans="1:22" s="5" customFormat="1" ht="15.75" x14ac:dyDescent="0.25">
      <c r="A91" s="9"/>
      <c r="B91" s="58"/>
      <c r="C91" s="48"/>
      <c r="D91" s="49" t="s">
        <v>256</v>
      </c>
      <c r="E91" s="50" t="s">
        <v>99</v>
      </c>
      <c r="F91" s="331" t="s">
        <v>272</v>
      </c>
      <c r="G91" s="63">
        <v>0</v>
      </c>
      <c r="H91" s="64"/>
      <c r="I91" s="60" t="s">
        <v>132</v>
      </c>
      <c r="J91" s="61" t="s">
        <v>133</v>
      </c>
      <c r="K91" s="67" t="s">
        <v>37</v>
      </c>
      <c r="L91" s="68">
        <v>4035</v>
      </c>
      <c r="M91" s="69">
        <v>4000</v>
      </c>
      <c r="N91" s="56"/>
    </row>
    <row r="92" spans="1:22" s="5" customFormat="1" x14ac:dyDescent="0.2">
      <c r="A92" s="9"/>
      <c r="B92" s="58"/>
      <c r="C92" s="48" t="s">
        <v>141</v>
      </c>
      <c r="D92" s="49" t="s">
        <v>74</v>
      </c>
      <c r="E92" s="50" t="s">
        <v>99</v>
      </c>
      <c r="F92" s="70">
        <f>'[21]7. Final Tariff Schedule'!$E$200</f>
        <v>2.6914417303723432</v>
      </c>
      <c r="G92" s="70">
        <v>2.8319999999999999</v>
      </c>
      <c r="H92" s="71"/>
      <c r="I92" s="72"/>
      <c r="J92" s="70"/>
      <c r="K92" s="70"/>
      <c r="L92" s="71"/>
      <c r="M92" s="85"/>
      <c r="N92" s="56"/>
    </row>
    <row r="93" spans="1:22" s="5" customFormat="1" x14ac:dyDescent="0.2">
      <c r="A93" s="9"/>
      <c r="B93" s="58"/>
      <c r="C93" s="48" t="s">
        <v>143</v>
      </c>
      <c r="D93" s="49" t="s">
        <v>76</v>
      </c>
      <c r="E93" s="50" t="s">
        <v>99</v>
      </c>
      <c r="F93" s="70">
        <f>'[21]7. Final Tariff Schedule'!$E$201</f>
        <v>2.2269060559693652</v>
      </c>
      <c r="G93" s="70">
        <v>2.1488</v>
      </c>
      <c r="H93" s="71"/>
      <c r="I93" s="72"/>
      <c r="J93" s="70"/>
      <c r="K93" s="70"/>
      <c r="L93" s="71"/>
      <c r="M93" s="85"/>
      <c r="N93" s="56"/>
    </row>
    <row r="94" spans="1:22" s="5" customFormat="1" x14ac:dyDescent="0.2">
      <c r="A94" s="9"/>
      <c r="B94" s="58"/>
      <c r="C94" s="48" t="s">
        <v>121</v>
      </c>
      <c r="D94" s="49" t="s">
        <v>122</v>
      </c>
      <c r="E94" s="50" t="s">
        <v>99</v>
      </c>
      <c r="F94" s="271">
        <v>-0.4</v>
      </c>
      <c r="G94" s="271">
        <v>-0.4</v>
      </c>
      <c r="H94" s="59"/>
      <c r="I94" s="97"/>
      <c r="J94" s="98"/>
      <c r="K94" s="98"/>
      <c r="L94" s="99"/>
      <c r="M94" s="101"/>
      <c r="N94" s="56"/>
      <c r="T94" s="79"/>
      <c r="U94" s="79">
        <f>SUM(F81:F99)</f>
        <v>1673.7420147894939</v>
      </c>
      <c r="V94" s="79">
        <f>SUM(G81:G99)</f>
        <v>1638.7000914999999</v>
      </c>
    </row>
    <row r="95" spans="1:22" s="5" customFormat="1" x14ac:dyDescent="0.2">
      <c r="A95" s="9"/>
      <c r="B95" s="58"/>
      <c r="C95" s="48" t="s">
        <v>49</v>
      </c>
      <c r="D95" s="49" t="s">
        <v>50</v>
      </c>
      <c r="E95" s="50" t="s">
        <v>27</v>
      </c>
      <c r="F95" s="70">
        <f>'[21]7. Final Tariff Schedule'!$E$205</f>
        <v>3.5999999999999999E-3</v>
      </c>
      <c r="G95" s="70">
        <v>4.4000000000000003E-3</v>
      </c>
      <c r="H95" s="71"/>
      <c r="I95" s="72"/>
      <c r="J95" s="70"/>
      <c r="K95" s="70"/>
      <c r="L95" s="71"/>
      <c r="M95" s="85"/>
      <c r="N95" s="56"/>
    </row>
    <row r="96" spans="1:22" s="5" customFormat="1" x14ac:dyDescent="0.2">
      <c r="A96" s="9"/>
      <c r="B96" s="58"/>
      <c r="C96" s="48" t="s">
        <v>49</v>
      </c>
      <c r="D96" s="73" t="s">
        <v>52</v>
      </c>
      <c r="E96" s="50" t="s">
        <v>27</v>
      </c>
      <c r="F96" s="70">
        <f>'[21]7. Final Tariff Schedule'!$E$206</f>
        <v>1.2999999999999999E-3</v>
      </c>
      <c r="G96" s="70">
        <v>1.2999999999999999E-3</v>
      </c>
      <c r="H96" s="71"/>
      <c r="I96" s="72"/>
      <c r="J96" s="70"/>
      <c r="K96" s="70"/>
      <c r="L96" s="71"/>
      <c r="M96" s="85"/>
      <c r="N96" s="56"/>
    </row>
    <row r="97" spans="1:14" s="5" customFormat="1" x14ac:dyDescent="0.2">
      <c r="A97" s="9"/>
      <c r="B97" s="58"/>
      <c r="C97" s="48"/>
      <c r="D97" s="73" t="s">
        <v>273</v>
      </c>
      <c r="E97" s="50" t="s">
        <v>27</v>
      </c>
      <c r="F97" s="271">
        <f>'[21]7. Final Tariff Schedule'!$E$207</f>
        <v>1.1000000000000001E-3</v>
      </c>
      <c r="G97" s="271"/>
      <c r="H97" s="71"/>
      <c r="I97" s="72"/>
      <c r="J97" s="271"/>
      <c r="K97" s="271"/>
      <c r="L97" s="71"/>
      <c r="M97" s="85"/>
      <c r="N97" s="56"/>
    </row>
    <row r="98" spans="1:14" s="5" customFormat="1" x14ac:dyDescent="0.2">
      <c r="A98" s="9"/>
      <c r="B98" s="58"/>
      <c r="C98" s="48" t="s">
        <v>55</v>
      </c>
      <c r="D98" s="73" t="s">
        <v>56</v>
      </c>
      <c r="E98" s="50" t="s">
        <v>27</v>
      </c>
      <c r="F98" s="78">
        <v>7.0000000000000001E-3</v>
      </c>
      <c r="G98" s="78">
        <v>7.0000000000000001E-3</v>
      </c>
      <c r="H98" s="89"/>
      <c r="I98" s="90"/>
      <c r="J98" s="78"/>
      <c r="K98" s="78"/>
      <c r="L98" s="89"/>
      <c r="M98" s="85"/>
      <c r="N98" s="56"/>
    </row>
    <row r="99" spans="1:14" s="5" customFormat="1" x14ac:dyDescent="0.2">
      <c r="A99" s="9"/>
      <c r="B99" s="58"/>
      <c r="C99" s="88" t="s">
        <v>53</v>
      </c>
      <c r="D99" s="297" t="s">
        <v>54</v>
      </c>
      <c r="E99" s="50" t="s">
        <v>19</v>
      </c>
      <c r="F99" s="74">
        <f>'[22]7. Final Tariff Schedule'!E137</f>
        <v>0.25</v>
      </c>
      <c r="G99" s="74">
        <v>0.25</v>
      </c>
      <c r="H99" s="75"/>
      <c r="I99" s="76"/>
      <c r="J99" s="74"/>
      <c r="K99" s="74"/>
      <c r="L99" s="75"/>
      <c r="M99" s="85"/>
      <c r="N99" s="56"/>
    </row>
    <row r="100" spans="1:14" s="5" customFormat="1" ht="31.5" x14ac:dyDescent="0.25">
      <c r="A100" s="37"/>
      <c r="B100" s="38" t="s">
        <v>145</v>
      </c>
      <c r="C100" s="48"/>
      <c r="D100" s="37"/>
      <c r="E100" s="41"/>
      <c r="F100" s="42"/>
      <c r="G100" s="42"/>
      <c r="I100" s="43"/>
      <c r="J100" s="44"/>
      <c r="K100" s="44"/>
      <c r="L100" s="45"/>
      <c r="M100" s="46"/>
      <c r="N100" s="4"/>
    </row>
    <row r="101" spans="1:14" s="5" customFormat="1" x14ac:dyDescent="0.2">
      <c r="A101" s="37"/>
      <c r="B101" s="58" t="s">
        <v>146</v>
      </c>
      <c r="C101" s="48" t="s">
        <v>147</v>
      </c>
      <c r="D101" s="49" t="s">
        <v>18</v>
      </c>
      <c r="E101" s="50" t="s">
        <v>19</v>
      </c>
      <c r="F101" s="51">
        <f>'[21]7. Final Tariff Schedule'!$E$227</f>
        <v>13115.07229</v>
      </c>
      <c r="G101" s="284">
        <v>12864.215075</v>
      </c>
      <c r="H101" s="59"/>
      <c r="I101" s="84"/>
      <c r="J101" s="51"/>
      <c r="K101" s="51"/>
      <c r="L101" s="59"/>
      <c r="M101" s="85"/>
      <c r="N101" s="56"/>
    </row>
    <row r="102" spans="1:14" s="5" customFormat="1" ht="15" customHeight="1" x14ac:dyDescent="0.2">
      <c r="A102" s="37"/>
      <c r="B102" s="58"/>
      <c r="C102" s="48"/>
      <c r="D102" s="49" t="s">
        <v>254</v>
      </c>
      <c r="E102" s="50" t="s">
        <v>19</v>
      </c>
      <c r="F102" s="331" t="s">
        <v>272</v>
      </c>
      <c r="G102" s="284">
        <v>0</v>
      </c>
      <c r="H102" s="59"/>
      <c r="I102" s="84"/>
      <c r="J102" s="51"/>
      <c r="K102" s="51"/>
      <c r="L102" s="59"/>
      <c r="M102" s="85"/>
      <c r="N102" s="56"/>
    </row>
    <row r="103" spans="1:14" s="5" customFormat="1" x14ac:dyDescent="0.2">
      <c r="A103" s="9"/>
      <c r="B103" s="58"/>
      <c r="C103" s="48" t="s">
        <v>148</v>
      </c>
      <c r="D103" s="49" t="s">
        <v>26</v>
      </c>
      <c r="E103" s="50" t="s">
        <v>99</v>
      </c>
      <c r="F103" s="63">
        <f>'[21]7. Final Tariff Schedule'!$E$228</f>
        <v>2.8076010500000002</v>
      </c>
      <c r="G103" s="285">
        <v>2.7538602500000002</v>
      </c>
      <c r="H103" s="64"/>
      <c r="I103" s="65"/>
      <c r="J103" s="63"/>
      <c r="K103" s="63"/>
      <c r="L103" s="64"/>
      <c r="M103" s="85"/>
      <c r="N103" s="56"/>
    </row>
    <row r="104" spans="1:14" s="5" customFormat="1" ht="15.75" x14ac:dyDescent="0.25">
      <c r="A104" s="9"/>
      <c r="B104" s="58"/>
      <c r="C104" s="48" t="s">
        <v>149</v>
      </c>
      <c r="D104" s="49" t="s">
        <v>252</v>
      </c>
      <c r="E104" s="50" t="s">
        <v>99</v>
      </c>
      <c r="F104" s="287">
        <f>'[21]7. Final Tariff Schedule'!$E$229</f>
        <v>0.19243614735443026</v>
      </c>
      <c r="G104" s="63">
        <v>0</v>
      </c>
      <c r="H104" s="64"/>
      <c r="I104" s="60" t="s">
        <v>150</v>
      </c>
      <c r="J104" s="61" t="s">
        <v>151</v>
      </c>
      <c r="K104" s="67" t="s">
        <v>34</v>
      </c>
      <c r="L104" s="68">
        <v>4080</v>
      </c>
      <c r="M104" s="69">
        <v>4000</v>
      </c>
      <c r="N104" s="56"/>
    </row>
    <row r="105" spans="1:14" s="5" customFormat="1" ht="15.75" x14ac:dyDescent="0.25">
      <c r="A105" s="9"/>
      <c r="B105" s="58"/>
      <c r="C105" s="48" t="s">
        <v>154</v>
      </c>
      <c r="D105" s="49" t="s">
        <v>260</v>
      </c>
      <c r="E105" s="50" t="s">
        <v>99</v>
      </c>
      <c r="F105" s="287">
        <f>'[21]7. Final Tariff Schedule'!$E$230</f>
        <v>-0.23482875616453472</v>
      </c>
      <c r="G105" s="63">
        <v>0</v>
      </c>
      <c r="H105" s="64"/>
      <c r="I105" s="60" t="s">
        <v>155</v>
      </c>
      <c r="J105" s="61" t="s">
        <v>156</v>
      </c>
      <c r="K105" s="67" t="s">
        <v>34</v>
      </c>
      <c r="L105" s="68">
        <v>4020</v>
      </c>
      <c r="M105" s="69">
        <v>4000</v>
      </c>
      <c r="N105" s="56"/>
    </row>
    <row r="106" spans="1:14" s="5" customFormat="1" ht="15.75" x14ac:dyDescent="0.25">
      <c r="A106" s="9"/>
      <c r="B106" s="58"/>
      <c r="C106" s="48" t="s">
        <v>154</v>
      </c>
      <c r="D106" s="49" t="s">
        <v>261</v>
      </c>
      <c r="E106" s="50" t="s">
        <v>99</v>
      </c>
      <c r="F106" s="287">
        <f>'[21]7. Final Tariff Schedule'!$E$231</f>
        <v>1.4069045771687987</v>
      </c>
      <c r="G106" s="63">
        <v>0</v>
      </c>
      <c r="H106" s="64"/>
      <c r="I106" s="60"/>
      <c r="J106" s="61"/>
      <c r="K106" s="67"/>
      <c r="L106" s="68"/>
      <c r="M106" s="69"/>
      <c r="N106" s="56"/>
    </row>
    <row r="107" spans="1:14" s="5" customFormat="1" ht="15.75" x14ac:dyDescent="0.25">
      <c r="A107" s="9"/>
      <c r="B107" s="58"/>
      <c r="C107" s="48"/>
      <c r="D107" s="49" t="s">
        <v>271</v>
      </c>
      <c r="E107" s="50" t="s">
        <v>99</v>
      </c>
      <c r="F107" s="287">
        <f>'[21]7. Final Tariff Schedule'!$E$234</f>
        <v>2.2200000000000001E-2</v>
      </c>
      <c r="G107" s="287"/>
      <c r="H107" s="64"/>
      <c r="I107" s="60"/>
      <c r="J107" s="61"/>
      <c r="K107" s="67"/>
      <c r="L107" s="68"/>
      <c r="M107" s="69"/>
      <c r="N107" s="56"/>
    </row>
    <row r="108" spans="1:14" s="5" customFormat="1" ht="15.75" x14ac:dyDescent="0.25">
      <c r="A108" s="9"/>
      <c r="B108" s="58"/>
      <c r="C108" s="48" t="s">
        <v>157</v>
      </c>
      <c r="D108" s="49" t="s">
        <v>42</v>
      </c>
      <c r="E108" s="50" t="s">
        <v>99</v>
      </c>
      <c r="F108" s="287">
        <f>'[21]7. Final Tariff Schedule'!$E$232</f>
        <v>8.3799999999999999E-2</v>
      </c>
      <c r="G108" s="63">
        <v>8.3799999999999999E-2</v>
      </c>
      <c r="H108" s="64"/>
      <c r="I108" s="60" t="s">
        <v>158</v>
      </c>
      <c r="J108" s="61" t="s">
        <v>159</v>
      </c>
      <c r="K108" s="67" t="s">
        <v>34</v>
      </c>
      <c r="L108" s="68">
        <v>4075</v>
      </c>
      <c r="M108" s="69">
        <v>4000</v>
      </c>
      <c r="N108" s="56"/>
    </row>
    <row r="109" spans="1:14" s="5" customFormat="1" ht="15.6" x14ac:dyDescent="0.3">
      <c r="A109" s="9"/>
      <c r="B109" s="58"/>
      <c r="C109" s="48"/>
      <c r="D109" s="49" t="s">
        <v>262</v>
      </c>
      <c r="E109" s="50" t="s">
        <v>99</v>
      </c>
      <c r="F109" s="287">
        <f>'[21]7. Final Tariff Schedule'!$E$233</f>
        <v>1.2042211362103313E-3</v>
      </c>
      <c r="G109" s="63">
        <v>0</v>
      </c>
      <c r="H109" s="64"/>
      <c r="I109" s="60"/>
      <c r="J109" s="61"/>
      <c r="K109" s="67"/>
      <c r="L109" s="68"/>
      <c r="M109" s="69"/>
      <c r="N109" s="56"/>
    </row>
    <row r="110" spans="1:14" s="5" customFormat="1" ht="15.75" x14ac:dyDescent="0.25">
      <c r="A110" s="9"/>
      <c r="B110" s="58"/>
      <c r="C110" s="48"/>
      <c r="D110" s="49" t="s">
        <v>256</v>
      </c>
      <c r="E110" s="50" t="s">
        <v>99</v>
      </c>
      <c r="F110" s="331" t="s">
        <v>272</v>
      </c>
      <c r="G110" s="63">
        <v>0</v>
      </c>
      <c r="H110" s="64"/>
      <c r="I110" s="60" t="s">
        <v>152</v>
      </c>
      <c r="J110" s="61" t="s">
        <v>153</v>
      </c>
      <c r="K110" s="67" t="s">
        <v>37</v>
      </c>
      <c r="L110" s="68">
        <v>4020</v>
      </c>
      <c r="M110" s="69">
        <v>4000</v>
      </c>
      <c r="N110" s="56"/>
    </row>
    <row r="111" spans="1:14" s="5" customFormat="1" x14ac:dyDescent="0.2">
      <c r="A111" s="9"/>
      <c r="B111" s="58"/>
      <c r="C111" s="48" t="s">
        <v>160</v>
      </c>
      <c r="D111" s="49" t="s">
        <v>142</v>
      </c>
      <c r="E111" s="50" t="s">
        <v>99</v>
      </c>
      <c r="F111" s="293">
        <f>'[21]7. Final Tariff Schedule'!$E$235</f>
        <v>2.8720116207297077</v>
      </c>
      <c r="G111" s="70">
        <v>3.0219999999999998</v>
      </c>
      <c r="H111" s="71"/>
      <c r="I111" s="72"/>
      <c r="J111" s="70"/>
      <c r="K111" s="70"/>
      <c r="L111" s="71"/>
      <c r="M111" s="85"/>
      <c r="N111" s="56"/>
    </row>
    <row r="112" spans="1:14" s="5" customFormat="1" x14ac:dyDescent="0.2">
      <c r="A112" s="9"/>
      <c r="B112" s="58"/>
      <c r="C112" s="48" t="s">
        <v>161</v>
      </c>
      <c r="D112" s="49" t="s">
        <v>144</v>
      </c>
      <c r="E112" s="50" t="s">
        <v>99</v>
      </c>
      <c r="F112" s="293">
        <f>'[21]7. Final Tariff Schedule'!$E$236</f>
        <v>2.3784202337203344</v>
      </c>
      <c r="G112" s="70">
        <v>2.2949999999999999</v>
      </c>
      <c r="H112" s="71"/>
      <c r="I112" s="72"/>
      <c r="J112" s="70"/>
      <c r="K112" s="70"/>
      <c r="L112" s="71"/>
      <c r="M112" s="85"/>
      <c r="N112" s="56"/>
    </row>
    <row r="113" spans="1:22" s="5" customFormat="1" x14ac:dyDescent="0.2">
      <c r="A113" s="9"/>
      <c r="B113" s="58"/>
      <c r="C113" s="48" t="s">
        <v>121</v>
      </c>
      <c r="D113" s="49" t="s">
        <v>122</v>
      </c>
      <c r="E113" s="50" t="s">
        <v>99</v>
      </c>
      <c r="F113" s="271">
        <v>-0.4</v>
      </c>
      <c r="G113" s="271">
        <v>-0.4</v>
      </c>
      <c r="H113" s="59"/>
      <c r="I113" s="97"/>
      <c r="J113" s="98"/>
      <c r="K113" s="98"/>
      <c r="L113" s="99"/>
      <c r="M113" s="101"/>
      <c r="N113" s="56"/>
      <c r="T113" s="79"/>
      <c r="U113" s="79">
        <f>SUM(F101:F118)</f>
        <v>13124.465039093944</v>
      </c>
      <c r="V113" s="79">
        <f>SUM(G101:G118)</f>
        <v>12872.232435250002</v>
      </c>
    </row>
    <row r="114" spans="1:22" s="5" customFormat="1" x14ac:dyDescent="0.2">
      <c r="A114" s="9"/>
      <c r="B114" s="58"/>
      <c r="C114" s="48" t="s">
        <v>49</v>
      </c>
      <c r="D114" s="49" t="s">
        <v>50</v>
      </c>
      <c r="E114" s="50" t="s">
        <v>27</v>
      </c>
      <c r="F114" s="70">
        <f>'[21]7. Final Tariff Schedule'!$E$239</f>
        <v>3.5999999999999999E-3</v>
      </c>
      <c r="G114" s="70">
        <v>4.4000000000000003E-3</v>
      </c>
      <c r="H114" s="71"/>
      <c r="I114" s="72"/>
      <c r="J114" s="70"/>
      <c r="K114" s="70"/>
      <c r="L114" s="71"/>
      <c r="M114" s="85"/>
      <c r="N114" s="56"/>
    </row>
    <row r="115" spans="1:22" s="5" customFormat="1" x14ac:dyDescent="0.2">
      <c r="A115" s="9"/>
      <c r="B115" s="58"/>
      <c r="C115" s="48" t="s">
        <v>49</v>
      </c>
      <c r="D115" s="73" t="s">
        <v>52</v>
      </c>
      <c r="E115" s="50" t="s">
        <v>27</v>
      </c>
      <c r="F115" s="70">
        <f>'[21]7. Final Tariff Schedule'!$E$240</f>
        <v>1.2999999999999999E-3</v>
      </c>
      <c r="G115" s="70">
        <v>1.2999999999999999E-3</v>
      </c>
      <c r="H115" s="71"/>
      <c r="I115" s="72"/>
      <c r="J115" s="70"/>
      <c r="K115" s="70"/>
      <c r="L115" s="71"/>
      <c r="M115" s="85"/>
      <c r="N115" s="56"/>
    </row>
    <row r="116" spans="1:22" s="5" customFormat="1" x14ac:dyDescent="0.2">
      <c r="A116" s="9"/>
      <c r="B116" s="58"/>
      <c r="C116" s="48"/>
      <c r="D116" s="73" t="s">
        <v>273</v>
      </c>
      <c r="E116" s="50" t="s">
        <v>27</v>
      </c>
      <c r="F116" s="271">
        <f>'[21]7. Final Tariff Schedule'!$E$241</f>
        <v>1.1000000000000001E-3</v>
      </c>
      <c r="G116" s="271"/>
      <c r="H116" s="71"/>
      <c r="I116" s="72"/>
      <c r="J116" s="271"/>
      <c r="K116" s="271"/>
      <c r="L116" s="71"/>
      <c r="M116" s="85"/>
      <c r="N116" s="56"/>
    </row>
    <row r="117" spans="1:22" s="5" customFormat="1" x14ac:dyDescent="0.2">
      <c r="A117" s="9"/>
      <c r="B117" s="58"/>
      <c r="C117" s="48" t="s">
        <v>55</v>
      </c>
      <c r="D117" s="73" t="s">
        <v>56</v>
      </c>
      <c r="E117" s="50" t="s">
        <v>27</v>
      </c>
      <c r="F117" s="78">
        <v>7.0000000000000001E-3</v>
      </c>
      <c r="G117" s="78">
        <v>7.0000000000000001E-3</v>
      </c>
      <c r="H117" s="89"/>
      <c r="I117" s="90"/>
      <c r="J117" s="78"/>
      <c r="K117" s="78"/>
      <c r="L117" s="89"/>
      <c r="M117" s="85"/>
      <c r="N117" s="56"/>
    </row>
    <row r="118" spans="1:22" s="5" customFormat="1" x14ac:dyDescent="0.2">
      <c r="A118" s="9"/>
      <c r="B118" s="58"/>
      <c r="C118" s="88" t="s">
        <v>53</v>
      </c>
      <c r="D118" s="298" t="s">
        <v>54</v>
      </c>
      <c r="E118" s="77" t="s">
        <v>19</v>
      </c>
      <c r="F118" s="296">
        <f>'[22]7. Final Tariff Schedule'!E171</f>
        <v>0.25</v>
      </c>
      <c r="G118" s="296">
        <v>0.25</v>
      </c>
      <c r="H118" s="75"/>
      <c r="I118" s="76"/>
      <c r="J118" s="74"/>
      <c r="K118" s="74"/>
      <c r="L118" s="75"/>
      <c r="M118" s="85"/>
      <c r="N118" s="56"/>
    </row>
    <row r="119" spans="1:22" s="5" customFormat="1" ht="15.75" x14ac:dyDescent="0.25">
      <c r="A119" s="37"/>
      <c r="B119" s="38" t="s">
        <v>162</v>
      </c>
      <c r="C119" s="48"/>
      <c r="D119" s="37"/>
      <c r="E119" s="295"/>
      <c r="F119" s="100"/>
      <c r="G119" s="100"/>
      <c r="H119" s="37"/>
      <c r="I119" s="24"/>
      <c r="J119" s="25"/>
      <c r="K119" s="25"/>
      <c r="L119" s="26"/>
      <c r="M119" s="25"/>
      <c r="N119" s="26"/>
    </row>
    <row r="120" spans="1:22" s="5" customFormat="1" x14ac:dyDescent="0.2">
      <c r="A120" s="37"/>
      <c r="B120" s="58"/>
      <c r="C120" s="48" t="s">
        <v>163</v>
      </c>
      <c r="D120" s="49" t="s">
        <v>164</v>
      </c>
      <c r="E120" s="50" t="s">
        <v>19</v>
      </c>
      <c r="F120" s="51">
        <f>'[21]7. Final Tariff Schedule'!$E$287</f>
        <v>1.437495</v>
      </c>
      <c r="G120" s="286">
        <v>1.4101549999999998</v>
      </c>
      <c r="H120" s="59"/>
      <c r="I120" s="102"/>
      <c r="J120" s="51"/>
      <c r="K120" s="51"/>
      <c r="L120" s="59"/>
      <c r="M120" s="103"/>
      <c r="N120" s="56"/>
    </row>
    <row r="121" spans="1:22" s="5" customFormat="1" ht="15" customHeight="1" x14ac:dyDescent="0.2">
      <c r="A121" s="37"/>
      <c r="B121" s="58"/>
      <c r="C121" s="48"/>
      <c r="D121" s="49" t="s">
        <v>254</v>
      </c>
      <c r="E121" s="50" t="s">
        <v>19</v>
      </c>
      <c r="F121" s="331" t="s">
        <v>272</v>
      </c>
      <c r="G121" s="286">
        <v>0</v>
      </c>
      <c r="H121" s="59"/>
      <c r="I121" s="102"/>
      <c r="J121" s="51"/>
      <c r="K121" s="51"/>
      <c r="L121" s="59"/>
      <c r="M121" s="103"/>
      <c r="N121" s="56"/>
    </row>
    <row r="122" spans="1:22" s="5" customFormat="1" x14ac:dyDescent="0.2">
      <c r="A122" s="9"/>
      <c r="B122" s="58"/>
      <c r="C122" s="48" t="s">
        <v>165</v>
      </c>
      <c r="D122" s="49" t="s">
        <v>26</v>
      </c>
      <c r="E122" s="50" t="s">
        <v>99</v>
      </c>
      <c r="F122" s="63">
        <f>'[21]7. Final Tariff Schedule'!$E$288</f>
        <v>10.9832774</v>
      </c>
      <c r="G122" s="287">
        <v>10.773178399999999</v>
      </c>
      <c r="H122" s="64"/>
      <c r="I122" s="104"/>
      <c r="J122" s="63"/>
      <c r="K122" s="63"/>
      <c r="L122" s="64"/>
      <c r="M122" s="103"/>
      <c r="N122" s="56"/>
    </row>
    <row r="123" spans="1:22" s="5" customFormat="1" ht="15.75" x14ac:dyDescent="0.25">
      <c r="A123" s="9"/>
      <c r="B123" s="58"/>
      <c r="C123" s="48" t="s">
        <v>166</v>
      </c>
      <c r="D123" s="49" t="s">
        <v>252</v>
      </c>
      <c r="E123" s="50" t="s">
        <v>99</v>
      </c>
      <c r="F123" s="287">
        <f>'[21]7. Final Tariff Schedule'!$E$289</f>
        <v>0.17661095710617547</v>
      </c>
      <c r="G123" s="63">
        <v>0</v>
      </c>
      <c r="H123" s="64"/>
      <c r="I123" s="105"/>
      <c r="J123" s="61"/>
      <c r="K123" s="67"/>
      <c r="L123" s="68"/>
      <c r="M123" s="67"/>
      <c r="N123" s="56"/>
    </row>
    <row r="124" spans="1:22" s="5" customFormat="1" ht="15.75" x14ac:dyDescent="0.25">
      <c r="A124" s="9"/>
      <c r="B124" s="58"/>
      <c r="C124" s="48" t="s">
        <v>167</v>
      </c>
      <c r="D124" s="49" t="s">
        <v>255</v>
      </c>
      <c r="E124" s="50" t="s">
        <v>99</v>
      </c>
      <c r="F124" s="287">
        <f>'[21]7. Final Tariff Schedule'!$E$290</f>
        <v>1.2104268347777023</v>
      </c>
      <c r="G124" s="63">
        <v>0</v>
      </c>
      <c r="H124" s="64"/>
      <c r="I124" s="105"/>
      <c r="J124" s="61"/>
      <c r="K124" s="67"/>
      <c r="L124" s="68"/>
      <c r="M124" s="67"/>
      <c r="N124" s="56"/>
    </row>
    <row r="125" spans="1:22" s="5" customFormat="1" ht="15.75" x14ac:dyDescent="0.25">
      <c r="A125" s="9"/>
      <c r="B125" s="58"/>
      <c r="C125" s="48"/>
      <c r="D125" s="49" t="s">
        <v>271</v>
      </c>
      <c r="E125" s="50" t="s">
        <v>99</v>
      </c>
      <c r="F125" s="287">
        <f>'[21]7. Final Tariff Schedule'!$E$293</f>
        <v>0.14069999999999999</v>
      </c>
      <c r="G125" s="287"/>
      <c r="H125" s="64"/>
      <c r="I125" s="105"/>
      <c r="J125" s="61"/>
      <c r="K125" s="67"/>
      <c r="L125" s="68"/>
      <c r="M125" s="67"/>
      <c r="N125" s="56"/>
    </row>
    <row r="126" spans="1:22" s="5" customFormat="1" ht="15.75" x14ac:dyDescent="0.25">
      <c r="A126" s="9"/>
      <c r="B126" s="58"/>
      <c r="C126" s="48" t="s">
        <v>168</v>
      </c>
      <c r="D126" s="49" t="s">
        <v>42</v>
      </c>
      <c r="E126" s="50" t="s">
        <v>99</v>
      </c>
      <c r="F126" s="287">
        <f>'[21]7. Final Tariff Schedule'!$E$291</f>
        <v>5.8000000000000003E-2</v>
      </c>
      <c r="G126" s="63">
        <v>5.8000000000000003E-2</v>
      </c>
      <c r="H126" s="64"/>
      <c r="I126" s="105"/>
      <c r="J126" s="61"/>
      <c r="K126" s="67"/>
      <c r="L126" s="68"/>
      <c r="M126" s="67"/>
      <c r="N126" s="56"/>
    </row>
    <row r="127" spans="1:22" s="5" customFormat="1" ht="15.6" x14ac:dyDescent="0.3">
      <c r="A127" s="9"/>
      <c r="B127" s="58"/>
      <c r="C127" s="48"/>
      <c r="D127" s="49" t="s">
        <v>262</v>
      </c>
      <c r="E127" s="50" t="s">
        <v>99</v>
      </c>
      <c r="F127" s="287">
        <f>'[21]7. Final Tariff Schedule'!$E$292</f>
        <v>5.2053544734660786E-3</v>
      </c>
      <c r="G127" s="63">
        <v>0</v>
      </c>
      <c r="H127" s="64"/>
      <c r="I127" s="105"/>
      <c r="J127" s="61"/>
      <c r="K127" s="67"/>
      <c r="L127" s="68"/>
      <c r="M127" s="67"/>
      <c r="N127" s="56"/>
    </row>
    <row r="128" spans="1:22" s="5" customFormat="1" ht="15.75" x14ac:dyDescent="0.25">
      <c r="A128" s="9"/>
      <c r="B128" s="58"/>
      <c r="C128" s="48"/>
      <c r="D128" s="49" t="s">
        <v>256</v>
      </c>
      <c r="E128" s="50" t="s">
        <v>99</v>
      </c>
      <c r="F128" s="331" t="s">
        <v>272</v>
      </c>
      <c r="G128" s="287">
        <v>0</v>
      </c>
      <c r="H128" s="64"/>
      <c r="I128" s="105"/>
      <c r="J128" s="61"/>
      <c r="K128" s="67"/>
      <c r="L128" s="68"/>
      <c r="M128" s="67"/>
      <c r="N128" s="56"/>
    </row>
    <row r="129" spans="2:14" s="5" customFormat="1" x14ac:dyDescent="0.2">
      <c r="B129" s="106"/>
      <c r="C129" s="48" t="s">
        <v>169</v>
      </c>
      <c r="D129" s="73" t="s">
        <v>74</v>
      </c>
      <c r="E129" s="50" t="s">
        <v>99</v>
      </c>
      <c r="F129" s="287">
        <f>'[21]7. Final Tariff Schedule'!$E$294</f>
        <v>1.9264906109964786</v>
      </c>
      <c r="G129" s="70">
        <v>2.0270999999999999</v>
      </c>
      <c r="H129" s="71"/>
      <c r="I129" s="107"/>
      <c r="J129" s="70"/>
      <c r="K129" s="70"/>
      <c r="L129" s="71"/>
      <c r="M129" s="103"/>
      <c r="N129" s="56"/>
    </row>
    <row r="130" spans="2:14" s="5" customFormat="1" x14ac:dyDescent="0.2">
      <c r="B130" s="106"/>
      <c r="C130" s="48" t="s">
        <v>170</v>
      </c>
      <c r="D130" s="73" t="s">
        <v>76</v>
      </c>
      <c r="E130" s="50" t="s">
        <v>99</v>
      </c>
      <c r="F130" s="287">
        <f>'[21]7. Final Tariff Schedule'!$E$295</f>
        <v>1.6456181395317646</v>
      </c>
      <c r="G130" s="70">
        <v>1.5879000000000001</v>
      </c>
      <c r="H130" s="71"/>
      <c r="I130" s="107"/>
      <c r="J130" s="70"/>
      <c r="K130" s="70"/>
      <c r="L130" s="71"/>
      <c r="M130" s="103"/>
      <c r="N130" s="56"/>
    </row>
    <row r="131" spans="2:14" s="5" customFormat="1" x14ac:dyDescent="0.2">
      <c r="B131" s="106"/>
      <c r="C131" s="48" t="s">
        <v>49</v>
      </c>
      <c r="D131" s="49" t="s">
        <v>50</v>
      </c>
      <c r="E131" s="50" t="s">
        <v>27</v>
      </c>
      <c r="F131" s="287">
        <f>'[21]7. Final Tariff Schedule'!$E$299</f>
        <v>3.5999999999999999E-3</v>
      </c>
      <c r="G131" s="70">
        <v>4.4000000000000003E-3</v>
      </c>
      <c r="H131" s="71"/>
      <c r="I131" s="107"/>
      <c r="J131" s="70"/>
      <c r="K131" s="70"/>
      <c r="L131" s="71"/>
      <c r="M131" s="103"/>
      <c r="N131" s="56"/>
    </row>
    <row r="132" spans="2:14" s="5" customFormat="1" x14ac:dyDescent="0.2">
      <c r="B132" s="106"/>
      <c r="C132" s="48" t="s">
        <v>49</v>
      </c>
      <c r="D132" s="73" t="s">
        <v>52</v>
      </c>
      <c r="E132" s="50" t="s">
        <v>27</v>
      </c>
      <c r="F132" s="70">
        <f>'[21]7. Final Tariff Schedule'!$E$300</f>
        <v>1.2999999999999999E-3</v>
      </c>
      <c r="G132" s="70">
        <v>1.2999999999999999E-3</v>
      </c>
      <c r="H132" s="71"/>
      <c r="I132" s="107"/>
      <c r="J132" s="70"/>
      <c r="K132" s="70"/>
      <c r="L132" s="71"/>
      <c r="M132" s="103"/>
      <c r="N132" s="56"/>
    </row>
    <row r="133" spans="2:14" s="5" customFormat="1" x14ac:dyDescent="0.2">
      <c r="B133" s="106"/>
      <c r="C133" s="48"/>
      <c r="D133" s="73" t="s">
        <v>273</v>
      </c>
      <c r="E133" s="50" t="s">
        <v>27</v>
      </c>
      <c r="F133" s="271">
        <f>'[21]7. Final Tariff Schedule'!$E$301</f>
        <v>1.1000000000000001E-3</v>
      </c>
      <c r="G133" s="271"/>
      <c r="H133" s="71"/>
      <c r="I133" s="107"/>
      <c r="J133" s="271"/>
      <c r="K133" s="271"/>
      <c r="L133" s="71"/>
      <c r="M133" s="103"/>
      <c r="N133" s="56"/>
    </row>
    <row r="134" spans="2:14" s="5" customFormat="1" x14ac:dyDescent="0.2">
      <c r="B134" s="106"/>
      <c r="C134" s="48" t="s">
        <v>55</v>
      </c>
      <c r="D134" s="73" t="s">
        <v>56</v>
      </c>
      <c r="E134" s="50" t="s">
        <v>27</v>
      </c>
      <c r="F134" s="271">
        <v>7.0000000000000001E-3</v>
      </c>
      <c r="G134" s="271">
        <v>7.0000000000000001E-3</v>
      </c>
      <c r="H134" s="89"/>
      <c r="I134" s="112"/>
      <c r="J134" s="78"/>
      <c r="K134" s="78"/>
      <c r="L134" s="89"/>
      <c r="M134" s="103"/>
      <c r="N134" s="56"/>
    </row>
    <row r="135" spans="2:14" s="5" customFormat="1" ht="15.75" thickBot="1" x14ac:dyDescent="0.25">
      <c r="B135" s="109"/>
      <c r="C135" s="110" t="s">
        <v>53</v>
      </c>
      <c r="D135" s="299" t="s">
        <v>54</v>
      </c>
      <c r="E135" s="111" t="s">
        <v>19</v>
      </c>
      <c r="F135" s="118">
        <f>'[22]7. Final Tariff Schedule'!E232</f>
        <v>0.25</v>
      </c>
      <c r="G135" s="118">
        <v>0.25</v>
      </c>
      <c r="H135" s="75"/>
      <c r="I135" s="108"/>
      <c r="J135" s="74"/>
      <c r="K135" s="74"/>
      <c r="L135" s="75"/>
      <c r="M135" s="103"/>
      <c r="N135" s="56"/>
    </row>
    <row r="136" spans="2:14" x14ac:dyDescent="0.2">
      <c r="H136" s="113"/>
      <c r="I136" s="26"/>
      <c r="J136" s="26"/>
      <c r="K136" s="26"/>
      <c r="L136" s="26"/>
      <c r="M136" s="26"/>
      <c r="N136" s="113"/>
    </row>
    <row r="137" spans="2:14" ht="14.25" customHeight="1" x14ac:dyDescent="0.2">
      <c r="B137" s="114" t="s">
        <v>171</v>
      </c>
      <c r="C137" s="114"/>
      <c r="D137" s="114"/>
    </row>
    <row r="138" spans="2:14" ht="14.25" customHeight="1" x14ac:dyDescent="0.2">
      <c r="B138" s="114"/>
      <c r="C138" s="114"/>
      <c r="D138" s="114"/>
    </row>
    <row r="139" spans="2:14" ht="15.75" x14ac:dyDescent="0.25">
      <c r="B139" s="115" t="s">
        <v>172</v>
      </c>
    </row>
    <row r="140" spans="2:14" x14ac:dyDescent="0.2">
      <c r="B140" s="116" t="s">
        <v>270</v>
      </c>
    </row>
    <row r="141" spans="2:14" x14ac:dyDescent="0.2">
      <c r="B141" s="116" t="s">
        <v>173</v>
      </c>
    </row>
  </sheetData>
  <mergeCells count="4">
    <mergeCell ref="B1:G1"/>
    <mergeCell ref="B2:G2"/>
    <mergeCell ref="B3:E3"/>
    <mergeCell ref="B4:E4"/>
  </mergeCells>
  <printOptions horizontalCentered="1"/>
  <pageMargins left="0" right="0" top="0" bottom="0" header="0.23622047244094491" footer="0.15748031496062992"/>
  <pageSetup scale="67" fitToHeight="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B2" sqref="B2"/>
    </sheetView>
  </sheetViews>
  <sheetFormatPr defaultRowHeight="14.4" x14ac:dyDescent="0.3"/>
  <cols>
    <col min="1" max="1" width="54.109375" bestFit="1" customWidth="1"/>
    <col min="2" max="2" width="13.109375" customWidth="1"/>
    <col min="3" max="3" width="9.88671875" bestFit="1" customWidth="1"/>
    <col min="4" max="4" width="12.6640625" bestFit="1" customWidth="1"/>
    <col min="6" max="6" width="11" bestFit="1" customWidth="1"/>
    <col min="7" max="7" width="9.88671875" bestFit="1" customWidth="1"/>
    <col min="8" max="8" width="12.6640625" bestFit="1" customWidth="1"/>
    <col min="10" max="10" width="9.88671875" bestFit="1" customWidth="1"/>
    <col min="11" max="11" width="10" bestFit="1" customWidth="1"/>
  </cols>
  <sheetData>
    <row r="1" spans="1:11" ht="15.75" x14ac:dyDescent="0.25">
      <c r="A1" s="119" t="s">
        <v>174</v>
      </c>
      <c r="B1" s="120" t="s">
        <v>277</v>
      </c>
      <c r="C1" s="120"/>
      <c r="D1" s="120"/>
      <c r="E1" s="120"/>
      <c r="F1" s="231"/>
      <c r="G1" s="231"/>
      <c r="H1" s="231"/>
      <c r="I1" s="231"/>
      <c r="J1" s="231"/>
      <c r="K1" s="233"/>
    </row>
    <row r="2" spans="1:11" ht="15.75" x14ac:dyDescent="0.25">
      <c r="A2" s="119" t="s">
        <v>176</v>
      </c>
      <c r="B2" s="121">
        <v>3.5999999999999997E-2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x14ac:dyDescent="0.25">
      <c r="A3" s="119" t="s">
        <v>177</v>
      </c>
      <c r="B3" s="123">
        <v>100000</v>
      </c>
      <c r="C3" s="124" t="s">
        <v>178</v>
      </c>
      <c r="D3" s="234"/>
      <c r="E3" s="234"/>
      <c r="F3" s="234"/>
      <c r="G3" s="234"/>
      <c r="H3" s="234"/>
      <c r="I3" s="234"/>
      <c r="J3" s="234"/>
      <c r="K3" s="234"/>
    </row>
    <row r="4" spans="1:11" ht="15" x14ac:dyDescent="0.25">
      <c r="A4" s="230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 ht="15" x14ac:dyDescent="0.25">
      <c r="A5" s="127" t="s">
        <v>180</v>
      </c>
      <c r="B5" s="128">
        <v>230</v>
      </c>
      <c r="C5" s="129" t="s">
        <v>181</v>
      </c>
      <c r="D5" s="234"/>
      <c r="E5" s="234"/>
      <c r="F5" s="234"/>
      <c r="G5" s="234"/>
      <c r="H5" s="234"/>
      <c r="I5" s="234"/>
      <c r="J5" s="234"/>
      <c r="K5" s="234"/>
    </row>
    <row r="6" spans="1:11" ht="15" x14ac:dyDescent="0.25">
      <c r="A6" s="130"/>
      <c r="B6" s="339" t="s">
        <v>182</v>
      </c>
      <c r="C6" s="340"/>
      <c r="D6" s="341"/>
      <c r="E6" s="242"/>
      <c r="F6" s="339" t="s">
        <v>8</v>
      </c>
      <c r="G6" s="340"/>
      <c r="H6" s="341"/>
      <c r="I6" s="242"/>
      <c r="J6" s="339" t="s">
        <v>183</v>
      </c>
      <c r="K6" s="341"/>
    </row>
    <row r="7" spans="1:11" ht="15" x14ac:dyDescent="0.25">
      <c r="A7" s="130"/>
      <c r="B7" s="132" t="s">
        <v>184</v>
      </c>
      <c r="C7" s="132" t="s">
        <v>185</v>
      </c>
      <c r="D7" s="243" t="s">
        <v>186</v>
      </c>
      <c r="E7" s="244"/>
      <c r="F7" s="132" t="s">
        <v>184</v>
      </c>
      <c r="G7" s="135" t="s">
        <v>185</v>
      </c>
      <c r="H7" s="132" t="s">
        <v>186</v>
      </c>
      <c r="I7" s="244"/>
      <c r="J7" s="138" t="s">
        <v>187</v>
      </c>
      <c r="K7" s="138" t="s">
        <v>188</v>
      </c>
    </row>
    <row r="8" spans="1:11" ht="15" x14ac:dyDescent="0.25">
      <c r="A8" s="130"/>
      <c r="B8" s="139" t="s">
        <v>189</v>
      </c>
      <c r="C8" s="139"/>
      <c r="D8" s="141" t="s">
        <v>189</v>
      </c>
      <c r="E8" s="244"/>
      <c r="F8" s="139" t="s">
        <v>189</v>
      </c>
      <c r="G8" s="141"/>
      <c r="H8" s="139" t="s">
        <v>189</v>
      </c>
      <c r="I8" s="244"/>
      <c r="J8" s="144"/>
      <c r="K8" s="144"/>
    </row>
    <row r="9" spans="1:11" ht="15" x14ac:dyDescent="0.25">
      <c r="A9" s="145" t="s">
        <v>18</v>
      </c>
      <c r="B9" s="146">
        <f>ROUND('January 01, 2016 Rates'!G61,2)</f>
        <v>71.64</v>
      </c>
      <c r="C9" s="147">
        <v>1</v>
      </c>
      <c r="D9" s="205">
        <f>C9*B9</f>
        <v>71.64</v>
      </c>
      <c r="E9" s="245"/>
      <c r="F9" s="146">
        <f>ROUND('January 01, 2016 Rates'!F61,2)</f>
        <v>73.040000000000006</v>
      </c>
      <c r="G9" s="150">
        <f>C9</f>
        <v>1</v>
      </c>
      <c r="H9" s="205">
        <f>G9*F9</f>
        <v>73.040000000000006</v>
      </c>
      <c r="I9" s="245"/>
      <c r="J9" s="246">
        <f>H9-D9</f>
        <v>1.4000000000000057</v>
      </c>
      <c r="K9" s="152">
        <f t="shared" ref="K9:K36" si="0">IF((D9)=0,"",(J9/D9))</f>
        <v>1.954215522054726E-2</v>
      </c>
    </row>
    <row r="10" spans="1:11" ht="15" x14ac:dyDescent="0.25">
      <c r="A10" s="145" t="s">
        <v>26</v>
      </c>
      <c r="B10" s="153">
        <f>ROUND('January 01, 2016 Rates'!G63,4)</f>
        <v>4.3117999999999999</v>
      </c>
      <c r="C10" s="154">
        <f>+B5</f>
        <v>230</v>
      </c>
      <c r="D10" s="205">
        <f>C10*B10</f>
        <v>991.71399999999994</v>
      </c>
      <c r="E10" s="245"/>
      <c r="F10" s="153">
        <f>ROUND('January 01, 2016 Rates'!F63,4)</f>
        <v>4.3959000000000001</v>
      </c>
      <c r="G10" s="156">
        <f>C10</f>
        <v>230</v>
      </c>
      <c r="H10" s="205">
        <f>G10*F10</f>
        <v>1011.057</v>
      </c>
      <c r="I10" s="245"/>
      <c r="J10" s="246">
        <f t="shared" ref="J10:J36" si="1">H10-D10</f>
        <v>19.343000000000075</v>
      </c>
      <c r="K10" s="152">
        <f t="shared" si="0"/>
        <v>1.9504615241894414E-2</v>
      </c>
    </row>
    <row r="11" spans="1:11" ht="15" x14ac:dyDescent="0.25">
      <c r="A11" s="145" t="s">
        <v>264</v>
      </c>
      <c r="B11" s="153">
        <f>ROUND('January 01, 2016 Rates'!G70,4)</f>
        <v>0</v>
      </c>
      <c r="C11" s="154">
        <f>B5</f>
        <v>230</v>
      </c>
      <c r="D11" s="205">
        <f>C11*B11</f>
        <v>0</v>
      </c>
      <c r="E11" s="245"/>
      <c r="F11" s="153">
        <f>ROUND('January 01, 2016 Rates'!F70,4)</f>
        <v>1.6999999999999999E-3</v>
      </c>
      <c r="G11" s="156">
        <f>C11</f>
        <v>230</v>
      </c>
      <c r="H11" s="205">
        <f t="shared" ref="H11:H13" si="2">G11*F11</f>
        <v>0.39099999999999996</v>
      </c>
      <c r="I11" s="245"/>
      <c r="J11" s="246">
        <f t="shared" si="1"/>
        <v>0.39099999999999996</v>
      </c>
      <c r="K11" s="152" t="str">
        <f t="shared" si="0"/>
        <v/>
      </c>
    </row>
    <row r="12" spans="1:11" ht="15" hidden="1" x14ac:dyDescent="0.25">
      <c r="A12" s="145" t="s">
        <v>265</v>
      </c>
      <c r="B12" s="146">
        <f>ROUND('January 01, 2016 Rates'!G62,2)</f>
        <v>0</v>
      </c>
      <c r="C12" s="154">
        <v>1</v>
      </c>
      <c r="D12" s="205">
        <f t="shared" ref="D12:D14" si="3">C12*B12</f>
        <v>0</v>
      </c>
      <c r="E12" s="245"/>
      <c r="F12" s="146"/>
      <c r="G12" s="156">
        <f t="shared" ref="G12:G13" si="4">C12</f>
        <v>1</v>
      </c>
      <c r="H12" s="205">
        <f t="shared" si="2"/>
        <v>0</v>
      </c>
      <c r="I12" s="245"/>
      <c r="J12" s="246">
        <f t="shared" si="1"/>
        <v>0</v>
      </c>
      <c r="K12" s="152" t="str">
        <f t="shared" si="0"/>
        <v/>
      </c>
    </row>
    <row r="13" spans="1:11" ht="15" hidden="1" x14ac:dyDescent="0.25">
      <c r="A13" s="145" t="s">
        <v>266</v>
      </c>
      <c r="B13" s="146">
        <f>ROUND('January 01, 2016 Rates'!G71,4)</f>
        <v>0</v>
      </c>
      <c r="C13" s="154">
        <f>B5</f>
        <v>230</v>
      </c>
      <c r="D13" s="205">
        <f t="shared" si="3"/>
        <v>0</v>
      </c>
      <c r="E13" s="245"/>
      <c r="F13" s="146"/>
      <c r="G13" s="156">
        <f t="shared" si="4"/>
        <v>230</v>
      </c>
      <c r="H13" s="205">
        <f t="shared" si="2"/>
        <v>0</v>
      </c>
      <c r="I13" s="245"/>
      <c r="J13" s="246">
        <f t="shared" si="1"/>
        <v>0</v>
      </c>
      <c r="K13" s="152" t="str">
        <f t="shared" si="0"/>
        <v/>
      </c>
    </row>
    <row r="14" spans="1:11" ht="15" x14ac:dyDescent="0.25">
      <c r="A14" s="168" t="s">
        <v>274</v>
      </c>
      <c r="B14" s="153">
        <v>0</v>
      </c>
      <c r="C14" s="167">
        <f>B5</f>
        <v>230</v>
      </c>
      <c r="D14" s="205">
        <f t="shared" si="3"/>
        <v>0</v>
      </c>
      <c r="E14" s="245"/>
      <c r="F14" s="153">
        <f>ROUND('January 01, 2016 Rates'!F66,4)</f>
        <v>3.1699999999999999E-2</v>
      </c>
      <c r="G14" s="167">
        <f>C14</f>
        <v>230</v>
      </c>
      <c r="H14" s="205">
        <f>G14*F14</f>
        <v>7.2909999999999995</v>
      </c>
      <c r="I14" s="245"/>
      <c r="J14" s="246">
        <f t="shared" si="1"/>
        <v>7.2909999999999995</v>
      </c>
      <c r="K14" s="152" t="str">
        <f t="shared" si="0"/>
        <v/>
      </c>
    </row>
    <row r="15" spans="1:11" ht="15" x14ac:dyDescent="0.25">
      <c r="A15" s="169" t="s">
        <v>190</v>
      </c>
      <c r="B15" s="170"/>
      <c r="C15" s="171"/>
      <c r="D15" s="175">
        <f>SUM(D9:D14)</f>
        <v>1063.354</v>
      </c>
      <c r="E15" s="245"/>
      <c r="F15" s="170"/>
      <c r="G15" s="174"/>
      <c r="H15" s="175">
        <f>SUM(H9:H14)</f>
        <v>1091.779</v>
      </c>
      <c r="I15" s="245"/>
      <c r="J15" s="249">
        <f>H15-D15</f>
        <v>28.424999999999955</v>
      </c>
      <c r="K15" s="176">
        <f>IF((D15)=0,"",(J15/D15))</f>
        <v>2.6731455376102366E-2</v>
      </c>
    </row>
    <row r="16" spans="1:11" ht="15" x14ac:dyDescent="0.25">
      <c r="A16" s="166" t="s">
        <v>267</v>
      </c>
      <c r="B16" s="153">
        <f>ROUND('January 01, 2016 Rates'!G64+'January 01, 2016 Rates'!G65+'January 01, 2016 Rates'!G68,4)</f>
        <v>0</v>
      </c>
      <c r="C16" s="167">
        <f>+B5</f>
        <v>230</v>
      </c>
      <c r="D16" s="205">
        <f>C16*B16</f>
        <v>0</v>
      </c>
      <c r="E16" s="245"/>
      <c r="F16" s="153">
        <f>ROUND('January 01, 2016 Rates'!F64+'January 01, 2016 Rates'!F65+'January 01, 2016 Rates'!F67,4)</f>
        <v>1.1748000000000001</v>
      </c>
      <c r="G16" s="167">
        <f>C16</f>
        <v>230</v>
      </c>
      <c r="H16" s="205">
        <f>G16*F16</f>
        <v>270.20400000000001</v>
      </c>
      <c r="I16" s="245"/>
      <c r="J16" s="246">
        <f t="shared" si="1"/>
        <v>270.20400000000001</v>
      </c>
      <c r="K16" s="152" t="str">
        <f t="shared" si="0"/>
        <v/>
      </c>
    </row>
    <row r="17" spans="1:11" ht="15" x14ac:dyDescent="0.25">
      <c r="A17" s="168" t="s">
        <v>192</v>
      </c>
      <c r="B17" s="153">
        <f>ROUND('January 01, 2016 Rates'!G69,4)</f>
        <v>8.0199999999999994E-2</v>
      </c>
      <c r="C17" s="167">
        <f>+B5</f>
        <v>230</v>
      </c>
      <c r="D17" s="205">
        <f>C17*B17</f>
        <v>18.445999999999998</v>
      </c>
      <c r="E17" s="245"/>
      <c r="F17" s="153">
        <f>ROUND('January 01, 2016 Rates'!F69,4)</f>
        <v>8.0199999999999994E-2</v>
      </c>
      <c r="G17" s="167">
        <f>C17</f>
        <v>230</v>
      </c>
      <c r="H17" s="205">
        <f>G17*F17</f>
        <v>18.445999999999998</v>
      </c>
      <c r="I17" s="245"/>
      <c r="J17" s="246">
        <f t="shared" si="1"/>
        <v>0</v>
      </c>
      <c r="K17" s="152">
        <f t="shared" si="0"/>
        <v>0</v>
      </c>
    </row>
    <row r="18" spans="1:11" ht="15" x14ac:dyDescent="0.25">
      <c r="A18" s="168" t="s">
        <v>193</v>
      </c>
      <c r="B18" s="153">
        <v>0</v>
      </c>
      <c r="C18" s="167">
        <v>1</v>
      </c>
      <c r="D18" s="205">
        <f>C18*B18</f>
        <v>0</v>
      </c>
      <c r="E18" s="245"/>
      <c r="F18" s="153">
        <v>0</v>
      </c>
      <c r="G18" s="167">
        <f>C18</f>
        <v>1</v>
      </c>
      <c r="H18" s="205">
        <f>G18*F18</f>
        <v>0</v>
      </c>
      <c r="I18" s="245"/>
      <c r="J18" s="246">
        <f t="shared" si="1"/>
        <v>0</v>
      </c>
      <c r="K18" s="152" t="str">
        <f t="shared" si="0"/>
        <v/>
      </c>
    </row>
    <row r="19" spans="1:11" ht="15" x14ac:dyDescent="0.25">
      <c r="A19" s="169" t="s">
        <v>194</v>
      </c>
      <c r="B19" s="170"/>
      <c r="C19" s="171"/>
      <c r="D19" s="175">
        <f>SUM(D15:D18)</f>
        <v>1081.8</v>
      </c>
      <c r="E19" s="245"/>
      <c r="F19" s="170"/>
      <c r="G19" s="174"/>
      <c r="H19" s="175">
        <f>SUM(H15:H18)</f>
        <v>1380.4289999999999</v>
      </c>
      <c r="I19" s="245"/>
      <c r="J19" s="249">
        <f t="shared" si="1"/>
        <v>298.62899999999991</v>
      </c>
      <c r="K19" s="176">
        <f t="shared" si="0"/>
        <v>0.27604825291181356</v>
      </c>
    </row>
    <row r="20" spans="1:11" ht="15" x14ac:dyDescent="0.25">
      <c r="A20" s="177" t="s">
        <v>122</v>
      </c>
      <c r="B20" s="153">
        <f>ROUND('January 01, 2016 Rates'!G74,4)</f>
        <v>-0.4</v>
      </c>
      <c r="C20" s="178">
        <f>B5</f>
        <v>230</v>
      </c>
      <c r="D20" s="205">
        <f>C20*B20</f>
        <v>-92</v>
      </c>
      <c r="E20" s="245"/>
      <c r="F20" s="153">
        <f>ROUND('January 01, 2016 Rates'!F74,4)</f>
        <v>-0.4</v>
      </c>
      <c r="G20" s="179">
        <f>C20</f>
        <v>230</v>
      </c>
      <c r="H20" s="205">
        <f>G20*F20</f>
        <v>-92</v>
      </c>
      <c r="I20" s="245"/>
      <c r="J20" s="246">
        <f t="shared" si="1"/>
        <v>0</v>
      </c>
      <c r="K20" s="152">
        <f t="shared" si="0"/>
        <v>0</v>
      </c>
    </row>
    <row r="21" spans="1:11" ht="15" x14ac:dyDescent="0.25">
      <c r="A21" s="177" t="s">
        <v>195</v>
      </c>
      <c r="B21" s="153">
        <f>ROUND('January 01, 2016 Rates'!G72,4)</f>
        <v>2.9272</v>
      </c>
      <c r="C21" s="178">
        <f>+B5</f>
        <v>230</v>
      </c>
      <c r="D21" s="205">
        <f>C21*B21</f>
        <v>673.25599999999997</v>
      </c>
      <c r="E21" s="245"/>
      <c r="F21" s="153">
        <f>ROUND('January 01, 2016 Rates'!F72,4)</f>
        <v>2.7818999999999998</v>
      </c>
      <c r="G21" s="179">
        <f>C21</f>
        <v>230</v>
      </c>
      <c r="H21" s="205">
        <f>G21*F21</f>
        <v>639.83699999999999</v>
      </c>
      <c r="I21" s="245"/>
      <c r="J21" s="246">
        <f t="shared" si="1"/>
        <v>-33.418999999999983</v>
      </c>
      <c r="K21" s="152">
        <f t="shared" si="0"/>
        <v>-4.963787920196773E-2</v>
      </c>
    </row>
    <row r="22" spans="1:11" ht="15" x14ac:dyDescent="0.25">
      <c r="A22" s="180" t="s">
        <v>196</v>
      </c>
      <c r="B22" s="153">
        <f>ROUND('January 01, 2016 Rates'!G73,4)</f>
        <v>2.1960000000000002</v>
      </c>
      <c r="C22" s="178">
        <f>+B5</f>
        <v>230</v>
      </c>
      <c r="D22" s="205">
        <f>C22*B22</f>
        <v>505.08000000000004</v>
      </c>
      <c r="E22" s="245"/>
      <c r="F22" s="153">
        <f>ROUND('January 01, 2016 Rates'!F73,4)</f>
        <v>2.2757999999999998</v>
      </c>
      <c r="G22" s="179">
        <f>C22</f>
        <v>230</v>
      </c>
      <c r="H22" s="205">
        <f>G22*F22</f>
        <v>523.43399999999997</v>
      </c>
      <c r="I22" s="245"/>
      <c r="J22" s="246">
        <f t="shared" si="1"/>
        <v>18.353999999999928</v>
      </c>
      <c r="K22" s="152">
        <f t="shared" si="0"/>
        <v>3.6338797814207506E-2</v>
      </c>
    </row>
    <row r="23" spans="1:11" ht="15" x14ac:dyDescent="0.25">
      <c r="A23" s="169" t="s">
        <v>197</v>
      </c>
      <c r="B23" s="170"/>
      <c r="C23" s="171"/>
      <c r="D23" s="175">
        <f>SUM(D19:D22)</f>
        <v>2168.136</v>
      </c>
      <c r="E23" s="250"/>
      <c r="F23" s="251"/>
      <c r="G23" s="183"/>
      <c r="H23" s="175">
        <f>SUM(H19:H22)</f>
        <v>2451.6999999999998</v>
      </c>
      <c r="I23" s="250"/>
      <c r="J23" s="249">
        <f t="shared" si="1"/>
        <v>283.56399999999985</v>
      </c>
      <c r="K23" s="176">
        <f t="shared" si="0"/>
        <v>0.13078699860156368</v>
      </c>
    </row>
    <row r="24" spans="1:11" ht="15" x14ac:dyDescent="0.25">
      <c r="A24" s="168" t="s">
        <v>198</v>
      </c>
      <c r="B24" s="153">
        <f>ROUND('January 01, 2016 Rates'!G75,4)</f>
        <v>4.4000000000000003E-3</v>
      </c>
      <c r="C24" s="178">
        <f>$B$3*(1+$B$2)</f>
        <v>103600</v>
      </c>
      <c r="D24" s="205">
        <f t="shared" ref="D24:D30" si="5">C24*B24</f>
        <v>455.84000000000003</v>
      </c>
      <c r="E24" s="245"/>
      <c r="F24" s="153">
        <f>ROUND('January 01, 2016 Rates'!F75,4)</f>
        <v>3.5999999999999999E-3</v>
      </c>
      <c r="G24" s="179">
        <f>+C24</f>
        <v>103600</v>
      </c>
      <c r="H24" s="205">
        <f t="shared" ref="H24:H30" si="6">G24*F24</f>
        <v>372.96</v>
      </c>
      <c r="I24" s="245"/>
      <c r="J24" s="246">
        <f t="shared" si="1"/>
        <v>-82.880000000000052</v>
      </c>
      <c r="K24" s="152">
        <f t="shared" si="0"/>
        <v>-0.18181818181818191</v>
      </c>
    </row>
    <row r="25" spans="1:11" ht="15" x14ac:dyDescent="0.25">
      <c r="A25" s="168" t="s">
        <v>199</v>
      </c>
      <c r="B25" s="153">
        <f>ROUND('January 01, 2016 Rates'!G76,4)</f>
        <v>1.2999999999999999E-3</v>
      </c>
      <c r="C25" s="178">
        <f>C24</f>
        <v>103600</v>
      </c>
      <c r="D25" s="205">
        <f t="shared" si="5"/>
        <v>134.68</v>
      </c>
      <c r="E25" s="245"/>
      <c r="F25" s="153">
        <f>ROUND('January 01, 2016 Rates'!F76,4)</f>
        <v>1.2999999999999999E-3</v>
      </c>
      <c r="G25" s="179">
        <f>+C25</f>
        <v>103600</v>
      </c>
      <c r="H25" s="205">
        <f t="shared" si="6"/>
        <v>134.68</v>
      </c>
      <c r="I25" s="245"/>
      <c r="J25" s="246">
        <f t="shared" si="1"/>
        <v>0</v>
      </c>
      <c r="K25" s="152">
        <f t="shared" si="0"/>
        <v>0</v>
      </c>
    </row>
    <row r="26" spans="1:11" ht="15" x14ac:dyDescent="0.25">
      <c r="A26" s="168" t="s">
        <v>200</v>
      </c>
      <c r="B26" s="153">
        <f>ROUND('January 01, 2016 Rates'!G79,4)</f>
        <v>0.25</v>
      </c>
      <c r="C26" s="178">
        <v>1</v>
      </c>
      <c r="D26" s="205">
        <f t="shared" si="5"/>
        <v>0.25</v>
      </c>
      <c r="E26" s="245"/>
      <c r="F26" s="153">
        <f>ROUND('January 01, 2016 Rates'!F79,4)</f>
        <v>0.25</v>
      </c>
      <c r="G26" s="179">
        <f>C26</f>
        <v>1</v>
      </c>
      <c r="H26" s="205">
        <f t="shared" si="6"/>
        <v>0.25</v>
      </c>
      <c r="I26" s="245"/>
      <c r="J26" s="246">
        <f t="shared" si="1"/>
        <v>0</v>
      </c>
      <c r="K26" s="152">
        <f t="shared" si="0"/>
        <v>0</v>
      </c>
    </row>
    <row r="27" spans="1:11" ht="15" x14ac:dyDescent="0.25">
      <c r="A27" s="168" t="s">
        <v>201</v>
      </c>
      <c r="B27" s="153">
        <f>ROUND('January 01, 2016 Rates'!G78,4)</f>
        <v>7.0000000000000001E-3</v>
      </c>
      <c r="C27" s="178">
        <f>+B3</f>
        <v>100000</v>
      </c>
      <c r="D27" s="205">
        <f t="shared" si="5"/>
        <v>700</v>
      </c>
      <c r="E27" s="245"/>
      <c r="F27" s="153">
        <f>ROUND('January 01, 2016 Rates'!G78,4)</f>
        <v>7.0000000000000001E-3</v>
      </c>
      <c r="G27" s="179">
        <f>C27</f>
        <v>100000</v>
      </c>
      <c r="H27" s="205">
        <f t="shared" si="6"/>
        <v>700</v>
      </c>
      <c r="I27" s="245"/>
      <c r="J27" s="246">
        <f t="shared" si="1"/>
        <v>0</v>
      </c>
      <c r="K27" s="152">
        <f t="shared" si="0"/>
        <v>0</v>
      </c>
    </row>
    <row r="28" spans="1:11" ht="15" x14ac:dyDescent="0.25">
      <c r="A28" s="307" t="s">
        <v>263</v>
      </c>
      <c r="B28" s="308"/>
      <c r="C28" s="309"/>
      <c r="D28" s="310"/>
      <c r="E28" s="147"/>
      <c r="F28" s="288">
        <f>ROUND('January 01, 2016 Rates'!F77,4)</f>
        <v>1.1000000000000001E-3</v>
      </c>
      <c r="G28" s="178">
        <f>$B$3*(1+$B$2)</f>
        <v>103600</v>
      </c>
      <c r="H28" s="148">
        <f>G28*F28</f>
        <v>113.96000000000001</v>
      </c>
      <c r="I28" s="147"/>
      <c r="J28" s="313"/>
      <c r="K28" s="314"/>
    </row>
    <row r="29" spans="1:11" ht="15" x14ac:dyDescent="0.25">
      <c r="A29" s="168" t="s">
        <v>215</v>
      </c>
      <c r="B29" s="153">
        <v>9.4E-2</v>
      </c>
      <c r="C29" s="178">
        <v>750</v>
      </c>
      <c r="D29" s="205">
        <f t="shared" si="5"/>
        <v>70.5</v>
      </c>
      <c r="E29" s="245"/>
      <c r="F29" s="153">
        <v>9.4E-2</v>
      </c>
      <c r="G29" s="178">
        <f>C29</f>
        <v>750</v>
      </c>
      <c r="H29" s="205">
        <f t="shared" si="6"/>
        <v>70.5</v>
      </c>
      <c r="I29" s="245"/>
      <c r="J29" s="246">
        <f t="shared" si="1"/>
        <v>0</v>
      </c>
      <c r="K29" s="152">
        <f t="shared" si="0"/>
        <v>0</v>
      </c>
    </row>
    <row r="30" spans="1:11" ht="15.75" thickBot="1" x14ac:dyDescent="0.3">
      <c r="A30" s="168" t="s">
        <v>215</v>
      </c>
      <c r="B30" s="153">
        <v>0.11</v>
      </c>
      <c r="C30" s="178">
        <f>+ROUND(C24-C29,0)</f>
        <v>102850</v>
      </c>
      <c r="D30" s="205">
        <f t="shared" si="5"/>
        <v>11313.5</v>
      </c>
      <c r="E30" s="245"/>
      <c r="F30" s="153">
        <v>0.11</v>
      </c>
      <c r="G30" s="178">
        <f>C30</f>
        <v>102850</v>
      </c>
      <c r="H30" s="205">
        <f t="shared" si="6"/>
        <v>11313.5</v>
      </c>
      <c r="I30" s="245"/>
      <c r="J30" s="246">
        <f t="shared" si="1"/>
        <v>0</v>
      </c>
      <c r="K30" s="152">
        <f t="shared" si="0"/>
        <v>0</v>
      </c>
    </row>
    <row r="31" spans="1:11" ht="15.75" thickBot="1" x14ac:dyDescent="0.3">
      <c r="A31" s="184"/>
      <c r="B31" s="185"/>
      <c r="C31" s="186"/>
      <c r="D31" s="189"/>
      <c r="E31" s="245"/>
      <c r="F31" s="252"/>
      <c r="G31" s="188"/>
      <c r="H31" s="189"/>
      <c r="I31" s="245"/>
      <c r="J31" s="253"/>
      <c r="K31" s="190"/>
    </row>
    <row r="32" spans="1:11" ht="15" x14ac:dyDescent="0.25">
      <c r="A32" s="191" t="s">
        <v>205</v>
      </c>
      <c r="B32" s="192"/>
      <c r="C32" s="193"/>
      <c r="D32" s="254">
        <f>SUM(D23:D30)</f>
        <v>14842.905999999999</v>
      </c>
      <c r="E32" s="255"/>
      <c r="F32" s="197"/>
      <c r="G32" s="197"/>
      <c r="H32" s="254">
        <f>SUM(H23:H30)</f>
        <v>15157.55</v>
      </c>
      <c r="I32" s="250"/>
      <c r="J32" s="254">
        <f>H32-D32</f>
        <v>314.64400000000023</v>
      </c>
      <c r="K32" s="199">
        <f>IF((D32)=0,"",(J32/D32))</f>
        <v>2.1198274785274546E-2</v>
      </c>
    </row>
    <row r="33" spans="1:11" ht="15" x14ac:dyDescent="0.25">
      <c r="A33" s="200" t="s">
        <v>206</v>
      </c>
      <c r="B33" s="192">
        <v>0.13</v>
      </c>
      <c r="C33" s="201"/>
      <c r="D33" s="256">
        <f>D32*B33</f>
        <v>1929.5777799999998</v>
      </c>
      <c r="E33" s="201"/>
      <c r="F33" s="192">
        <v>0.13</v>
      </c>
      <c r="G33" s="203"/>
      <c r="H33" s="256">
        <f>H32*F33</f>
        <v>1970.4814999999999</v>
      </c>
      <c r="I33" s="245"/>
      <c r="J33" s="256">
        <f t="shared" si="1"/>
        <v>40.903720000000021</v>
      </c>
      <c r="K33" s="206">
        <f t="shared" si="0"/>
        <v>2.1198274785274539E-2</v>
      </c>
    </row>
    <row r="34" spans="1:11" ht="15" x14ac:dyDescent="0.25">
      <c r="A34" s="207" t="s">
        <v>207</v>
      </c>
      <c r="B34" s="203"/>
      <c r="C34" s="201"/>
      <c r="D34" s="256">
        <f>D32+D33</f>
        <v>16772.483779999999</v>
      </c>
      <c r="E34" s="201"/>
      <c r="F34" s="203"/>
      <c r="G34" s="203"/>
      <c r="H34" s="256">
        <f>H32+H33</f>
        <v>17128.031499999997</v>
      </c>
      <c r="I34" s="245"/>
      <c r="J34" s="256">
        <f t="shared" si="1"/>
        <v>355.54771999999866</v>
      </c>
      <c r="K34" s="206">
        <f t="shared" si="0"/>
        <v>2.1198274785274449E-2</v>
      </c>
    </row>
    <row r="35" spans="1:11" ht="15" x14ac:dyDescent="0.25">
      <c r="A35" s="209" t="s">
        <v>208</v>
      </c>
      <c r="B35" s="203"/>
      <c r="C35" s="201"/>
      <c r="D35" s="256">
        <v>0</v>
      </c>
      <c r="E35" s="201"/>
      <c r="F35" s="316"/>
      <c r="G35" s="316"/>
      <c r="H35" s="318"/>
      <c r="I35" s="245"/>
      <c r="J35" s="318"/>
      <c r="K35" s="314"/>
    </row>
    <row r="36" spans="1:11" ht="15.75" thickBot="1" x14ac:dyDescent="0.3">
      <c r="A36" s="210" t="s">
        <v>209</v>
      </c>
      <c r="B36" s="211"/>
      <c r="C36" s="212"/>
      <c r="D36" s="248">
        <f>D34+D35</f>
        <v>16772.483779999999</v>
      </c>
      <c r="E36" s="255"/>
      <c r="F36" s="215"/>
      <c r="G36" s="215"/>
      <c r="H36" s="248">
        <f>H34+H35</f>
        <v>17128.031499999997</v>
      </c>
      <c r="I36" s="250"/>
      <c r="J36" s="248">
        <f t="shared" si="1"/>
        <v>355.54771999999866</v>
      </c>
      <c r="K36" s="165">
        <f t="shared" si="0"/>
        <v>2.1198274785274449E-2</v>
      </c>
    </row>
    <row r="37" spans="1:11" ht="15.75" thickBot="1" x14ac:dyDescent="0.3">
      <c r="A37" s="184"/>
      <c r="B37" s="216"/>
      <c r="C37" s="217"/>
      <c r="D37" s="257"/>
      <c r="E37" s="258"/>
      <c r="F37" s="216"/>
      <c r="G37" s="221"/>
      <c r="H37" s="259"/>
      <c r="I37" s="258"/>
      <c r="J37" s="260"/>
      <c r="K37" s="224"/>
    </row>
    <row r="39" spans="1:11" ht="15" x14ac:dyDescent="0.25">
      <c r="H39" s="304"/>
      <c r="I39" s="304"/>
      <c r="J39" s="304"/>
      <c r="K39" s="266"/>
    </row>
    <row r="40" spans="1:11" ht="15" x14ac:dyDescent="0.25">
      <c r="D40" s="265"/>
    </row>
    <row r="42" spans="1:11" x14ac:dyDescent="0.3">
      <c r="B42" s="267"/>
      <c r="C42" s="268"/>
      <c r="D42" s="265"/>
    </row>
    <row r="43" spans="1:11" x14ac:dyDescent="0.3">
      <c r="B43" s="267"/>
      <c r="C43" s="268"/>
      <c r="D43" s="265"/>
    </row>
    <row r="44" spans="1:11" x14ac:dyDescent="0.3">
      <c r="D44" s="265"/>
      <c r="E44" s="265"/>
    </row>
    <row r="45" spans="1:11" x14ac:dyDescent="0.3">
      <c r="C45" s="268"/>
    </row>
    <row r="46" spans="1:11" x14ac:dyDescent="0.3">
      <c r="D46" s="265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K39"/>
  <sheetViews>
    <sheetView workbookViewId="0">
      <selection activeCell="D36" sqref="D36"/>
    </sheetView>
  </sheetViews>
  <sheetFormatPr defaultRowHeight="14.4" x14ac:dyDescent="0.3"/>
  <cols>
    <col min="1" max="1" width="54.109375" bestFit="1" customWidth="1"/>
    <col min="2" max="2" width="16.44140625" customWidth="1"/>
    <col min="3" max="3" width="9.88671875" bestFit="1" customWidth="1"/>
    <col min="4" max="4" width="12.6640625" bestFit="1" customWidth="1"/>
    <col min="6" max="6" width="14" bestFit="1" customWidth="1"/>
    <col min="7" max="7" width="9.88671875" bestFit="1" customWidth="1"/>
    <col min="8" max="8" width="12.6640625" bestFit="1" customWidth="1"/>
    <col min="10" max="10" width="11.5546875" bestFit="1" customWidth="1"/>
    <col min="11" max="11" width="10" bestFit="1" customWidth="1"/>
  </cols>
  <sheetData>
    <row r="1" spans="1:11" ht="15.75" x14ac:dyDescent="0.25">
      <c r="A1" s="119" t="s">
        <v>174</v>
      </c>
      <c r="B1" s="120" t="s">
        <v>218</v>
      </c>
      <c r="C1" s="120"/>
      <c r="D1" s="120"/>
      <c r="E1" s="120"/>
      <c r="F1" s="231"/>
      <c r="G1" s="231"/>
      <c r="H1" s="231"/>
      <c r="I1" s="231"/>
      <c r="J1" s="231"/>
      <c r="K1" s="233"/>
    </row>
    <row r="2" spans="1:11" ht="15.75" x14ac:dyDescent="0.25">
      <c r="A2" s="119" t="s">
        <v>176</v>
      </c>
      <c r="B2" s="121">
        <v>3.5999999999999997E-2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x14ac:dyDescent="0.25">
      <c r="A3" s="119" t="s">
        <v>177</v>
      </c>
      <c r="B3" s="123">
        <v>400000</v>
      </c>
      <c r="C3" s="124" t="s">
        <v>178</v>
      </c>
      <c r="D3" s="234"/>
      <c r="E3" s="234"/>
      <c r="F3" s="234"/>
      <c r="G3" s="234"/>
      <c r="H3" s="234"/>
      <c r="I3" s="234"/>
      <c r="J3" s="234"/>
      <c r="K3" s="234"/>
    </row>
    <row r="4" spans="1:11" ht="15" x14ac:dyDescent="0.25">
      <c r="A4" s="230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 ht="15" x14ac:dyDescent="0.25">
      <c r="A5" s="127" t="s">
        <v>180</v>
      </c>
      <c r="B5" s="128">
        <v>2250</v>
      </c>
      <c r="C5" s="129" t="s">
        <v>181</v>
      </c>
      <c r="D5" s="234"/>
      <c r="E5" s="234"/>
      <c r="F5" s="234"/>
      <c r="G5" s="234"/>
      <c r="H5" s="234"/>
      <c r="I5" s="234"/>
      <c r="J5" s="234"/>
      <c r="K5" s="234"/>
    </row>
    <row r="6" spans="1:11" ht="15" x14ac:dyDescent="0.25">
      <c r="A6" s="130"/>
      <c r="B6" s="339" t="s">
        <v>182</v>
      </c>
      <c r="C6" s="340"/>
      <c r="D6" s="341"/>
      <c r="E6" s="242"/>
      <c r="F6" s="339" t="s">
        <v>8</v>
      </c>
      <c r="G6" s="340"/>
      <c r="H6" s="341"/>
      <c r="I6" s="242"/>
      <c r="J6" s="339" t="s">
        <v>183</v>
      </c>
      <c r="K6" s="341"/>
    </row>
    <row r="7" spans="1:11" ht="15" x14ac:dyDescent="0.25">
      <c r="A7" s="130"/>
      <c r="B7" s="132" t="s">
        <v>184</v>
      </c>
      <c r="C7" s="132" t="s">
        <v>185</v>
      </c>
      <c r="D7" s="243" t="s">
        <v>186</v>
      </c>
      <c r="E7" s="244"/>
      <c r="F7" s="132" t="s">
        <v>184</v>
      </c>
      <c r="G7" s="135" t="s">
        <v>185</v>
      </c>
      <c r="H7" s="132" t="s">
        <v>186</v>
      </c>
      <c r="I7" s="244"/>
      <c r="J7" s="138" t="s">
        <v>187</v>
      </c>
      <c r="K7" s="138" t="s">
        <v>188</v>
      </c>
    </row>
    <row r="8" spans="1:11" ht="15" x14ac:dyDescent="0.25">
      <c r="A8" s="130"/>
      <c r="B8" s="139" t="s">
        <v>189</v>
      </c>
      <c r="C8" s="139"/>
      <c r="D8" s="141" t="s">
        <v>189</v>
      </c>
      <c r="E8" s="244"/>
      <c r="F8" s="139" t="s">
        <v>189</v>
      </c>
      <c r="G8" s="141"/>
      <c r="H8" s="139" t="s">
        <v>189</v>
      </c>
      <c r="I8" s="244"/>
      <c r="J8" s="144"/>
      <c r="K8" s="144"/>
    </row>
    <row r="9" spans="1:11" ht="15" x14ac:dyDescent="0.25">
      <c r="A9" s="145" t="s">
        <v>18</v>
      </c>
      <c r="B9" s="146">
        <f>ROUND('January 01, 2016 Rates'!G81,2)</f>
        <v>1631.56</v>
      </c>
      <c r="C9" s="147">
        <v>1</v>
      </c>
      <c r="D9" s="205">
        <f t="shared" ref="D9:D14" si="0">C9*B9</f>
        <v>1631.56</v>
      </c>
      <c r="E9" s="245"/>
      <c r="F9" s="146">
        <f>ROUND('January 01, 2016 Rates'!F81,2)</f>
        <v>1663.38</v>
      </c>
      <c r="G9" s="150">
        <f t="shared" ref="G9:G14" si="1">C9</f>
        <v>1</v>
      </c>
      <c r="H9" s="205">
        <f t="shared" ref="H9:H14" si="2">G9*F9</f>
        <v>1663.38</v>
      </c>
      <c r="I9" s="245"/>
      <c r="J9" s="246">
        <f>H9-D9</f>
        <v>31.820000000000164</v>
      </c>
      <c r="K9" s="152">
        <f t="shared" ref="K9:K36" si="3">IF((D9)=0,"",(J9/D9))</f>
        <v>1.9502807129373217E-2</v>
      </c>
    </row>
    <row r="10" spans="1:11" ht="15" x14ac:dyDescent="0.25">
      <c r="A10" s="145" t="s">
        <v>26</v>
      </c>
      <c r="B10" s="153">
        <f>ROUND('January 01, 2016 Rates'!G83,4)</f>
        <v>2.2187000000000001</v>
      </c>
      <c r="C10" s="154">
        <f>+B5</f>
        <v>2250</v>
      </c>
      <c r="D10" s="205">
        <f t="shared" si="0"/>
        <v>4992.0749999999998</v>
      </c>
      <c r="E10" s="245"/>
      <c r="F10" s="153">
        <f>ROUND('January 01, 2016 Rates'!F83,4)</f>
        <v>2.262</v>
      </c>
      <c r="G10" s="156">
        <f t="shared" si="1"/>
        <v>2250</v>
      </c>
      <c r="H10" s="205">
        <f t="shared" si="2"/>
        <v>5089.5</v>
      </c>
      <c r="I10" s="245"/>
      <c r="J10" s="246">
        <f t="shared" ref="J10:J36" si="4">H10-D10</f>
        <v>97.425000000000182</v>
      </c>
      <c r="K10" s="152">
        <f t="shared" si="3"/>
        <v>1.9515932753414199E-2</v>
      </c>
    </row>
    <row r="11" spans="1:11" ht="15" x14ac:dyDescent="0.25">
      <c r="A11" s="145" t="s">
        <v>264</v>
      </c>
      <c r="B11" s="153">
        <f>ROUND('January 01, 2016 Rates'!G90,4)</f>
        <v>0</v>
      </c>
      <c r="C11" s="154">
        <f>+B5</f>
        <v>2250</v>
      </c>
      <c r="D11" s="205">
        <f t="shared" si="0"/>
        <v>0</v>
      </c>
      <c r="E11" s="245"/>
      <c r="F11" s="153">
        <f>ROUND('January 01, 2016 Rates'!F90,4)</f>
        <v>1.5E-3</v>
      </c>
      <c r="G11" s="156">
        <f t="shared" si="1"/>
        <v>2250</v>
      </c>
      <c r="H11" s="205">
        <f t="shared" si="2"/>
        <v>3.375</v>
      </c>
      <c r="I11" s="245"/>
      <c r="J11" s="246">
        <f t="shared" si="4"/>
        <v>3.375</v>
      </c>
      <c r="K11" s="152" t="str">
        <f t="shared" si="3"/>
        <v/>
      </c>
    </row>
    <row r="12" spans="1:11" ht="15" hidden="1" x14ac:dyDescent="0.25">
      <c r="A12" s="145" t="s">
        <v>265</v>
      </c>
      <c r="B12" s="146">
        <f>ROUND('January 01, 2016 Rates'!G82,2)</f>
        <v>0</v>
      </c>
      <c r="C12" s="154">
        <v>1</v>
      </c>
      <c r="D12" s="205">
        <f t="shared" si="0"/>
        <v>0</v>
      </c>
      <c r="E12" s="245"/>
      <c r="F12" s="146"/>
      <c r="G12" s="156">
        <f t="shared" si="1"/>
        <v>1</v>
      </c>
      <c r="H12" s="205">
        <f t="shared" si="2"/>
        <v>0</v>
      </c>
      <c r="I12" s="245"/>
      <c r="J12" s="246">
        <f t="shared" ref="J12" si="5">H12-D12</f>
        <v>0</v>
      </c>
      <c r="K12" s="152" t="str">
        <f t="shared" ref="K12" si="6">IF((D12)=0,"",(J12/D12))</f>
        <v/>
      </c>
    </row>
    <row r="13" spans="1:11" ht="15" hidden="1" x14ac:dyDescent="0.25">
      <c r="A13" s="145" t="s">
        <v>266</v>
      </c>
      <c r="B13" s="146">
        <f>ROUND('January 01, 2016 Rates'!G91,4)</f>
        <v>0</v>
      </c>
      <c r="C13" s="154">
        <f>B5</f>
        <v>2250</v>
      </c>
      <c r="D13" s="205">
        <f t="shared" si="0"/>
        <v>0</v>
      </c>
      <c r="E13" s="245"/>
      <c r="F13" s="146"/>
      <c r="G13" s="156">
        <f t="shared" si="1"/>
        <v>2250</v>
      </c>
      <c r="H13" s="205">
        <f t="shared" si="2"/>
        <v>0</v>
      </c>
      <c r="I13" s="245"/>
      <c r="J13" s="246">
        <f t="shared" ref="J13:J14" si="7">H13-D13</f>
        <v>0</v>
      </c>
      <c r="K13" s="152" t="str">
        <f t="shared" ref="K13:K14" si="8">IF((D13)=0,"",(J13/D13))</f>
        <v/>
      </c>
    </row>
    <row r="14" spans="1:11" ht="15" x14ac:dyDescent="0.25">
      <c r="A14" s="168" t="s">
        <v>274</v>
      </c>
      <c r="B14" s="153">
        <v>0</v>
      </c>
      <c r="C14" s="167">
        <f>B5</f>
        <v>2250</v>
      </c>
      <c r="D14" s="205">
        <f t="shared" si="0"/>
        <v>0</v>
      </c>
      <c r="E14" s="245"/>
      <c r="F14" s="153">
        <f>ROUND('January 01, 2016 Rates'!F86,4)</f>
        <v>2.63E-2</v>
      </c>
      <c r="G14" s="167">
        <f t="shared" si="1"/>
        <v>2250</v>
      </c>
      <c r="H14" s="205">
        <f t="shared" si="2"/>
        <v>59.175000000000004</v>
      </c>
      <c r="I14" s="245"/>
      <c r="J14" s="246">
        <f t="shared" si="7"/>
        <v>59.175000000000004</v>
      </c>
      <c r="K14" s="152" t="str">
        <f t="shared" si="8"/>
        <v/>
      </c>
    </row>
    <row r="15" spans="1:11" ht="15" x14ac:dyDescent="0.25">
      <c r="A15" s="169" t="s">
        <v>190</v>
      </c>
      <c r="B15" s="170"/>
      <c r="C15" s="171"/>
      <c r="D15" s="175">
        <f>SUM(D9:D14)</f>
        <v>6623.6350000000002</v>
      </c>
      <c r="E15" s="245"/>
      <c r="F15" s="170"/>
      <c r="G15" s="174"/>
      <c r="H15" s="175">
        <f>SUM(H9:H14)</f>
        <v>6815.43</v>
      </c>
      <c r="I15" s="245"/>
      <c r="J15" s="249">
        <f t="shared" si="4"/>
        <v>191.79500000000007</v>
      </c>
      <c r="K15" s="176">
        <f t="shared" si="3"/>
        <v>2.8956154739806776E-2</v>
      </c>
    </row>
    <row r="16" spans="1:11" ht="15" x14ac:dyDescent="0.25">
      <c r="A16" s="166" t="s">
        <v>267</v>
      </c>
      <c r="B16" s="153">
        <f>ROUND('January 01, 2016 Rates'!G84+'January 01, 2016 Rates'!G85+'January 01, 2016 Rates'!G88,4)</f>
        <v>0</v>
      </c>
      <c r="C16" s="167">
        <f>+B5</f>
        <v>2250</v>
      </c>
      <c r="D16" s="205">
        <f>C16*B16</f>
        <v>0</v>
      </c>
      <c r="E16" s="245"/>
      <c r="F16" s="153">
        <f>ROUND('January 01, 2016 Rates'!F84+'January 01, 2016 Rates'!F85+'January 01, 2016 Rates'!F88,4)</f>
        <v>1.4822</v>
      </c>
      <c r="G16" s="167">
        <f>C16</f>
        <v>2250</v>
      </c>
      <c r="H16" s="205">
        <f>G16*F16</f>
        <v>3334.95</v>
      </c>
      <c r="I16" s="245"/>
      <c r="J16" s="246">
        <f t="shared" si="4"/>
        <v>3334.95</v>
      </c>
      <c r="K16" s="152" t="str">
        <f t="shared" si="3"/>
        <v/>
      </c>
    </row>
    <row r="17" spans="1:11" ht="15" x14ac:dyDescent="0.25">
      <c r="A17" s="168" t="s">
        <v>192</v>
      </c>
      <c r="B17" s="153">
        <f>ROUND('January 01, 2016 Rates'!G89,4)</f>
        <v>7.8399999999999997E-2</v>
      </c>
      <c r="C17" s="167">
        <f>+B5</f>
        <v>2250</v>
      </c>
      <c r="D17" s="205">
        <f>C17*B17</f>
        <v>176.4</v>
      </c>
      <c r="E17" s="245"/>
      <c r="F17" s="153">
        <f>ROUND('January 01, 2016 Rates'!F89,4)</f>
        <v>7.8399999999999997E-2</v>
      </c>
      <c r="G17" s="167">
        <f>C17</f>
        <v>2250</v>
      </c>
      <c r="H17" s="205">
        <f>G17*F17</f>
        <v>176.4</v>
      </c>
      <c r="I17" s="245"/>
      <c r="J17" s="246">
        <f t="shared" si="4"/>
        <v>0</v>
      </c>
      <c r="K17" s="152">
        <f t="shared" si="3"/>
        <v>0</v>
      </c>
    </row>
    <row r="18" spans="1:11" ht="15" x14ac:dyDescent="0.25">
      <c r="A18" s="168" t="s">
        <v>193</v>
      </c>
      <c r="B18" s="153">
        <v>0</v>
      </c>
      <c r="C18" s="167">
        <v>1</v>
      </c>
      <c r="D18" s="205">
        <f>C18*B18</f>
        <v>0</v>
      </c>
      <c r="E18" s="245"/>
      <c r="F18" s="153">
        <v>0</v>
      </c>
      <c r="G18" s="167">
        <f>C18</f>
        <v>1</v>
      </c>
      <c r="H18" s="205">
        <f>G18*F18</f>
        <v>0</v>
      </c>
      <c r="I18" s="245"/>
      <c r="J18" s="246">
        <f t="shared" si="4"/>
        <v>0</v>
      </c>
      <c r="K18" s="152" t="str">
        <f t="shared" si="3"/>
        <v/>
      </c>
    </row>
    <row r="19" spans="1:11" ht="15" x14ac:dyDescent="0.25">
      <c r="A19" s="169" t="s">
        <v>194</v>
      </c>
      <c r="B19" s="170"/>
      <c r="C19" s="171"/>
      <c r="D19" s="175">
        <f>SUM(D15:D18)</f>
        <v>6800.0349999999999</v>
      </c>
      <c r="E19" s="245"/>
      <c r="F19" s="170"/>
      <c r="G19" s="174"/>
      <c r="H19" s="175">
        <f>SUM(H15:H18)</f>
        <v>10326.780000000001</v>
      </c>
      <c r="I19" s="245"/>
      <c r="J19" s="249">
        <f t="shared" si="4"/>
        <v>3526.7450000000008</v>
      </c>
      <c r="K19" s="176">
        <f t="shared" si="3"/>
        <v>0.51863630113668546</v>
      </c>
    </row>
    <row r="20" spans="1:11" ht="15" x14ac:dyDescent="0.25">
      <c r="A20" s="177" t="s">
        <v>122</v>
      </c>
      <c r="B20" s="153">
        <f>ROUND('January 01, 2016 Rates'!G94,4)</f>
        <v>-0.4</v>
      </c>
      <c r="C20" s="178">
        <f>B5</f>
        <v>2250</v>
      </c>
      <c r="D20" s="205">
        <f>C20*B20</f>
        <v>-900</v>
      </c>
      <c r="E20" s="245"/>
      <c r="F20" s="153">
        <f>ROUND('January 01, 2016 Rates'!F94,4)</f>
        <v>-0.4</v>
      </c>
      <c r="G20" s="179">
        <f>C20</f>
        <v>2250</v>
      </c>
      <c r="H20" s="205">
        <f>G20*F20</f>
        <v>-900</v>
      </c>
      <c r="I20" s="245"/>
      <c r="J20" s="246">
        <f t="shared" ref="J20" si="9">H20-D20</f>
        <v>0</v>
      </c>
      <c r="K20" s="152">
        <f t="shared" ref="K20" si="10">IF((D20)=0,"",(J20/D20))</f>
        <v>0</v>
      </c>
    </row>
    <row r="21" spans="1:11" ht="15" x14ac:dyDescent="0.25">
      <c r="A21" s="177" t="s">
        <v>195</v>
      </c>
      <c r="B21" s="153">
        <f>ROUND('January 01, 2016 Rates'!G92,4)</f>
        <v>2.8319999999999999</v>
      </c>
      <c r="C21" s="178">
        <f>+B5</f>
        <v>2250</v>
      </c>
      <c r="D21" s="205">
        <f>C21*B21</f>
        <v>6372</v>
      </c>
      <c r="E21" s="245"/>
      <c r="F21" s="153">
        <f>ROUND('January 01, 2016 Rates'!F92,4)</f>
        <v>2.6913999999999998</v>
      </c>
      <c r="G21" s="179">
        <f>C21</f>
        <v>2250</v>
      </c>
      <c r="H21" s="205">
        <f>G21*F21</f>
        <v>6055.65</v>
      </c>
      <c r="I21" s="245"/>
      <c r="J21" s="246">
        <f t="shared" si="4"/>
        <v>-316.35000000000036</v>
      </c>
      <c r="K21" s="152">
        <f t="shared" si="3"/>
        <v>-4.9646892655367286E-2</v>
      </c>
    </row>
    <row r="22" spans="1:11" ht="15" x14ac:dyDescent="0.25">
      <c r="A22" s="180" t="s">
        <v>196</v>
      </c>
      <c r="B22" s="153">
        <f>ROUND('January 01, 2016 Rates'!G93,4)</f>
        <v>2.1488</v>
      </c>
      <c r="C22" s="178">
        <f>+B5</f>
        <v>2250</v>
      </c>
      <c r="D22" s="205">
        <f>C22*B22</f>
        <v>4834.8</v>
      </c>
      <c r="E22" s="245"/>
      <c r="F22" s="153">
        <f>ROUND('January 01, 2016 Rates'!F93,4)</f>
        <v>2.2269000000000001</v>
      </c>
      <c r="G22" s="179">
        <f>C22</f>
        <v>2250</v>
      </c>
      <c r="H22" s="205">
        <f>G22*F22</f>
        <v>5010.5250000000005</v>
      </c>
      <c r="I22" s="245"/>
      <c r="J22" s="246">
        <f t="shared" si="4"/>
        <v>175.72500000000036</v>
      </c>
      <c r="K22" s="152">
        <f t="shared" si="3"/>
        <v>3.6345867460908489E-2</v>
      </c>
    </row>
    <row r="23" spans="1:11" ht="15" x14ac:dyDescent="0.25">
      <c r="A23" s="169" t="s">
        <v>197</v>
      </c>
      <c r="B23" s="170"/>
      <c r="C23" s="171"/>
      <c r="D23" s="175">
        <f>SUM(D19:D22)</f>
        <v>17106.834999999999</v>
      </c>
      <c r="E23" s="250"/>
      <c r="F23" s="251"/>
      <c r="G23" s="183"/>
      <c r="H23" s="175">
        <f>SUM(H19:H22)</f>
        <v>20492.955000000002</v>
      </c>
      <c r="I23" s="250"/>
      <c r="J23" s="249">
        <f t="shared" si="4"/>
        <v>3386.1200000000026</v>
      </c>
      <c r="K23" s="176">
        <f t="shared" si="3"/>
        <v>0.19793959548917159</v>
      </c>
    </row>
    <row r="24" spans="1:11" ht="15" x14ac:dyDescent="0.25">
      <c r="A24" s="168" t="s">
        <v>198</v>
      </c>
      <c r="B24" s="153">
        <f>ROUND('January 01, 2016 Rates'!G95,4)</f>
        <v>4.4000000000000003E-3</v>
      </c>
      <c r="C24" s="178">
        <f>$B$3*(1+$B$2)</f>
        <v>414400</v>
      </c>
      <c r="D24" s="205">
        <f t="shared" ref="D24:D30" si="11">C24*B24</f>
        <v>1823.3600000000001</v>
      </c>
      <c r="E24" s="245"/>
      <c r="F24" s="153">
        <f>ROUND('January 01, 2016 Rates'!F95,4)</f>
        <v>3.5999999999999999E-3</v>
      </c>
      <c r="G24" s="179">
        <f>+C24</f>
        <v>414400</v>
      </c>
      <c r="H24" s="205">
        <f t="shared" ref="H24:H30" si="12">G24*F24</f>
        <v>1491.84</v>
      </c>
      <c r="I24" s="245"/>
      <c r="J24" s="246">
        <f t="shared" si="4"/>
        <v>-331.52000000000021</v>
      </c>
      <c r="K24" s="152">
        <f t="shared" si="3"/>
        <v>-0.18181818181818191</v>
      </c>
    </row>
    <row r="25" spans="1:11" ht="15" x14ac:dyDescent="0.25">
      <c r="A25" s="168" t="s">
        <v>199</v>
      </c>
      <c r="B25" s="153">
        <f>ROUND('January 01, 2016 Rates'!G96,4)</f>
        <v>1.2999999999999999E-3</v>
      </c>
      <c r="C25" s="178">
        <f>C24</f>
        <v>414400</v>
      </c>
      <c r="D25" s="205">
        <f t="shared" si="11"/>
        <v>538.72</v>
      </c>
      <c r="E25" s="245"/>
      <c r="F25" s="153">
        <f>ROUND('January 01, 2016 Rates'!F96,4)</f>
        <v>1.2999999999999999E-3</v>
      </c>
      <c r="G25" s="179">
        <f>+C25</f>
        <v>414400</v>
      </c>
      <c r="H25" s="205">
        <f t="shared" si="12"/>
        <v>538.72</v>
      </c>
      <c r="I25" s="245"/>
      <c r="J25" s="246">
        <f t="shared" si="4"/>
        <v>0</v>
      </c>
      <c r="K25" s="152">
        <f t="shared" si="3"/>
        <v>0</v>
      </c>
    </row>
    <row r="26" spans="1:11" ht="15" x14ac:dyDescent="0.25">
      <c r="A26" s="168" t="s">
        <v>200</v>
      </c>
      <c r="B26" s="153">
        <f>ROUND('January 01, 2016 Rates'!G99,4)</f>
        <v>0.25</v>
      </c>
      <c r="C26" s="178">
        <v>1</v>
      </c>
      <c r="D26" s="205">
        <f t="shared" si="11"/>
        <v>0.25</v>
      </c>
      <c r="E26" s="245"/>
      <c r="F26" s="153">
        <f>ROUND('January 01, 2016 Rates'!F99,4)</f>
        <v>0.25</v>
      </c>
      <c r="G26" s="179">
        <f>C26</f>
        <v>1</v>
      </c>
      <c r="H26" s="205">
        <f t="shared" si="12"/>
        <v>0.25</v>
      </c>
      <c r="I26" s="245"/>
      <c r="J26" s="246">
        <f t="shared" si="4"/>
        <v>0</v>
      </c>
      <c r="K26" s="152">
        <f t="shared" si="3"/>
        <v>0</v>
      </c>
    </row>
    <row r="27" spans="1:11" ht="15" x14ac:dyDescent="0.25">
      <c r="A27" s="168" t="s">
        <v>201</v>
      </c>
      <c r="B27" s="153">
        <f>ROUND('January 01, 2016 Rates'!G98,4)</f>
        <v>7.0000000000000001E-3</v>
      </c>
      <c r="C27" s="178">
        <f>+B3</f>
        <v>400000</v>
      </c>
      <c r="D27" s="205">
        <f t="shared" si="11"/>
        <v>2800</v>
      </c>
      <c r="E27" s="245"/>
      <c r="F27" s="153">
        <f>ROUND('January 01, 2016 Rates'!G98,4)</f>
        <v>7.0000000000000001E-3</v>
      </c>
      <c r="G27" s="179">
        <f>C27</f>
        <v>400000</v>
      </c>
      <c r="H27" s="205">
        <f t="shared" ref="H27" si="13">G27*F27</f>
        <v>2800</v>
      </c>
      <c r="I27" s="245"/>
      <c r="J27" s="246">
        <f t="shared" ref="J27" si="14">H27-D27</f>
        <v>0</v>
      </c>
      <c r="K27" s="152">
        <f t="shared" ref="K27" si="15">IF((D27)=0,"",(J27/D27))</f>
        <v>0</v>
      </c>
    </row>
    <row r="28" spans="1:11" ht="15" x14ac:dyDescent="0.25">
      <c r="A28" s="307" t="s">
        <v>263</v>
      </c>
      <c r="B28" s="308"/>
      <c r="C28" s="309"/>
      <c r="D28" s="310"/>
      <c r="E28" s="147"/>
      <c r="F28" s="288">
        <f>ROUND('January 01, 2016 Rates'!F97,4)</f>
        <v>1.1000000000000001E-3</v>
      </c>
      <c r="G28" s="178">
        <f>$B$3*(1+$B$2)</f>
        <v>414400</v>
      </c>
      <c r="H28" s="148">
        <f t="shared" si="12"/>
        <v>455.84000000000003</v>
      </c>
      <c r="I28" s="147"/>
      <c r="J28" s="313"/>
      <c r="K28" s="314"/>
    </row>
    <row r="29" spans="1:11" ht="15" x14ac:dyDescent="0.25">
      <c r="A29" s="168" t="s">
        <v>215</v>
      </c>
      <c r="B29" s="153">
        <v>9.4E-2</v>
      </c>
      <c r="C29" s="178">
        <v>750</v>
      </c>
      <c r="D29" s="205">
        <f t="shared" si="11"/>
        <v>70.5</v>
      </c>
      <c r="E29" s="245"/>
      <c r="F29" s="153">
        <v>9.4E-2</v>
      </c>
      <c r="G29" s="178">
        <f>C29</f>
        <v>750</v>
      </c>
      <c r="H29" s="205">
        <f t="shared" si="12"/>
        <v>70.5</v>
      </c>
      <c r="I29" s="245"/>
      <c r="J29" s="246">
        <f t="shared" si="4"/>
        <v>0</v>
      </c>
      <c r="K29" s="152">
        <f t="shared" si="3"/>
        <v>0</v>
      </c>
    </row>
    <row r="30" spans="1:11" ht="15.75" thickBot="1" x14ac:dyDescent="0.3">
      <c r="A30" s="168" t="s">
        <v>215</v>
      </c>
      <c r="B30" s="153">
        <v>0.11</v>
      </c>
      <c r="C30" s="178">
        <f>+ROUND(C24-C29,0)</f>
        <v>413650</v>
      </c>
      <c r="D30" s="205">
        <f t="shared" si="11"/>
        <v>45501.5</v>
      </c>
      <c r="E30" s="245"/>
      <c r="F30" s="153">
        <v>0.11</v>
      </c>
      <c r="G30" s="178">
        <f>C30</f>
        <v>413650</v>
      </c>
      <c r="H30" s="205">
        <f t="shared" si="12"/>
        <v>45501.5</v>
      </c>
      <c r="I30" s="245"/>
      <c r="J30" s="246">
        <f t="shared" si="4"/>
        <v>0</v>
      </c>
      <c r="K30" s="152">
        <f t="shared" si="3"/>
        <v>0</v>
      </c>
    </row>
    <row r="31" spans="1:11" ht="15.75" thickBot="1" x14ac:dyDescent="0.3">
      <c r="A31" s="184"/>
      <c r="B31" s="185"/>
      <c r="C31" s="186"/>
      <c r="D31" s="189"/>
      <c r="E31" s="245"/>
      <c r="F31" s="252"/>
      <c r="G31" s="188"/>
      <c r="H31" s="189"/>
      <c r="I31" s="245"/>
      <c r="J31" s="253"/>
      <c r="K31" s="190"/>
    </row>
    <row r="32" spans="1:11" ht="15" x14ac:dyDescent="0.25">
      <c r="A32" s="191" t="s">
        <v>205</v>
      </c>
      <c r="B32" s="192"/>
      <c r="C32" s="193"/>
      <c r="D32" s="254">
        <f>SUM(D23:D30)</f>
        <v>67841.165000000008</v>
      </c>
      <c r="E32" s="255"/>
      <c r="F32" s="197"/>
      <c r="G32" s="197"/>
      <c r="H32" s="254">
        <f>SUM(H23:H30)</f>
        <v>71351.60500000001</v>
      </c>
      <c r="I32" s="250"/>
      <c r="J32" s="254">
        <f>H32-D32</f>
        <v>3510.4400000000023</v>
      </c>
      <c r="K32" s="199">
        <f>IF((D32)=0,"",(J32/D32))</f>
        <v>5.1744984037346675E-2</v>
      </c>
    </row>
    <row r="33" spans="1:11" ht="15" x14ac:dyDescent="0.25">
      <c r="A33" s="200" t="s">
        <v>206</v>
      </c>
      <c r="B33" s="192">
        <v>0.13</v>
      </c>
      <c r="C33" s="201"/>
      <c r="D33" s="256">
        <f>D32*B33</f>
        <v>8819.3514500000019</v>
      </c>
      <c r="E33" s="201"/>
      <c r="F33" s="192">
        <v>0.13</v>
      </c>
      <c r="G33" s="203"/>
      <c r="H33" s="256">
        <f>H32*F33</f>
        <v>9275.7086500000023</v>
      </c>
      <c r="I33" s="245"/>
      <c r="J33" s="256">
        <f t="shared" si="4"/>
        <v>456.35720000000038</v>
      </c>
      <c r="K33" s="206">
        <f t="shared" si="3"/>
        <v>5.1744984037346675E-2</v>
      </c>
    </row>
    <row r="34" spans="1:11" ht="15" x14ac:dyDescent="0.25">
      <c r="A34" s="207" t="s">
        <v>207</v>
      </c>
      <c r="B34" s="203"/>
      <c r="C34" s="201"/>
      <c r="D34" s="256">
        <f>D32+D33</f>
        <v>76660.51645000001</v>
      </c>
      <c r="E34" s="201"/>
      <c r="F34" s="203"/>
      <c r="G34" s="203"/>
      <c r="H34" s="256">
        <f>H32+H33</f>
        <v>80627.313650000011</v>
      </c>
      <c r="I34" s="245"/>
      <c r="J34" s="256">
        <f t="shared" si="4"/>
        <v>3966.7972000000009</v>
      </c>
      <c r="K34" s="206">
        <f t="shared" si="3"/>
        <v>5.1744984037346654E-2</v>
      </c>
    </row>
    <row r="35" spans="1:11" ht="15" x14ac:dyDescent="0.25">
      <c r="A35" s="209" t="s">
        <v>208</v>
      </c>
      <c r="B35" s="203"/>
      <c r="C35" s="201"/>
      <c r="D35" s="256">
        <v>0</v>
      </c>
      <c r="E35" s="201"/>
      <c r="F35" s="316"/>
      <c r="G35" s="316"/>
      <c r="H35" s="318"/>
      <c r="I35" s="245"/>
      <c r="J35" s="318"/>
      <c r="K35" s="314"/>
    </row>
    <row r="36" spans="1:11" ht="15.75" thickBot="1" x14ac:dyDescent="0.3">
      <c r="A36" s="210" t="s">
        <v>209</v>
      </c>
      <c r="B36" s="211"/>
      <c r="C36" s="212"/>
      <c r="D36" s="248">
        <f>D34+D35</f>
        <v>76660.51645000001</v>
      </c>
      <c r="E36" s="255"/>
      <c r="F36" s="215"/>
      <c r="G36" s="215"/>
      <c r="H36" s="248">
        <f>H34+H35</f>
        <v>80627.313650000011</v>
      </c>
      <c r="I36" s="250"/>
      <c r="J36" s="248">
        <f t="shared" si="4"/>
        <v>3966.7972000000009</v>
      </c>
      <c r="K36" s="165">
        <f t="shared" si="3"/>
        <v>5.1744984037346654E-2</v>
      </c>
    </row>
    <row r="37" spans="1:11" ht="15.75" thickBot="1" x14ac:dyDescent="0.3">
      <c r="A37" s="184"/>
      <c r="B37" s="216"/>
      <c r="C37" s="217"/>
      <c r="D37" s="257"/>
      <c r="E37" s="258"/>
      <c r="F37" s="216"/>
      <c r="G37" s="221"/>
      <c r="H37" s="259"/>
      <c r="I37" s="258"/>
      <c r="J37" s="260"/>
      <c r="K37" s="224"/>
    </row>
    <row r="39" spans="1:11" ht="15" x14ac:dyDescent="0.25">
      <c r="H39" s="304"/>
      <c r="I39" s="304"/>
      <c r="J39" s="304"/>
      <c r="K39" s="266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9"/>
  <sheetViews>
    <sheetView workbookViewId="0">
      <selection activeCell="A40" sqref="A40:XFD40"/>
    </sheetView>
  </sheetViews>
  <sheetFormatPr defaultRowHeight="14.4" x14ac:dyDescent="0.3"/>
  <cols>
    <col min="1" max="1" width="54.109375" bestFit="1" customWidth="1"/>
    <col min="2" max="2" width="16.44140625" customWidth="1"/>
    <col min="3" max="3" width="9.88671875" bestFit="1" customWidth="1"/>
    <col min="4" max="4" width="12.6640625" bestFit="1" customWidth="1"/>
    <col min="6" max="6" width="14" bestFit="1" customWidth="1"/>
    <col min="7" max="7" width="9.88671875" bestFit="1" customWidth="1"/>
    <col min="8" max="8" width="12.6640625" bestFit="1" customWidth="1"/>
    <col min="10" max="10" width="11.5546875" bestFit="1" customWidth="1"/>
    <col min="11" max="11" width="10" bestFit="1" customWidth="1"/>
  </cols>
  <sheetData>
    <row r="1" spans="1:11" ht="15.75" x14ac:dyDescent="0.25">
      <c r="A1" s="119" t="s">
        <v>174</v>
      </c>
      <c r="B1" s="120" t="s">
        <v>278</v>
      </c>
      <c r="C1" s="120"/>
      <c r="D1" s="120"/>
      <c r="E1" s="120"/>
      <c r="F1" s="231"/>
      <c r="G1" s="231"/>
      <c r="H1" s="231"/>
      <c r="I1" s="231"/>
      <c r="J1" s="231"/>
      <c r="K1" s="233"/>
    </row>
    <row r="2" spans="1:11" ht="15.75" x14ac:dyDescent="0.25">
      <c r="A2" s="119" t="s">
        <v>176</v>
      </c>
      <c r="B2" s="121">
        <v>3.5999999999999997E-2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x14ac:dyDescent="0.25">
      <c r="A3" s="119" t="s">
        <v>177</v>
      </c>
      <c r="B3" s="123">
        <v>400000</v>
      </c>
      <c r="C3" s="124" t="s">
        <v>178</v>
      </c>
      <c r="D3" s="234"/>
      <c r="E3" s="234"/>
      <c r="F3" s="234"/>
      <c r="G3" s="234"/>
      <c r="H3" s="234"/>
      <c r="I3" s="234"/>
      <c r="J3" s="234"/>
      <c r="K3" s="234"/>
    </row>
    <row r="4" spans="1:11" ht="15" x14ac:dyDescent="0.25">
      <c r="A4" s="230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 ht="15" x14ac:dyDescent="0.25">
      <c r="A5" s="127" t="s">
        <v>180</v>
      </c>
      <c r="B5" s="128">
        <v>2250</v>
      </c>
      <c r="C5" s="129" t="s">
        <v>181</v>
      </c>
      <c r="D5" s="234"/>
      <c r="E5" s="234"/>
      <c r="F5" s="234"/>
      <c r="G5" s="234"/>
      <c r="H5" s="234"/>
      <c r="I5" s="234"/>
      <c r="J5" s="234"/>
      <c r="K5" s="234"/>
    </row>
    <row r="6" spans="1:11" ht="15" x14ac:dyDescent="0.25">
      <c r="A6" s="130"/>
      <c r="B6" s="339" t="s">
        <v>182</v>
      </c>
      <c r="C6" s="340"/>
      <c r="D6" s="341"/>
      <c r="E6" s="242"/>
      <c r="F6" s="339" t="s">
        <v>8</v>
      </c>
      <c r="G6" s="340"/>
      <c r="H6" s="341"/>
      <c r="I6" s="242"/>
      <c r="J6" s="339" t="s">
        <v>183</v>
      </c>
      <c r="K6" s="341"/>
    </row>
    <row r="7" spans="1:11" ht="15" x14ac:dyDescent="0.25">
      <c r="A7" s="130"/>
      <c r="B7" s="132" t="s">
        <v>184</v>
      </c>
      <c r="C7" s="132" t="s">
        <v>185</v>
      </c>
      <c r="D7" s="243" t="s">
        <v>186</v>
      </c>
      <c r="E7" s="244"/>
      <c r="F7" s="132" t="s">
        <v>184</v>
      </c>
      <c r="G7" s="135" t="s">
        <v>185</v>
      </c>
      <c r="H7" s="132" t="s">
        <v>186</v>
      </c>
      <c r="I7" s="244"/>
      <c r="J7" s="138" t="s">
        <v>187</v>
      </c>
      <c r="K7" s="138" t="s">
        <v>188</v>
      </c>
    </row>
    <row r="8" spans="1:11" ht="15" x14ac:dyDescent="0.25">
      <c r="A8" s="130"/>
      <c r="B8" s="139" t="s">
        <v>189</v>
      </c>
      <c r="C8" s="139"/>
      <c r="D8" s="141" t="s">
        <v>189</v>
      </c>
      <c r="E8" s="244"/>
      <c r="F8" s="139" t="s">
        <v>189</v>
      </c>
      <c r="G8" s="141"/>
      <c r="H8" s="139" t="s">
        <v>189</v>
      </c>
      <c r="I8" s="244"/>
      <c r="J8" s="144"/>
      <c r="K8" s="144"/>
    </row>
    <row r="9" spans="1:11" ht="15" x14ac:dyDescent="0.25">
      <c r="A9" s="145" t="s">
        <v>18</v>
      </c>
      <c r="B9" s="146">
        <f>ROUND('January 01, 2016 Rates'!G81,2)</f>
        <v>1631.56</v>
      </c>
      <c r="C9" s="147">
        <v>1</v>
      </c>
      <c r="D9" s="205">
        <f t="shared" ref="D9:D14" si="0">C9*B9</f>
        <v>1631.56</v>
      </c>
      <c r="E9" s="245"/>
      <c r="F9" s="146">
        <f>ROUND('January 01, 2016 Rates'!F81,2)</f>
        <v>1663.38</v>
      </c>
      <c r="G9" s="150">
        <f t="shared" ref="G9:G14" si="1">C9</f>
        <v>1</v>
      </c>
      <c r="H9" s="205">
        <f t="shared" ref="H9:H14" si="2">G9*F9</f>
        <v>1663.38</v>
      </c>
      <c r="I9" s="245"/>
      <c r="J9" s="246">
        <f>H9-D9</f>
        <v>31.820000000000164</v>
      </c>
      <c r="K9" s="152">
        <f t="shared" ref="K9:K36" si="3">IF((D9)=0,"",(J9/D9))</f>
        <v>1.9502807129373217E-2</v>
      </c>
    </row>
    <row r="10" spans="1:11" ht="15" x14ac:dyDescent="0.25">
      <c r="A10" s="145" t="s">
        <v>26</v>
      </c>
      <c r="B10" s="153">
        <f>ROUND('January 01, 2016 Rates'!G83,4)</f>
        <v>2.2187000000000001</v>
      </c>
      <c r="C10" s="154">
        <f>+B5</f>
        <v>2250</v>
      </c>
      <c r="D10" s="205">
        <f t="shared" si="0"/>
        <v>4992.0749999999998</v>
      </c>
      <c r="E10" s="245"/>
      <c r="F10" s="153">
        <f>ROUND('January 01, 2016 Rates'!F83,4)</f>
        <v>2.262</v>
      </c>
      <c r="G10" s="156">
        <f t="shared" si="1"/>
        <v>2250</v>
      </c>
      <c r="H10" s="205">
        <f t="shared" si="2"/>
        <v>5089.5</v>
      </c>
      <c r="I10" s="245"/>
      <c r="J10" s="246">
        <f t="shared" ref="J10:J36" si="4">H10-D10</f>
        <v>97.425000000000182</v>
      </c>
      <c r="K10" s="152">
        <f t="shared" si="3"/>
        <v>1.9515932753414199E-2</v>
      </c>
    </row>
    <row r="11" spans="1:11" ht="15" x14ac:dyDescent="0.25">
      <c r="A11" s="145" t="s">
        <v>264</v>
      </c>
      <c r="B11" s="153">
        <f>ROUND('January 01, 2016 Rates'!G90,4)</f>
        <v>0</v>
      </c>
      <c r="C11" s="154">
        <f>+B5</f>
        <v>2250</v>
      </c>
      <c r="D11" s="205">
        <f t="shared" si="0"/>
        <v>0</v>
      </c>
      <c r="E11" s="245"/>
      <c r="F11" s="153">
        <f>ROUND('January 01, 2016 Rates'!F90,4)</f>
        <v>1.5E-3</v>
      </c>
      <c r="G11" s="156">
        <f t="shared" si="1"/>
        <v>2250</v>
      </c>
      <c r="H11" s="205">
        <f t="shared" si="2"/>
        <v>3.375</v>
      </c>
      <c r="I11" s="245"/>
      <c r="J11" s="246">
        <f t="shared" si="4"/>
        <v>3.375</v>
      </c>
      <c r="K11" s="152" t="str">
        <f t="shared" si="3"/>
        <v/>
      </c>
    </row>
    <row r="12" spans="1:11" ht="15" hidden="1" x14ac:dyDescent="0.25">
      <c r="A12" s="145" t="s">
        <v>265</v>
      </c>
      <c r="B12" s="146">
        <f>ROUND('January 01, 2016 Rates'!G82,2)</f>
        <v>0</v>
      </c>
      <c r="C12" s="154">
        <v>1</v>
      </c>
      <c r="D12" s="205">
        <f t="shared" si="0"/>
        <v>0</v>
      </c>
      <c r="E12" s="245"/>
      <c r="F12" s="146"/>
      <c r="G12" s="156">
        <f t="shared" si="1"/>
        <v>1</v>
      </c>
      <c r="H12" s="205">
        <f t="shared" si="2"/>
        <v>0</v>
      </c>
      <c r="I12" s="245"/>
      <c r="J12" s="246">
        <f t="shared" si="4"/>
        <v>0</v>
      </c>
      <c r="K12" s="152" t="str">
        <f t="shared" si="3"/>
        <v/>
      </c>
    </row>
    <row r="13" spans="1:11" ht="15" hidden="1" x14ac:dyDescent="0.25">
      <c r="A13" s="145" t="s">
        <v>266</v>
      </c>
      <c r="B13" s="146">
        <f>ROUND('January 01, 2016 Rates'!G91,4)</f>
        <v>0</v>
      </c>
      <c r="C13" s="154">
        <f>B5</f>
        <v>2250</v>
      </c>
      <c r="D13" s="205">
        <f t="shared" si="0"/>
        <v>0</v>
      </c>
      <c r="E13" s="245"/>
      <c r="F13" s="146"/>
      <c r="G13" s="156">
        <f t="shared" si="1"/>
        <v>2250</v>
      </c>
      <c r="H13" s="205">
        <f t="shared" si="2"/>
        <v>0</v>
      </c>
      <c r="I13" s="245"/>
      <c r="J13" s="246">
        <f t="shared" si="4"/>
        <v>0</v>
      </c>
      <c r="K13" s="152" t="str">
        <f t="shared" si="3"/>
        <v/>
      </c>
    </row>
    <row r="14" spans="1:11" ht="15" x14ac:dyDescent="0.25">
      <c r="A14" s="168" t="s">
        <v>274</v>
      </c>
      <c r="B14" s="153">
        <v>0</v>
      </c>
      <c r="C14" s="167">
        <f>B5</f>
        <v>2250</v>
      </c>
      <c r="D14" s="205">
        <f t="shared" si="0"/>
        <v>0</v>
      </c>
      <c r="E14" s="245"/>
      <c r="F14" s="153">
        <f>ROUND('January 01, 2016 Rates'!F86,4)</f>
        <v>2.63E-2</v>
      </c>
      <c r="G14" s="167">
        <f t="shared" si="1"/>
        <v>2250</v>
      </c>
      <c r="H14" s="205">
        <f t="shared" si="2"/>
        <v>59.175000000000004</v>
      </c>
      <c r="I14" s="245"/>
      <c r="J14" s="246">
        <f t="shared" si="4"/>
        <v>59.175000000000004</v>
      </c>
      <c r="K14" s="152" t="str">
        <f t="shared" si="3"/>
        <v/>
      </c>
    </row>
    <row r="15" spans="1:11" ht="15" x14ac:dyDescent="0.25">
      <c r="A15" s="169" t="s">
        <v>190</v>
      </c>
      <c r="B15" s="170"/>
      <c r="C15" s="171"/>
      <c r="D15" s="175">
        <f>SUM(D9:D14)</f>
        <v>6623.6350000000002</v>
      </c>
      <c r="E15" s="245"/>
      <c r="F15" s="170"/>
      <c r="G15" s="174"/>
      <c r="H15" s="175">
        <f>SUM(H9:H14)</f>
        <v>6815.43</v>
      </c>
      <c r="I15" s="245"/>
      <c r="J15" s="249">
        <f t="shared" si="4"/>
        <v>191.79500000000007</v>
      </c>
      <c r="K15" s="176">
        <f t="shared" si="3"/>
        <v>2.8956154739806776E-2</v>
      </c>
    </row>
    <row r="16" spans="1:11" ht="15" x14ac:dyDescent="0.25">
      <c r="A16" s="166" t="s">
        <v>267</v>
      </c>
      <c r="B16" s="153">
        <f>ROUND('January 01, 2016 Rates'!G84+'January 01, 2016 Rates'!G85+'January 01, 2016 Rates'!G88,4)</f>
        <v>0</v>
      </c>
      <c r="C16" s="167">
        <f>+B5</f>
        <v>2250</v>
      </c>
      <c r="D16" s="205">
        <f>C16*B16</f>
        <v>0</v>
      </c>
      <c r="E16" s="245"/>
      <c r="F16" s="153">
        <f>ROUND('January 01, 2016 Rates'!F84+'January 01, 2016 Rates'!F85+'January 01, 2016 Rates'!F87,4)</f>
        <v>1.8882000000000001</v>
      </c>
      <c r="G16" s="167">
        <f>C16</f>
        <v>2250</v>
      </c>
      <c r="H16" s="205">
        <f>G16*F16</f>
        <v>4248.45</v>
      </c>
      <c r="I16" s="245"/>
      <c r="J16" s="246">
        <f t="shared" si="4"/>
        <v>4248.45</v>
      </c>
      <c r="K16" s="152" t="str">
        <f t="shared" si="3"/>
        <v/>
      </c>
    </row>
    <row r="17" spans="1:11" ht="15" x14ac:dyDescent="0.25">
      <c r="A17" s="168" t="s">
        <v>192</v>
      </c>
      <c r="B17" s="153">
        <f>ROUND('January 01, 2016 Rates'!G89,4)</f>
        <v>7.8399999999999997E-2</v>
      </c>
      <c r="C17" s="167">
        <f>+B5</f>
        <v>2250</v>
      </c>
      <c r="D17" s="205">
        <f>C17*B17</f>
        <v>176.4</v>
      </c>
      <c r="E17" s="245"/>
      <c r="F17" s="153">
        <f>ROUND('January 01, 2016 Rates'!F89,4)</f>
        <v>7.8399999999999997E-2</v>
      </c>
      <c r="G17" s="167">
        <f>C17</f>
        <v>2250</v>
      </c>
      <c r="H17" s="205">
        <f>G17*F17</f>
        <v>176.4</v>
      </c>
      <c r="I17" s="245"/>
      <c r="J17" s="246">
        <f t="shared" si="4"/>
        <v>0</v>
      </c>
      <c r="K17" s="152">
        <f t="shared" si="3"/>
        <v>0</v>
      </c>
    </row>
    <row r="18" spans="1:11" ht="15" x14ac:dyDescent="0.25">
      <c r="A18" s="168" t="s">
        <v>193</v>
      </c>
      <c r="B18" s="153">
        <v>0</v>
      </c>
      <c r="C18" s="167">
        <v>1</v>
      </c>
      <c r="D18" s="205">
        <f>C18*B18</f>
        <v>0</v>
      </c>
      <c r="E18" s="245"/>
      <c r="F18" s="153">
        <v>0</v>
      </c>
      <c r="G18" s="167">
        <f>C18</f>
        <v>1</v>
      </c>
      <c r="H18" s="205">
        <f>G18*F18</f>
        <v>0</v>
      </c>
      <c r="I18" s="245"/>
      <c r="J18" s="246">
        <f t="shared" si="4"/>
        <v>0</v>
      </c>
      <c r="K18" s="152" t="str">
        <f t="shared" si="3"/>
        <v/>
      </c>
    </row>
    <row r="19" spans="1:11" ht="15" x14ac:dyDescent="0.25">
      <c r="A19" s="169" t="s">
        <v>194</v>
      </c>
      <c r="B19" s="170"/>
      <c r="C19" s="171"/>
      <c r="D19" s="175">
        <f>SUM(D15:D18)</f>
        <v>6800.0349999999999</v>
      </c>
      <c r="E19" s="245"/>
      <c r="F19" s="170"/>
      <c r="G19" s="174"/>
      <c r="H19" s="175">
        <f>SUM(H15:H18)</f>
        <v>11240.28</v>
      </c>
      <c r="I19" s="245"/>
      <c r="J19" s="249">
        <f t="shared" si="4"/>
        <v>4440.2450000000008</v>
      </c>
      <c r="K19" s="176">
        <f t="shared" si="3"/>
        <v>0.65297384498756272</v>
      </c>
    </row>
    <row r="20" spans="1:11" ht="15" x14ac:dyDescent="0.25">
      <c r="A20" s="177" t="s">
        <v>122</v>
      </c>
      <c r="B20" s="153">
        <f>ROUND('January 01, 2016 Rates'!G94,4)</f>
        <v>-0.4</v>
      </c>
      <c r="C20" s="178">
        <f>B5</f>
        <v>2250</v>
      </c>
      <c r="D20" s="205">
        <f>C20*B20</f>
        <v>-900</v>
      </c>
      <c r="E20" s="245"/>
      <c r="F20" s="153">
        <f>ROUND('January 01, 2016 Rates'!F94,4)</f>
        <v>-0.4</v>
      </c>
      <c r="G20" s="179">
        <f>C20</f>
        <v>2250</v>
      </c>
      <c r="H20" s="205">
        <f>G20*F20</f>
        <v>-900</v>
      </c>
      <c r="I20" s="245"/>
      <c r="J20" s="246">
        <f t="shared" si="4"/>
        <v>0</v>
      </c>
      <c r="K20" s="152">
        <f t="shared" si="3"/>
        <v>0</v>
      </c>
    </row>
    <row r="21" spans="1:11" ht="15" x14ac:dyDescent="0.25">
      <c r="A21" s="177" t="s">
        <v>195</v>
      </c>
      <c r="B21" s="153">
        <f>ROUND('January 01, 2016 Rates'!G92,4)</f>
        <v>2.8319999999999999</v>
      </c>
      <c r="C21" s="178">
        <f>+B5</f>
        <v>2250</v>
      </c>
      <c r="D21" s="205">
        <f>C21*B21</f>
        <v>6372</v>
      </c>
      <c r="E21" s="245"/>
      <c r="F21" s="153">
        <f>ROUND('January 01, 2016 Rates'!F92,4)</f>
        <v>2.6913999999999998</v>
      </c>
      <c r="G21" s="179">
        <f>C21</f>
        <v>2250</v>
      </c>
      <c r="H21" s="205">
        <f>G21*F21</f>
        <v>6055.65</v>
      </c>
      <c r="I21" s="245"/>
      <c r="J21" s="246">
        <f t="shared" si="4"/>
        <v>-316.35000000000036</v>
      </c>
      <c r="K21" s="152">
        <f t="shared" si="3"/>
        <v>-4.9646892655367286E-2</v>
      </c>
    </row>
    <row r="22" spans="1:11" ht="15" x14ac:dyDescent="0.25">
      <c r="A22" s="180" t="s">
        <v>196</v>
      </c>
      <c r="B22" s="153">
        <f>ROUND('January 01, 2016 Rates'!G93,4)</f>
        <v>2.1488</v>
      </c>
      <c r="C22" s="178">
        <f>+B5</f>
        <v>2250</v>
      </c>
      <c r="D22" s="205">
        <f>C22*B22</f>
        <v>4834.8</v>
      </c>
      <c r="E22" s="245"/>
      <c r="F22" s="153">
        <f>ROUND('January 01, 2016 Rates'!F93,4)</f>
        <v>2.2269000000000001</v>
      </c>
      <c r="G22" s="179">
        <f>C22</f>
        <v>2250</v>
      </c>
      <c r="H22" s="205">
        <f>G22*F22</f>
        <v>5010.5250000000005</v>
      </c>
      <c r="I22" s="245"/>
      <c r="J22" s="246">
        <f t="shared" si="4"/>
        <v>175.72500000000036</v>
      </c>
      <c r="K22" s="152">
        <f t="shared" si="3"/>
        <v>3.6345867460908489E-2</v>
      </c>
    </row>
    <row r="23" spans="1:11" ht="15" x14ac:dyDescent="0.25">
      <c r="A23" s="169" t="s">
        <v>197</v>
      </c>
      <c r="B23" s="170"/>
      <c r="C23" s="171"/>
      <c r="D23" s="175">
        <f>SUM(D19:D22)</f>
        <v>17106.834999999999</v>
      </c>
      <c r="E23" s="250"/>
      <c r="F23" s="251"/>
      <c r="G23" s="183"/>
      <c r="H23" s="175">
        <f>SUM(H19:H22)</f>
        <v>21406.455000000002</v>
      </c>
      <c r="I23" s="250"/>
      <c r="J23" s="249">
        <f t="shared" si="4"/>
        <v>4299.6200000000026</v>
      </c>
      <c r="K23" s="176">
        <f t="shared" si="3"/>
        <v>0.2513393038513555</v>
      </c>
    </row>
    <row r="24" spans="1:11" ht="15" x14ac:dyDescent="0.25">
      <c r="A24" s="168" t="s">
        <v>198</v>
      </c>
      <c r="B24" s="153">
        <f>ROUND('January 01, 2016 Rates'!G95,4)</f>
        <v>4.4000000000000003E-3</v>
      </c>
      <c r="C24" s="178">
        <f>$B$3*(1+$B$2)</f>
        <v>414400</v>
      </c>
      <c r="D24" s="205">
        <f t="shared" ref="D24:D30" si="5">C24*B24</f>
        <v>1823.3600000000001</v>
      </c>
      <c r="E24" s="245"/>
      <c r="F24" s="153">
        <f>ROUND('January 01, 2016 Rates'!F95,4)</f>
        <v>3.5999999999999999E-3</v>
      </c>
      <c r="G24" s="179">
        <f>+C24</f>
        <v>414400</v>
      </c>
      <c r="H24" s="205">
        <f t="shared" ref="H24:H30" si="6">G24*F24</f>
        <v>1491.84</v>
      </c>
      <c r="I24" s="245"/>
      <c r="J24" s="246">
        <f t="shared" si="4"/>
        <v>-331.52000000000021</v>
      </c>
      <c r="K24" s="152">
        <f t="shared" si="3"/>
        <v>-0.18181818181818191</v>
      </c>
    </row>
    <row r="25" spans="1:11" ht="15" x14ac:dyDescent="0.25">
      <c r="A25" s="168" t="s">
        <v>199</v>
      </c>
      <c r="B25" s="153">
        <f>ROUND('January 01, 2016 Rates'!G96,4)</f>
        <v>1.2999999999999999E-3</v>
      </c>
      <c r="C25" s="178">
        <f>C24</f>
        <v>414400</v>
      </c>
      <c r="D25" s="205">
        <f t="shared" si="5"/>
        <v>538.72</v>
      </c>
      <c r="E25" s="245"/>
      <c r="F25" s="153">
        <f>ROUND('January 01, 2016 Rates'!F96,4)</f>
        <v>1.2999999999999999E-3</v>
      </c>
      <c r="G25" s="179">
        <f>+C25</f>
        <v>414400</v>
      </c>
      <c r="H25" s="205">
        <f t="shared" si="6"/>
        <v>538.72</v>
      </c>
      <c r="I25" s="245"/>
      <c r="J25" s="246">
        <f t="shared" si="4"/>
        <v>0</v>
      </c>
      <c r="K25" s="152">
        <f t="shared" si="3"/>
        <v>0</v>
      </c>
    </row>
    <row r="26" spans="1:11" ht="15" x14ac:dyDescent="0.25">
      <c r="A26" s="168" t="s">
        <v>200</v>
      </c>
      <c r="B26" s="153">
        <f>ROUND('January 01, 2016 Rates'!G99,4)</f>
        <v>0.25</v>
      </c>
      <c r="C26" s="178">
        <v>1</v>
      </c>
      <c r="D26" s="205">
        <f t="shared" si="5"/>
        <v>0.25</v>
      </c>
      <c r="E26" s="245"/>
      <c r="F26" s="153">
        <f>ROUND('January 01, 2016 Rates'!F99,4)</f>
        <v>0.25</v>
      </c>
      <c r="G26" s="179">
        <f>C26</f>
        <v>1</v>
      </c>
      <c r="H26" s="205">
        <f t="shared" si="6"/>
        <v>0.25</v>
      </c>
      <c r="I26" s="245"/>
      <c r="J26" s="246">
        <f t="shared" si="4"/>
        <v>0</v>
      </c>
      <c r="K26" s="152">
        <f t="shared" si="3"/>
        <v>0</v>
      </c>
    </row>
    <row r="27" spans="1:11" ht="15" x14ac:dyDescent="0.25">
      <c r="A27" s="168" t="s">
        <v>201</v>
      </c>
      <c r="B27" s="153">
        <f>ROUND('January 01, 2016 Rates'!G98,4)</f>
        <v>7.0000000000000001E-3</v>
      </c>
      <c r="C27" s="178">
        <f>+B3</f>
        <v>400000</v>
      </c>
      <c r="D27" s="205">
        <f t="shared" si="5"/>
        <v>2800</v>
      </c>
      <c r="E27" s="245"/>
      <c r="F27" s="153">
        <f>ROUND('January 01, 2016 Rates'!G98,4)</f>
        <v>7.0000000000000001E-3</v>
      </c>
      <c r="G27" s="179">
        <f>C27</f>
        <v>400000</v>
      </c>
      <c r="H27" s="205">
        <f t="shared" si="6"/>
        <v>2800</v>
      </c>
      <c r="I27" s="245"/>
      <c r="J27" s="246">
        <f t="shared" si="4"/>
        <v>0</v>
      </c>
      <c r="K27" s="152">
        <f t="shared" si="3"/>
        <v>0</v>
      </c>
    </row>
    <row r="28" spans="1:11" ht="15" x14ac:dyDescent="0.25">
      <c r="A28" s="307" t="s">
        <v>263</v>
      </c>
      <c r="B28" s="308"/>
      <c r="C28" s="309"/>
      <c r="D28" s="310"/>
      <c r="E28" s="147"/>
      <c r="F28" s="288">
        <f>ROUND('January 01, 2016 Rates'!F97,4)</f>
        <v>1.1000000000000001E-3</v>
      </c>
      <c r="G28" s="178">
        <f>$B$3*(1+$B$2)</f>
        <v>414400</v>
      </c>
      <c r="H28" s="148">
        <f t="shared" si="6"/>
        <v>455.84000000000003</v>
      </c>
      <c r="I28" s="147"/>
      <c r="J28" s="313"/>
      <c r="K28" s="314"/>
    </row>
    <row r="29" spans="1:11" ht="15" x14ac:dyDescent="0.25">
      <c r="A29" s="168" t="s">
        <v>215</v>
      </c>
      <c r="B29" s="153">
        <v>9.4E-2</v>
      </c>
      <c r="C29" s="178">
        <v>750</v>
      </c>
      <c r="D29" s="205">
        <f t="shared" si="5"/>
        <v>70.5</v>
      </c>
      <c r="E29" s="245"/>
      <c r="F29" s="153">
        <v>9.4E-2</v>
      </c>
      <c r="G29" s="178">
        <f>C29</f>
        <v>750</v>
      </c>
      <c r="H29" s="205">
        <f t="shared" si="6"/>
        <v>70.5</v>
      </c>
      <c r="I29" s="245"/>
      <c r="J29" s="246">
        <f t="shared" si="4"/>
        <v>0</v>
      </c>
      <c r="K29" s="152">
        <f t="shared" si="3"/>
        <v>0</v>
      </c>
    </row>
    <row r="30" spans="1:11" ht="15.75" thickBot="1" x14ac:dyDescent="0.3">
      <c r="A30" s="168" t="s">
        <v>215</v>
      </c>
      <c r="B30" s="153">
        <v>0.11</v>
      </c>
      <c r="C30" s="178">
        <f>+ROUND(C24-C29,0)</f>
        <v>413650</v>
      </c>
      <c r="D30" s="205">
        <f t="shared" si="5"/>
        <v>45501.5</v>
      </c>
      <c r="E30" s="245"/>
      <c r="F30" s="153">
        <v>0.11</v>
      </c>
      <c r="G30" s="178">
        <f>C30</f>
        <v>413650</v>
      </c>
      <c r="H30" s="205">
        <f t="shared" si="6"/>
        <v>45501.5</v>
      </c>
      <c r="I30" s="245"/>
      <c r="J30" s="246">
        <f t="shared" si="4"/>
        <v>0</v>
      </c>
      <c r="K30" s="152">
        <f t="shared" si="3"/>
        <v>0</v>
      </c>
    </row>
    <row r="31" spans="1:11" ht="15.75" thickBot="1" x14ac:dyDescent="0.3">
      <c r="A31" s="184"/>
      <c r="B31" s="185"/>
      <c r="C31" s="186"/>
      <c r="D31" s="189"/>
      <c r="E31" s="245"/>
      <c r="F31" s="252"/>
      <c r="G31" s="188"/>
      <c r="H31" s="189"/>
      <c r="I31" s="245"/>
      <c r="J31" s="253"/>
      <c r="K31" s="190"/>
    </row>
    <row r="32" spans="1:11" ht="15" x14ac:dyDescent="0.25">
      <c r="A32" s="191" t="s">
        <v>205</v>
      </c>
      <c r="B32" s="192"/>
      <c r="C32" s="193"/>
      <c r="D32" s="254">
        <f>SUM(D23:D30)</f>
        <v>67841.165000000008</v>
      </c>
      <c r="E32" s="255"/>
      <c r="F32" s="197"/>
      <c r="G32" s="197"/>
      <c r="H32" s="254">
        <f>SUM(H23:H30)</f>
        <v>72265.10500000001</v>
      </c>
      <c r="I32" s="250"/>
      <c r="J32" s="254">
        <f>H32-D32</f>
        <v>4423.9400000000023</v>
      </c>
      <c r="K32" s="199">
        <f>IF((D32)=0,"",(J32/D32))</f>
        <v>6.5210259876875662E-2</v>
      </c>
    </row>
    <row r="33" spans="1:11" ht="15" x14ac:dyDescent="0.25">
      <c r="A33" s="200" t="s">
        <v>206</v>
      </c>
      <c r="B33" s="192">
        <v>0.13</v>
      </c>
      <c r="C33" s="201"/>
      <c r="D33" s="256">
        <f>D32*B33</f>
        <v>8819.3514500000019</v>
      </c>
      <c r="E33" s="201"/>
      <c r="F33" s="192">
        <v>0.13</v>
      </c>
      <c r="G33" s="203"/>
      <c r="H33" s="256">
        <f>H32*F33</f>
        <v>9394.4636500000015</v>
      </c>
      <c r="I33" s="245"/>
      <c r="J33" s="256">
        <f t="shared" si="4"/>
        <v>575.11219999999958</v>
      </c>
      <c r="K33" s="206">
        <f t="shared" si="3"/>
        <v>6.5210259876875579E-2</v>
      </c>
    </row>
    <row r="34" spans="1:11" ht="15" x14ac:dyDescent="0.25">
      <c r="A34" s="207" t="s">
        <v>207</v>
      </c>
      <c r="B34" s="203"/>
      <c r="C34" s="201"/>
      <c r="D34" s="256">
        <f>D32+D33</f>
        <v>76660.51645000001</v>
      </c>
      <c r="E34" s="201"/>
      <c r="F34" s="203"/>
      <c r="G34" s="203"/>
      <c r="H34" s="256">
        <f>H32+H33</f>
        <v>81659.568650000016</v>
      </c>
      <c r="I34" s="245"/>
      <c r="J34" s="256">
        <f t="shared" si="4"/>
        <v>4999.0522000000055</v>
      </c>
      <c r="K34" s="206">
        <f t="shared" si="3"/>
        <v>6.5210259876875704E-2</v>
      </c>
    </row>
    <row r="35" spans="1:11" ht="15" x14ac:dyDescent="0.25">
      <c r="A35" s="209" t="s">
        <v>208</v>
      </c>
      <c r="B35" s="203"/>
      <c r="C35" s="201"/>
      <c r="D35" s="256">
        <v>0</v>
      </c>
      <c r="E35" s="201"/>
      <c r="F35" s="316"/>
      <c r="G35" s="316"/>
      <c r="H35" s="318"/>
      <c r="I35" s="245"/>
      <c r="J35" s="318"/>
      <c r="K35" s="314"/>
    </row>
    <row r="36" spans="1:11" ht="15.75" thickBot="1" x14ac:dyDescent="0.3">
      <c r="A36" s="210" t="s">
        <v>209</v>
      </c>
      <c r="B36" s="211"/>
      <c r="C36" s="212"/>
      <c r="D36" s="248">
        <f>D34+D35</f>
        <v>76660.51645000001</v>
      </c>
      <c r="E36" s="255"/>
      <c r="F36" s="215"/>
      <c r="G36" s="215"/>
      <c r="H36" s="248">
        <f>H34+H35</f>
        <v>81659.568650000016</v>
      </c>
      <c r="I36" s="250"/>
      <c r="J36" s="248">
        <f t="shared" si="4"/>
        <v>4999.0522000000055</v>
      </c>
      <c r="K36" s="165">
        <f t="shared" si="3"/>
        <v>6.5210259876875704E-2</v>
      </c>
    </row>
    <row r="37" spans="1:11" ht="15.75" thickBot="1" x14ac:dyDescent="0.3">
      <c r="A37" s="184"/>
      <c r="B37" s="216"/>
      <c r="C37" s="217"/>
      <c r="D37" s="257"/>
      <c r="E37" s="258"/>
      <c r="F37" s="216"/>
      <c r="G37" s="221"/>
      <c r="H37" s="259"/>
      <c r="I37" s="258"/>
      <c r="J37" s="260"/>
      <c r="K37" s="224"/>
    </row>
    <row r="39" spans="1:11" ht="15" x14ac:dyDescent="0.25">
      <c r="H39" s="304"/>
      <c r="I39" s="304"/>
      <c r="J39" s="304"/>
      <c r="K39" s="266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1"/>
  <sheetViews>
    <sheetView workbookViewId="0">
      <selection activeCell="H32" sqref="H32"/>
    </sheetView>
  </sheetViews>
  <sheetFormatPr defaultRowHeight="14.4" x14ac:dyDescent="0.3"/>
  <cols>
    <col min="1" max="1" width="54.109375" bestFit="1" customWidth="1"/>
    <col min="2" max="2" width="17.109375" customWidth="1"/>
    <col min="3" max="3" width="11.5546875" bestFit="1" customWidth="1"/>
    <col min="4" max="4" width="14" bestFit="1" customWidth="1"/>
    <col min="6" max="6" width="15.109375" bestFit="1" customWidth="1"/>
    <col min="7" max="7" width="11.5546875" bestFit="1" customWidth="1"/>
    <col min="8" max="8" width="14" bestFit="1" customWidth="1"/>
    <col min="10" max="10" width="12.6640625" bestFit="1" customWidth="1"/>
    <col min="11" max="11" width="10" bestFit="1" customWidth="1"/>
  </cols>
  <sheetData>
    <row r="1" spans="1:11" ht="15.75" x14ac:dyDescent="0.25">
      <c r="A1" s="119" t="s">
        <v>174</v>
      </c>
      <c r="B1" s="120" t="s">
        <v>219</v>
      </c>
      <c r="C1" s="231"/>
      <c r="D1" s="231"/>
      <c r="E1" s="231"/>
      <c r="F1" s="231"/>
      <c r="G1" s="231"/>
      <c r="H1" s="231"/>
      <c r="I1" s="231"/>
      <c r="J1" s="231"/>
      <c r="K1" s="233"/>
    </row>
    <row r="2" spans="1:11" ht="15.75" x14ac:dyDescent="0.25">
      <c r="A2" s="119" t="s">
        <v>176</v>
      </c>
      <c r="B2" s="121">
        <f>1.45/100</f>
        <v>1.4499999999999999E-2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x14ac:dyDescent="0.25">
      <c r="A3" s="119" t="s">
        <v>177</v>
      </c>
      <c r="B3" s="123">
        <v>3000000</v>
      </c>
      <c r="C3" s="124" t="s">
        <v>178</v>
      </c>
      <c r="D3" s="234"/>
      <c r="E3" s="234"/>
      <c r="F3" s="234"/>
      <c r="G3" s="234"/>
      <c r="H3" s="234"/>
      <c r="I3" s="234"/>
      <c r="J3" s="234"/>
      <c r="K3" s="234"/>
    </row>
    <row r="4" spans="1:11" ht="15" x14ac:dyDescent="0.25">
      <c r="A4" s="230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 ht="15" x14ac:dyDescent="0.25">
      <c r="A5" s="127" t="s">
        <v>180</v>
      </c>
      <c r="B5" s="128">
        <v>5000</v>
      </c>
      <c r="C5" s="129" t="s">
        <v>181</v>
      </c>
      <c r="D5" s="234"/>
      <c r="E5" s="234"/>
      <c r="F5" s="234"/>
      <c r="G5" s="234"/>
      <c r="H5" s="234"/>
      <c r="I5" s="234"/>
      <c r="J5" s="234"/>
      <c r="K5" s="234"/>
    </row>
    <row r="6" spans="1:11" ht="15" x14ac:dyDescent="0.25">
      <c r="A6" s="130"/>
      <c r="B6" s="339" t="s">
        <v>182</v>
      </c>
      <c r="C6" s="340"/>
      <c r="D6" s="341"/>
      <c r="E6" s="242"/>
      <c r="F6" s="339" t="s">
        <v>8</v>
      </c>
      <c r="G6" s="340"/>
      <c r="H6" s="341"/>
      <c r="I6" s="242"/>
      <c r="J6" s="339" t="s">
        <v>183</v>
      </c>
      <c r="K6" s="341"/>
    </row>
    <row r="7" spans="1:11" ht="15" x14ac:dyDescent="0.25">
      <c r="A7" s="130"/>
      <c r="B7" s="132" t="s">
        <v>184</v>
      </c>
      <c r="C7" s="132" t="s">
        <v>185</v>
      </c>
      <c r="D7" s="243" t="s">
        <v>186</v>
      </c>
      <c r="E7" s="244"/>
      <c r="F7" s="132" t="s">
        <v>184</v>
      </c>
      <c r="G7" s="135" t="s">
        <v>185</v>
      </c>
      <c r="H7" s="132" t="s">
        <v>186</v>
      </c>
      <c r="I7" s="244"/>
      <c r="J7" s="138" t="s">
        <v>187</v>
      </c>
      <c r="K7" s="138" t="s">
        <v>188</v>
      </c>
    </row>
    <row r="8" spans="1:11" ht="15" x14ac:dyDescent="0.25">
      <c r="A8" s="130"/>
      <c r="B8" s="139" t="s">
        <v>189</v>
      </c>
      <c r="C8" s="139"/>
      <c r="D8" s="141" t="s">
        <v>189</v>
      </c>
      <c r="E8" s="244"/>
      <c r="F8" s="139" t="s">
        <v>189</v>
      </c>
      <c r="G8" s="141"/>
      <c r="H8" s="139" t="s">
        <v>189</v>
      </c>
      <c r="I8" s="244"/>
      <c r="J8" s="144"/>
      <c r="K8" s="144"/>
    </row>
    <row r="9" spans="1:11" ht="15" x14ac:dyDescent="0.25">
      <c r="A9" s="145" t="s">
        <v>18</v>
      </c>
      <c r="B9" s="146">
        <f>ROUND('January 01, 2016 Rates'!G101,2)</f>
        <v>12864.22</v>
      </c>
      <c r="C9" s="147">
        <v>1</v>
      </c>
      <c r="D9" s="205">
        <f>C9*B9</f>
        <v>12864.22</v>
      </c>
      <c r="E9" s="245"/>
      <c r="F9" s="146">
        <f>ROUND('January 01, 2016 Rates'!F101,2)</f>
        <v>13115.07</v>
      </c>
      <c r="G9" s="150">
        <f>C9</f>
        <v>1</v>
      </c>
      <c r="H9" s="205">
        <f t="shared" ref="H9:H14" si="0">G9*F9</f>
        <v>13115.07</v>
      </c>
      <c r="I9" s="245"/>
      <c r="J9" s="246">
        <f>H9-D9</f>
        <v>250.85000000000036</v>
      </c>
      <c r="K9" s="152">
        <f t="shared" ref="K9:K36" si="1">IF((D9)=0,"",(J9/D9))</f>
        <v>1.9499821986875252E-2</v>
      </c>
    </row>
    <row r="10" spans="1:11" ht="15" x14ac:dyDescent="0.25">
      <c r="A10" s="145" t="s">
        <v>26</v>
      </c>
      <c r="B10" s="153">
        <f>ROUND('January 01, 2016 Rates'!G103,4)</f>
        <v>2.7538999999999998</v>
      </c>
      <c r="C10" s="154">
        <f>+B5</f>
        <v>5000</v>
      </c>
      <c r="D10" s="205">
        <f>C10*B10</f>
        <v>13769.499999999998</v>
      </c>
      <c r="E10" s="245"/>
      <c r="F10" s="153">
        <f>ROUND('January 01, 2016 Rates'!F103,4)</f>
        <v>2.8075999999999999</v>
      </c>
      <c r="G10" s="156">
        <f>C10</f>
        <v>5000</v>
      </c>
      <c r="H10" s="205">
        <f t="shared" si="0"/>
        <v>14038</v>
      </c>
      <c r="I10" s="245"/>
      <c r="J10" s="246">
        <f t="shared" ref="J10:J36" si="2">H10-D10</f>
        <v>268.50000000000182</v>
      </c>
      <c r="K10" s="152">
        <f t="shared" si="1"/>
        <v>1.949961872253908E-2</v>
      </c>
    </row>
    <row r="11" spans="1:11" ht="15" x14ac:dyDescent="0.25">
      <c r="A11" s="145" t="s">
        <v>264</v>
      </c>
      <c r="B11" s="153">
        <f>ROUND('January 01, 2016 Rates'!G109,4)</f>
        <v>0</v>
      </c>
      <c r="C11" s="154">
        <f>+B5</f>
        <v>5000</v>
      </c>
      <c r="D11" s="205">
        <f>C11*B11</f>
        <v>0</v>
      </c>
      <c r="E11" s="245"/>
      <c r="F11" s="153">
        <f>ROUND('January 01, 2016 Rates'!F109,4)</f>
        <v>1.1999999999999999E-3</v>
      </c>
      <c r="G11" s="156">
        <f>C11</f>
        <v>5000</v>
      </c>
      <c r="H11" s="205">
        <f t="shared" si="0"/>
        <v>5.9999999999999991</v>
      </c>
      <c r="I11" s="245"/>
      <c r="J11" s="246">
        <f t="shared" si="2"/>
        <v>5.9999999999999991</v>
      </c>
      <c r="K11" s="152" t="str">
        <f t="shared" si="1"/>
        <v/>
      </c>
    </row>
    <row r="12" spans="1:11" ht="15" hidden="1" x14ac:dyDescent="0.25">
      <c r="A12" s="145" t="s">
        <v>265</v>
      </c>
      <c r="B12" s="146">
        <f>ROUND('January 01, 2016 Rates'!G102,2)</f>
        <v>0</v>
      </c>
      <c r="C12" s="154">
        <v>1</v>
      </c>
      <c r="D12" s="205">
        <f t="shared" ref="D12:D14" si="3">C12*B12</f>
        <v>0</v>
      </c>
      <c r="E12" s="245"/>
      <c r="F12" s="146"/>
      <c r="G12" s="156">
        <f t="shared" ref="G12:G13" si="4">C12</f>
        <v>1</v>
      </c>
      <c r="H12" s="205">
        <f t="shared" si="0"/>
        <v>0</v>
      </c>
      <c r="I12" s="245"/>
      <c r="J12" s="246">
        <f t="shared" ref="J12:J14" si="5">H12-D12</f>
        <v>0</v>
      </c>
      <c r="K12" s="152" t="str">
        <f t="shared" ref="K12:K14" si="6">IF((D12)=0,"",(J12/D12))</f>
        <v/>
      </c>
    </row>
    <row r="13" spans="1:11" ht="15" hidden="1" x14ac:dyDescent="0.25">
      <c r="A13" s="145" t="s">
        <v>266</v>
      </c>
      <c r="B13" s="146">
        <f>ROUND('January 01, 2016 Rates'!G110,4)</f>
        <v>0</v>
      </c>
      <c r="C13" s="154">
        <f>B5</f>
        <v>5000</v>
      </c>
      <c r="D13" s="205">
        <f t="shared" si="3"/>
        <v>0</v>
      </c>
      <c r="E13" s="245"/>
      <c r="F13" s="146"/>
      <c r="G13" s="156">
        <f t="shared" si="4"/>
        <v>5000</v>
      </c>
      <c r="H13" s="205">
        <f t="shared" si="0"/>
        <v>0</v>
      </c>
      <c r="I13" s="245"/>
      <c r="J13" s="246">
        <f t="shared" si="5"/>
        <v>0</v>
      </c>
      <c r="K13" s="152" t="str">
        <f t="shared" si="6"/>
        <v/>
      </c>
    </row>
    <row r="14" spans="1:11" ht="15" x14ac:dyDescent="0.25">
      <c r="A14" s="168" t="s">
        <v>274</v>
      </c>
      <c r="B14" s="153">
        <v>0</v>
      </c>
      <c r="C14" s="167">
        <f>B5</f>
        <v>5000</v>
      </c>
      <c r="D14" s="205">
        <f t="shared" si="3"/>
        <v>0</v>
      </c>
      <c r="E14" s="245"/>
      <c r="F14" s="153">
        <f>ROUND('January 01, 2016 Rates'!F107,4)</f>
        <v>2.2200000000000001E-2</v>
      </c>
      <c r="G14" s="167">
        <f>C14</f>
        <v>5000</v>
      </c>
      <c r="H14" s="205">
        <f t="shared" si="0"/>
        <v>111</v>
      </c>
      <c r="I14" s="245"/>
      <c r="J14" s="246">
        <f t="shared" si="5"/>
        <v>111</v>
      </c>
      <c r="K14" s="152" t="str">
        <f t="shared" si="6"/>
        <v/>
      </c>
    </row>
    <row r="15" spans="1:11" ht="15" x14ac:dyDescent="0.25">
      <c r="A15" s="169" t="s">
        <v>190</v>
      </c>
      <c r="B15" s="170"/>
      <c r="C15" s="171"/>
      <c r="D15" s="175">
        <f>SUM(D9:D14)</f>
        <v>26633.719999999998</v>
      </c>
      <c r="E15" s="245"/>
      <c r="F15" s="170"/>
      <c r="G15" s="174"/>
      <c r="H15" s="175">
        <f>SUM(H9:H14)</f>
        <v>27270.07</v>
      </c>
      <c r="I15" s="245"/>
      <c r="J15" s="249">
        <f t="shared" si="2"/>
        <v>636.35000000000218</v>
      </c>
      <c r="K15" s="176">
        <f t="shared" si="1"/>
        <v>2.3892644362109472E-2</v>
      </c>
    </row>
    <row r="16" spans="1:11" ht="15" x14ac:dyDescent="0.25">
      <c r="A16" s="166" t="s">
        <v>251</v>
      </c>
      <c r="B16" s="153">
        <f>ROUND('January 01, 2016 Rates'!G104+'January 01, 2016 Rates'!G105,4)</f>
        <v>0</v>
      </c>
      <c r="C16" s="167">
        <f>+B5</f>
        <v>5000</v>
      </c>
      <c r="D16" s="205">
        <f>C16*B16</f>
        <v>0</v>
      </c>
      <c r="E16" s="245"/>
      <c r="F16" s="153">
        <f>ROUND('January 01, 2016 Rates'!F104+'January 01, 2016 Rates'!F105,4)</f>
        <v>-4.24E-2</v>
      </c>
      <c r="G16" s="167">
        <f>C16</f>
        <v>5000</v>
      </c>
      <c r="H16" s="205">
        <f>G16*F16</f>
        <v>-212</v>
      </c>
      <c r="I16" s="245"/>
      <c r="J16" s="246">
        <f t="shared" si="2"/>
        <v>-212</v>
      </c>
      <c r="K16" s="152" t="str">
        <f t="shared" si="1"/>
        <v/>
      </c>
    </row>
    <row r="17" spans="1:11" ht="15" x14ac:dyDescent="0.25">
      <c r="A17" s="168" t="s">
        <v>192</v>
      </c>
      <c r="B17" s="153">
        <f>ROUND('January 01, 2016 Rates'!G108,4)</f>
        <v>8.3799999999999999E-2</v>
      </c>
      <c r="C17" s="167">
        <f>+B5</f>
        <v>5000</v>
      </c>
      <c r="D17" s="205">
        <f>C17*B17</f>
        <v>419</v>
      </c>
      <c r="E17" s="245"/>
      <c r="F17" s="153">
        <f>ROUND('January 01, 2016 Rates'!F108,4)</f>
        <v>8.3799999999999999E-2</v>
      </c>
      <c r="G17" s="167">
        <f>C17</f>
        <v>5000</v>
      </c>
      <c r="H17" s="205">
        <f>G17*F17</f>
        <v>419</v>
      </c>
      <c r="I17" s="245"/>
      <c r="J17" s="246">
        <f t="shared" si="2"/>
        <v>0</v>
      </c>
      <c r="K17" s="152">
        <f t="shared" si="1"/>
        <v>0</v>
      </c>
    </row>
    <row r="18" spans="1:11" ht="15" x14ac:dyDescent="0.25">
      <c r="A18" s="168" t="s">
        <v>193</v>
      </c>
      <c r="B18" s="153">
        <v>0</v>
      </c>
      <c r="C18" s="167">
        <v>1</v>
      </c>
      <c r="D18" s="205">
        <f>C18*B18</f>
        <v>0</v>
      </c>
      <c r="E18" s="245"/>
      <c r="F18" s="153">
        <v>0</v>
      </c>
      <c r="G18" s="167">
        <f>C18</f>
        <v>1</v>
      </c>
      <c r="H18" s="205">
        <f>G18*F18</f>
        <v>0</v>
      </c>
      <c r="I18" s="245"/>
      <c r="J18" s="246">
        <f t="shared" si="2"/>
        <v>0</v>
      </c>
      <c r="K18" s="152" t="str">
        <f t="shared" si="1"/>
        <v/>
      </c>
    </row>
    <row r="19" spans="1:11" ht="15" x14ac:dyDescent="0.25">
      <c r="A19" s="169" t="s">
        <v>194</v>
      </c>
      <c r="B19" s="170"/>
      <c r="C19" s="171"/>
      <c r="D19" s="175">
        <f>SUM(D15:D18)</f>
        <v>27052.719999999998</v>
      </c>
      <c r="E19" s="245"/>
      <c r="F19" s="170"/>
      <c r="G19" s="174"/>
      <c r="H19" s="175">
        <f>SUM(H15:H18)</f>
        <v>27477.07</v>
      </c>
      <c r="I19" s="245"/>
      <c r="J19" s="249">
        <f t="shared" si="2"/>
        <v>424.35000000000218</v>
      </c>
      <c r="K19" s="176">
        <f t="shared" si="1"/>
        <v>1.5686038224622226E-2</v>
      </c>
    </row>
    <row r="20" spans="1:11" ht="15" x14ac:dyDescent="0.25">
      <c r="A20" s="177" t="s">
        <v>122</v>
      </c>
      <c r="B20" s="153">
        <f>ROUND('January 01, 2016 Rates'!G113,4)</f>
        <v>-0.4</v>
      </c>
      <c r="C20" s="178">
        <f>B5</f>
        <v>5000</v>
      </c>
      <c r="D20" s="205">
        <f>C20*B20</f>
        <v>-2000</v>
      </c>
      <c r="E20" s="245"/>
      <c r="F20" s="153">
        <f>ROUND('January 01, 2016 Rates'!F113,4)</f>
        <v>-0.4</v>
      </c>
      <c r="G20" s="179">
        <f>C20</f>
        <v>5000</v>
      </c>
      <c r="H20" s="205">
        <f>G20*F20</f>
        <v>-2000</v>
      </c>
      <c r="I20" s="245"/>
      <c r="J20" s="246">
        <f t="shared" ref="J20" si="7">H20-D20</f>
        <v>0</v>
      </c>
      <c r="K20" s="152">
        <f t="shared" ref="K20" si="8">IF((D20)=0,"",(J20/D20))</f>
        <v>0</v>
      </c>
    </row>
    <row r="21" spans="1:11" ht="15" x14ac:dyDescent="0.25">
      <c r="A21" s="177" t="s">
        <v>195</v>
      </c>
      <c r="B21" s="153">
        <f>ROUND('January 01, 2016 Rates'!G111,4)</f>
        <v>3.0219999999999998</v>
      </c>
      <c r="C21" s="178">
        <f>+B5</f>
        <v>5000</v>
      </c>
      <c r="D21" s="205">
        <f>C21*B21</f>
        <v>15109.999999999998</v>
      </c>
      <c r="E21" s="245"/>
      <c r="F21" s="153">
        <f>ROUND('January 01, 2016 Rates'!F111,4)</f>
        <v>2.8719999999999999</v>
      </c>
      <c r="G21" s="179">
        <f>C21</f>
        <v>5000</v>
      </c>
      <c r="H21" s="205">
        <f>G21*F21</f>
        <v>14360</v>
      </c>
      <c r="I21" s="245"/>
      <c r="J21" s="246">
        <f t="shared" si="2"/>
        <v>-749.99999999999818</v>
      </c>
      <c r="K21" s="152">
        <f t="shared" si="1"/>
        <v>-4.9636002647253361E-2</v>
      </c>
    </row>
    <row r="22" spans="1:11" ht="15" x14ac:dyDescent="0.25">
      <c r="A22" s="180" t="s">
        <v>196</v>
      </c>
      <c r="B22" s="153">
        <f>ROUND('January 01, 2016 Rates'!G112,4)</f>
        <v>2.2949999999999999</v>
      </c>
      <c r="C22" s="178">
        <f>+B5</f>
        <v>5000</v>
      </c>
      <c r="D22" s="205">
        <f>C22*B22</f>
        <v>11475</v>
      </c>
      <c r="E22" s="245"/>
      <c r="F22" s="153">
        <f>ROUND('January 01, 2016 Rates'!F112,4)</f>
        <v>2.3784000000000001</v>
      </c>
      <c r="G22" s="179">
        <f>C22</f>
        <v>5000</v>
      </c>
      <c r="H22" s="205">
        <f>G22*F22</f>
        <v>11892</v>
      </c>
      <c r="I22" s="245"/>
      <c r="J22" s="246">
        <f t="shared" si="2"/>
        <v>417</v>
      </c>
      <c r="K22" s="152">
        <f t="shared" si="1"/>
        <v>3.6339869281045753E-2</v>
      </c>
    </row>
    <row r="23" spans="1:11" ht="15" x14ac:dyDescent="0.25">
      <c r="A23" s="169" t="s">
        <v>197</v>
      </c>
      <c r="B23" s="170"/>
      <c r="C23" s="171"/>
      <c r="D23" s="175">
        <f>SUM(D19:D22)</f>
        <v>51637.719999999994</v>
      </c>
      <c r="E23" s="250"/>
      <c r="F23" s="251"/>
      <c r="G23" s="183"/>
      <c r="H23" s="330">
        <f>SUM(H19:H22)</f>
        <v>51729.07</v>
      </c>
      <c r="I23" s="250"/>
      <c r="J23" s="249">
        <f t="shared" si="2"/>
        <v>91.350000000005821</v>
      </c>
      <c r="K23" s="176">
        <f t="shared" si="1"/>
        <v>1.7690556438201732E-3</v>
      </c>
    </row>
    <row r="24" spans="1:11" ht="15" x14ac:dyDescent="0.25">
      <c r="A24" s="168" t="s">
        <v>198</v>
      </c>
      <c r="B24" s="153">
        <f>ROUND('January 01, 2016 Rates'!G114,4)</f>
        <v>4.4000000000000003E-3</v>
      </c>
      <c r="C24" s="178">
        <f>$B$3*(1+$B$2)</f>
        <v>3043500</v>
      </c>
      <c r="D24" s="205">
        <f t="shared" ref="D24:D29" si="9">C24*B24</f>
        <v>13391.400000000001</v>
      </c>
      <c r="E24" s="245"/>
      <c r="F24" s="153">
        <f>ROUND('January 01, 2016 Rates'!F114,4)</f>
        <v>3.5999999999999999E-3</v>
      </c>
      <c r="G24" s="179">
        <f>+C24</f>
        <v>3043500</v>
      </c>
      <c r="H24" s="205">
        <f t="shared" ref="H24:H29" si="10">G24*F24</f>
        <v>10956.6</v>
      </c>
      <c r="I24" s="245"/>
      <c r="J24" s="246">
        <f t="shared" si="2"/>
        <v>-2434.8000000000011</v>
      </c>
      <c r="K24" s="152">
        <f t="shared" si="1"/>
        <v>-0.18181818181818188</v>
      </c>
    </row>
    <row r="25" spans="1:11" ht="15" x14ac:dyDescent="0.25">
      <c r="A25" s="168" t="s">
        <v>199</v>
      </c>
      <c r="B25" s="153">
        <f>ROUND('January 01, 2016 Rates'!G115,4)</f>
        <v>1.2999999999999999E-3</v>
      </c>
      <c r="C25" s="178">
        <f>C24</f>
        <v>3043500</v>
      </c>
      <c r="D25" s="205">
        <f t="shared" si="9"/>
        <v>3956.5499999999997</v>
      </c>
      <c r="E25" s="245"/>
      <c r="F25" s="153">
        <f>ROUND('January 01, 2016 Rates'!F115,4)</f>
        <v>1.2999999999999999E-3</v>
      </c>
      <c r="G25" s="179">
        <f>C25</f>
        <v>3043500</v>
      </c>
      <c r="H25" s="205">
        <f t="shared" si="10"/>
        <v>3956.5499999999997</v>
      </c>
      <c r="I25" s="245"/>
      <c r="J25" s="246">
        <f t="shared" si="2"/>
        <v>0</v>
      </c>
      <c r="K25" s="152">
        <f t="shared" si="1"/>
        <v>0</v>
      </c>
    </row>
    <row r="26" spans="1:11" ht="15" x14ac:dyDescent="0.25">
      <c r="A26" s="168" t="s">
        <v>200</v>
      </c>
      <c r="B26" s="153">
        <f>ROUND('January 01, 2016 Rates'!G118,4)</f>
        <v>0.25</v>
      </c>
      <c r="C26" s="178">
        <v>1</v>
      </c>
      <c r="D26" s="205">
        <f t="shared" si="9"/>
        <v>0.25</v>
      </c>
      <c r="E26" s="245"/>
      <c r="F26" s="153">
        <f>ROUND('January 01, 2016 Rates'!F118,4)</f>
        <v>0.25</v>
      </c>
      <c r="G26" s="179">
        <f>C26</f>
        <v>1</v>
      </c>
      <c r="H26" s="205">
        <f t="shared" si="10"/>
        <v>0.25</v>
      </c>
      <c r="I26" s="245"/>
      <c r="J26" s="246">
        <f t="shared" si="2"/>
        <v>0</v>
      </c>
      <c r="K26" s="152">
        <f t="shared" si="1"/>
        <v>0</v>
      </c>
    </row>
    <row r="27" spans="1:11" ht="15" x14ac:dyDescent="0.25">
      <c r="A27" s="168" t="s">
        <v>201</v>
      </c>
      <c r="B27" s="153">
        <f>ROUND('January 01, 2016 Rates'!G117,4)</f>
        <v>7.0000000000000001E-3</v>
      </c>
      <c r="C27" s="178">
        <f>+B3</f>
        <v>3000000</v>
      </c>
      <c r="D27" s="205">
        <f t="shared" si="9"/>
        <v>21000</v>
      </c>
      <c r="E27" s="245"/>
      <c r="F27" s="153">
        <f>ROUND('January 01, 2016 Rates'!G117,4)</f>
        <v>7.0000000000000001E-3</v>
      </c>
      <c r="G27" s="179">
        <f>C27</f>
        <v>3000000</v>
      </c>
      <c r="H27" s="205">
        <f t="shared" ref="H27" si="11">G27*F27</f>
        <v>21000</v>
      </c>
      <c r="I27" s="245"/>
      <c r="J27" s="246">
        <f t="shared" ref="J27" si="12">H27-D27</f>
        <v>0</v>
      </c>
      <c r="K27" s="152">
        <f t="shared" ref="K27" si="13">IF((D27)=0,"",(J27/D27))</f>
        <v>0</v>
      </c>
    </row>
    <row r="28" spans="1:11" ht="15" x14ac:dyDescent="0.25">
      <c r="A28" s="307" t="s">
        <v>263</v>
      </c>
      <c r="B28" s="308"/>
      <c r="C28" s="309"/>
      <c r="D28" s="310"/>
      <c r="E28" s="147"/>
      <c r="F28" s="288">
        <f>ROUND('January 01, 2016 Rates'!F116,4)</f>
        <v>1.1000000000000001E-3</v>
      </c>
      <c r="G28" s="178">
        <f>$B$3*(1+$B$2)</f>
        <v>3043500</v>
      </c>
      <c r="H28" s="148">
        <f t="shared" si="10"/>
        <v>3347.8500000000004</v>
      </c>
      <c r="I28" s="147"/>
      <c r="J28" s="313"/>
      <c r="K28" s="314"/>
    </row>
    <row r="29" spans="1:11" ht="15" x14ac:dyDescent="0.25">
      <c r="A29" s="168" t="s">
        <v>215</v>
      </c>
      <c r="B29" s="153">
        <v>9.4E-2</v>
      </c>
      <c r="C29" s="178">
        <v>750</v>
      </c>
      <c r="D29" s="205">
        <f t="shared" si="9"/>
        <v>70.5</v>
      </c>
      <c r="E29" s="245"/>
      <c r="F29" s="153">
        <v>9.4E-2</v>
      </c>
      <c r="G29" s="178">
        <f>C29</f>
        <v>750</v>
      </c>
      <c r="H29" s="205">
        <f t="shared" si="10"/>
        <v>70.5</v>
      </c>
      <c r="I29" s="245"/>
      <c r="J29" s="246">
        <f t="shared" si="2"/>
        <v>0</v>
      </c>
      <c r="K29" s="152">
        <f t="shared" si="1"/>
        <v>0</v>
      </c>
    </row>
    <row r="30" spans="1:11" ht="15.75" thickBot="1" x14ac:dyDescent="0.3">
      <c r="A30" s="168" t="s">
        <v>215</v>
      </c>
      <c r="B30" s="153">
        <v>0.11</v>
      </c>
      <c r="C30" s="178">
        <f>+ROUND(C24-C29,0)</f>
        <v>3042750</v>
      </c>
      <c r="D30" s="205">
        <f>+C30*B30</f>
        <v>334702.5</v>
      </c>
      <c r="E30" s="245"/>
      <c r="F30" s="153">
        <v>0.11</v>
      </c>
      <c r="G30" s="178">
        <f>C30</f>
        <v>3042750</v>
      </c>
      <c r="H30" s="205">
        <f>+G30*F30</f>
        <v>334702.5</v>
      </c>
      <c r="I30" s="245"/>
      <c r="J30" s="246">
        <f t="shared" si="2"/>
        <v>0</v>
      </c>
      <c r="K30" s="152">
        <f t="shared" si="1"/>
        <v>0</v>
      </c>
    </row>
    <row r="31" spans="1:11" ht="15.75" thickBot="1" x14ac:dyDescent="0.3">
      <c r="A31" s="184"/>
      <c r="B31" s="185"/>
      <c r="C31" s="186"/>
      <c r="D31" s="189"/>
      <c r="E31" s="245"/>
      <c r="F31" s="252"/>
      <c r="G31" s="188"/>
      <c r="H31" s="189"/>
      <c r="I31" s="245"/>
      <c r="J31" s="253"/>
      <c r="K31" s="190"/>
    </row>
    <row r="32" spans="1:11" ht="15" x14ac:dyDescent="0.25">
      <c r="A32" s="191" t="s">
        <v>205</v>
      </c>
      <c r="B32" s="192"/>
      <c r="C32" s="193"/>
      <c r="D32" s="254">
        <f>SUM(D23:D30)</f>
        <v>424758.92</v>
      </c>
      <c r="E32" s="255"/>
      <c r="F32" s="197"/>
      <c r="G32" s="197"/>
      <c r="H32" s="254">
        <f>SUM(H23:H30)</f>
        <v>425763.32</v>
      </c>
      <c r="I32" s="250"/>
      <c r="J32" s="254">
        <f>H32-D32</f>
        <v>1004.4000000000233</v>
      </c>
      <c r="K32" s="199">
        <f>IF((D32)=0,"",(J32/D32))</f>
        <v>2.3646354501514017E-3</v>
      </c>
    </row>
    <row r="33" spans="1:11" ht="15" x14ac:dyDescent="0.25">
      <c r="A33" s="200" t="s">
        <v>206</v>
      </c>
      <c r="B33" s="192">
        <v>0.13</v>
      </c>
      <c r="C33" s="201"/>
      <c r="D33" s="256">
        <f>D32*B33</f>
        <v>55218.659599999999</v>
      </c>
      <c r="E33" s="201"/>
      <c r="F33" s="192">
        <v>0.13</v>
      </c>
      <c r="G33" s="203"/>
      <c r="H33" s="256">
        <f>H32*F33</f>
        <v>55349.231599999999</v>
      </c>
      <c r="I33" s="245"/>
      <c r="J33" s="256">
        <f t="shared" si="2"/>
        <v>130.57200000000012</v>
      </c>
      <c r="K33" s="206">
        <f t="shared" si="1"/>
        <v>2.3646354501513493E-3</v>
      </c>
    </row>
    <row r="34" spans="1:11" ht="15" x14ac:dyDescent="0.25">
      <c r="A34" s="207" t="s">
        <v>207</v>
      </c>
      <c r="B34" s="203"/>
      <c r="C34" s="201"/>
      <c r="D34" s="256">
        <f>D32+D33</f>
        <v>479977.5796</v>
      </c>
      <c r="E34" s="201"/>
      <c r="F34" s="203"/>
      <c r="G34" s="203"/>
      <c r="H34" s="256">
        <f>H32+H33</f>
        <v>481112.55160000001</v>
      </c>
      <c r="I34" s="245"/>
      <c r="J34" s="256">
        <f t="shared" si="2"/>
        <v>1134.9720000000088</v>
      </c>
      <c r="K34" s="206">
        <f t="shared" si="1"/>
        <v>2.3646354501513653E-3</v>
      </c>
    </row>
    <row r="35" spans="1:11" ht="15" x14ac:dyDescent="0.25">
      <c r="A35" s="209" t="s">
        <v>208</v>
      </c>
      <c r="B35" s="203"/>
      <c r="C35" s="201"/>
      <c r="D35" s="256">
        <v>0</v>
      </c>
      <c r="E35" s="201"/>
      <c r="F35" s="316"/>
      <c r="G35" s="316"/>
      <c r="H35" s="318"/>
      <c r="I35" s="245"/>
      <c r="J35" s="318"/>
      <c r="K35" s="314"/>
    </row>
    <row r="36" spans="1:11" ht="15.75" thickBot="1" x14ac:dyDescent="0.3">
      <c r="A36" s="210" t="s">
        <v>209</v>
      </c>
      <c r="B36" s="211"/>
      <c r="C36" s="212"/>
      <c r="D36" s="248">
        <f>D34+D35</f>
        <v>479977.5796</v>
      </c>
      <c r="E36" s="255"/>
      <c r="F36" s="215"/>
      <c r="G36" s="215"/>
      <c r="H36" s="248">
        <f>H34+H35</f>
        <v>481112.55160000001</v>
      </c>
      <c r="I36" s="250"/>
      <c r="J36" s="248">
        <f t="shared" si="2"/>
        <v>1134.9720000000088</v>
      </c>
      <c r="K36" s="165">
        <f t="shared" si="1"/>
        <v>2.3646354501513653E-3</v>
      </c>
    </row>
    <row r="37" spans="1:11" ht="15.75" thickBot="1" x14ac:dyDescent="0.3">
      <c r="A37" s="184"/>
      <c r="B37" s="216"/>
      <c r="C37" s="217"/>
      <c r="D37" s="257"/>
      <c r="E37" s="258"/>
      <c r="F37" s="216"/>
      <c r="G37" s="221"/>
      <c r="H37" s="259"/>
      <c r="I37" s="258"/>
      <c r="J37" s="260"/>
      <c r="K37" s="224"/>
    </row>
    <row r="39" spans="1:11" ht="15" x14ac:dyDescent="0.25">
      <c r="H39" s="304"/>
      <c r="I39" s="304"/>
      <c r="J39" s="304"/>
      <c r="K39" s="266"/>
    </row>
    <row r="41" spans="1:11" ht="16.5" customHeight="1" x14ac:dyDescent="0.3"/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1"/>
  <sheetViews>
    <sheetView workbookViewId="0">
      <selection activeCell="B2" sqref="B2"/>
    </sheetView>
  </sheetViews>
  <sheetFormatPr defaultRowHeight="14.4" x14ac:dyDescent="0.3"/>
  <cols>
    <col min="1" max="1" width="54.109375" bestFit="1" customWidth="1"/>
    <col min="2" max="2" width="17.109375" customWidth="1"/>
    <col min="3" max="3" width="11.5546875" bestFit="1" customWidth="1"/>
    <col min="4" max="4" width="14" bestFit="1" customWidth="1"/>
    <col min="6" max="6" width="15.109375" bestFit="1" customWidth="1"/>
    <col min="7" max="7" width="11.5546875" bestFit="1" customWidth="1"/>
    <col min="8" max="8" width="14" bestFit="1" customWidth="1"/>
    <col min="10" max="10" width="12.6640625" bestFit="1" customWidth="1"/>
    <col min="11" max="11" width="10" bestFit="1" customWidth="1"/>
  </cols>
  <sheetData>
    <row r="1" spans="1:11" ht="15.75" x14ac:dyDescent="0.25">
      <c r="A1" s="119" t="s">
        <v>174</v>
      </c>
      <c r="B1" s="120" t="s">
        <v>279</v>
      </c>
      <c r="C1" s="231"/>
      <c r="D1" s="231"/>
      <c r="E1" s="231"/>
      <c r="F1" s="231"/>
      <c r="G1" s="231"/>
      <c r="H1" s="231"/>
      <c r="I1" s="231"/>
      <c r="J1" s="231"/>
      <c r="K1" s="233"/>
    </row>
    <row r="2" spans="1:11" ht="15.75" x14ac:dyDescent="0.25">
      <c r="A2" s="119" t="s">
        <v>176</v>
      </c>
      <c r="B2" s="121">
        <f>1.45/100</f>
        <v>1.4499999999999999E-2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x14ac:dyDescent="0.25">
      <c r="A3" s="119" t="s">
        <v>177</v>
      </c>
      <c r="B3" s="123">
        <v>3000000</v>
      </c>
      <c r="C3" s="124" t="s">
        <v>178</v>
      </c>
      <c r="D3" s="234"/>
      <c r="E3" s="234"/>
      <c r="F3" s="234"/>
      <c r="G3" s="234"/>
      <c r="H3" s="234"/>
      <c r="I3" s="234"/>
      <c r="J3" s="234"/>
      <c r="K3" s="234"/>
    </row>
    <row r="4" spans="1:11" ht="15" x14ac:dyDescent="0.25">
      <c r="A4" s="230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 ht="15" x14ac:dyDescent="0.25">
      <c r="A5" s="127" t="s">
        <v>180</v>
      </c>
      <c r="B5" s="128">
        <v>5000</v>
      </c>
      <c r="C5" s="129" t="s">
        <v>181</v>
      </c>
      <c r="D5" s="234"/>
      <c r="E5" s="234"/>
      <c r="F5" s="234"/>
      <c r="G5" s="234"/>
      <c r="H5" s="234"/>
      <c r="I5" s="234"/>
      <c r="J5" s="234"/>
      <c r="K5" s="234"/>
    </row>
    <row r="6" spans="1:11" ht="15" x14ac:dyDescent="0.25">
      <c r="A6" s="130"/>
      <c r="B6" s="339" t="s">
        <v>182</v>
      </c>
      <c r="C6" s="340"/>
      <c r="D6" s="341"/>
      <c r="E6" s="242"/>
      <c r="F6" s="339" t="s">
        <v>8</v>
      </c>
      <c r="G6" s="340"/>
      <c r="H6" s="341"/>
      <c r="I6" s="242"/>
      <c r="J6" s="339" t="s">
        <v>183</v>
      </c>
      <c r="K6" s="341"/>
    </row>
    <row r="7" spans="1:11" ht="15" x14ac:dyDescent="0.25">
      <c r="A7" s="130"/>
      <c r="B7" s="132" t="s">
        <v>184</v>
      </c>
      <c r="C7" s="132" t="s">
        <v>185</v>
      </c>
      <c r="D7" s="243" t="s">
        <v>186</v>
      </c>
      <c r="E7" s="244"/>
      <c r="F7" s="132" t="s">
        <v>184</v>
      </c>
      <c r="G7" s="135" t="s">
        <v>185</v>
      </c>
      <c r="H7" s="132" t="s">
        <v>186</v>
      </c>
      <c r="I7" s="244"/>
      <c r="J7" s="138" t="s">
        <v>187</v>
      </c>
      <c r="K7" s="138" t="s">
        <v>188</v>
      </c>
    </row>
    <row r="8" spans="1:11" ht="15" x14ac:dyDescent="0.25">
      <c r="A8" s="130"/>
      <c r="B8" s="139" t="s">
        <v>189</v>
      </c>
      <c r="C8" s="139"/>
      <c r="D8" s="141" t="s">
        <v>189</v>
      </c>
      <c r="E8" s="244"/>
      <c r="F8" s="139" t="s">
        <v>189</v>
      </c>
      <c r="G8" s="141"/>
      <c r="H8" s="139" t="s">
        <v>189</v>
      </c>
      <c r="I8" s="244"/>
      <c r="J8" s="144"/>
      <c r="K8" s="144"/>
    </row>
    <row r="9" spans="1:11" ht="15" x14ac:dyDescent="0.25">
      <c r="A9" s="145" t="s">
        <v>18</v>
      </c>
      <c r="B9" s="146">
        <f>ROUND('January 01, 2016 Rates'!G101,2)</f>
        <v>12864.22</v>
      </c>
      <c r="C9" s="147">
        <v>1</v>
      </c>
      <c r="D9" s="205">
        <f>C9*B9</f>
        <v>12864.22</v>
      </c>
      <c r="E9" s="245"/>
      <c r="F9" s="146">
        <f>ROUND('January 01, 2016 Rates'!F101,2)</f>
        <v>13115.07</v>
      </c>
      <c r="G9" s="150">
        <f>C9</f>
        <v>1</v>
      </c>
      <c r="H9" s="205">
        <f t="shared" ref="H9:H14" si="0">G9*F9</f>
        <v>13115.07</v>
      </c>
      <c r="I9" s="245"/>
      <c r="J9" s="246">
        <f>H9-D9</f>
        <v>250.85000000000036</v>
      </c>
      <c r="K9" s="152">
        <f t="shared" ref="K9:K36" si="1">IF((D9)=0,"",(J9/D9))</f>
        <v>1.9499821986875252E-2</v>
      </c>
    </row>
    <row r="10" spans="1:11" ht="15" x14ac:dyDescent="0.25">
      <c r="A10" s="145" t="s">
        <v>26</v>
      </c>
      <c r="B10" s="153">
        <f>ROUND('January 01, 2016 Rates'!G103,4)</f>
        <v>2.7538999999999998</v>
      </c>
      <c r="C10" s="154">
        <f>+B5</f>
        <v>5000</v>
      </c>
      <c r="D10" s="205">
        <f>C10*B10</f>
        <v>13769.499999999998</v>
      </c>
      <c r="E10" s="245"/>
      <c r="F10" s="153">
        <f>ROUND('January 01, 2016 Rates'!F103,4)</f>
        <v>2.8075999999999999</v>
      </c>
      <c r="G10" s="156">
        <f>C10</f>
        <v>5000</v>
      </c>
      <c r="H10" s="205">
        <f t="shared" si="0"/>
        <v>14038</v>
      </c>
      <c r="I10" s="245"/>
      <c r="J10" s="246">
        <f t="shared" ref="J10:J36" si="2">H10-D10</f>
        <v>268.50000000000182</v>
      </c>
      <c r="K10" s="152">
        <f t="shared" si="1"/>
        <v>1.949961872253908E-2</v>
      </c>
    </row>
    <row r="11" spans="1:11" ht="15" x14ac:dyDescent="0.25">
      <c r="A11" s="145" t="s">
        <v>264</v>
      </c>
      <c r="B11" s="153">
        <f>ROUND('January 01, 2016 Rates'!G109,4)</f>
        <v>0</v>
      </c>
      <c r="C11" s="154">
        <f>+B5</f>
        <v>5000</v>
      </c>
      <c r="D11" s="205">
        <f>C11*B11</f>
        <v>0</v>
      </c>
      <c r="E11" s="245"/>
      <c r="F11" s="153">
        <f>ROUND('January 01, 2016 Rates'!F109,4)</f>
        <v>1.1999999999999999E-3</v>
      </c>
      <c r="G11" s="156">
        <f>C11</f>
        <v>5000</v>
      </c>
      <c r="H11" s="205">
        <f t="shared" si="0"/>
        <v>5.9999999999999991</v>
      </c>
      <c r="I11" s="245"/>
      <c r="J11" s="246">
        <f t="shared" si="2"/>
        <v>5.9999999999999991</v>
      </c>
      <c r="K11" s="152" t="str">
        <f t="shared" si="1"/>
        <v/>
      </c>
    </row>
    <row r="12" spans="1:11" ht="15" hidden="1" x14ac:dyDescent="0.25">
      <c r="A12" s="145" t="s">
        <v>265</v>
      </c>
      <c r="B12" s="146">
        <f>ROUND('January 01, 2016 Rates'!G102,2)</f>
        <v>0</v>
      </c>
      <c r="C12" s="154">
        <v>1</v>
      </c>
      <c r="D12" s="205">
        <f t="shared" ref="D12:D14" si="3">C12*B12</f>
        <v>0</v>
      </c>
      <c r="E12" s="245"/>
      <c r="F12" s="146"/>
      <c r="G12" s="156">
        <f t="shared" ref="G12:G13" si="4">C12</f>
        <v>1</v>
      </c>
      <c r="H12" s="205">
        <f t="shared" si="0"/>
        <v>0</v>
      </c>
      <c r="I12" s="245"/>
      <c r="J12" s="246">
        <f t="shared" si="2"/>
        <v>0</v>
      </c>
      <c r="K12" s="152" t="str">
        <f t="shared" si="1"/>
        <v/>
      </c>
    </row>
    <row r="13" spans="1:11" ht="15" hidden="1" x14ac:dyDescent="0.25">
      <c r="A13" s="145" t="s">
        <v>266</v>
      </c>
      <c r="B13" s="146">
        <f>ROUND('January 01, 2016 Rates'!G110,4)</f>
        <v>0</v>
      </c>
      <c r="C13" s="154">
        <f>B5</f>
        <v>5000</v>
      </c>
      <c r="D13" s="205">
        <f t="shared" si="3"/>
        <v>0</v>
      </c>
      <c r="E13" s="245"/>
      <c r="F13" s="146"/>
      <c r="G13" s="156">
        <f t="shared" si="4"/>
        <v>5000</v>
      </c>
      <c r="H13" s="205">
        <f t="shared" si="0"/>
        <v>0</v>
      </c>
      <c r="I13" s="245"/>
      <c r="J13" s="246">
        <f t="shared" si="2"/>
        <v>0</v>
      </c>
      <c r="K13" s="152" t="str">
        <f t="shared" si="1"/>
        <v/>
      </c>
    </row>
    <row r="14" spans="1:11" ht="15" x14ac:dyDescent="0.25">
      <c r="A14" s="168" t="s">
        <v>274</v>
      </c>
      <c r="B14" s="153">
        <v>0</v>
      </c>
      <c r="C14" s="167">
        <f>B5</f>
        <v>5000</v>
      </c>
      <c r="D14" s="205">
        <f t="shared" si="3"/>
        <v>0</v>
      </c>
      <c r="E14" s="245"/>
      <c r="F14" s="153">
        <f>ROUND('January 01, 2016 Rates'!F107,4)</f>
        <v>2.2200000000000001E-2</v>
      </c>
      <c r="G14" s="167">
        <f>C14</f>
        <v>5000</v>
      </c>
      <c r="H14" s="205">
        <f t="shared" si="0"/>
        <v>111</v>
      </c>
      <c r="I14" s="245"/>
      <c r="J14" s="246">
        <f t="shared" si="2"/>
        <v>111</v>
      </c>
      <c r="K14" s="152" t="str">
        <f t="shared" si="1"/>
        <v/>
      </c>
    </row>
    <row r="15" spans="1:11" ht="15" x14ac:dyDescent="0.25">
      <c r="A15" s="169" t="s">
        <v>190</v>
      </c>
      <c r="B15" s="170"/>
      <c r="C15" s="171"/>
      <c r="D15" s="175">
        <f>SUM(D9:D14)</f>
        <v>26633.719999999998</v>
      </c>
      <c r="E15" s="245"/>
      <c r="F15" s="170"/>
      <c r="G15" s="174"/>
      <c r="H15" s="175">
        <f>SUM(H9:H14)</f>
        <v>27270.07</v>
      </c>
      <c r="I15" s="245"/>
      <c r="J15" s="249">
        <f t="shared" si="2"/>
        <v>636.35000000000218</v>
      </c>
      <c r="K15" s="176">
        <f t="shared" si="1"/>
        <v>2.3892644362109472E-2</v>
      </c>
    </row>
    <row r="16" spans="1:11" ht="15" x14ac:dyDescent="0.25">
      <c r="A16" s="166" t="s">
        <v>251</v>
      </c>
      <c r="B16" s="153">
        <f>ROUND('January 01, 2016 Rates'!G104+'January 01, 2016 Rates'!G105,4)</f>
        <v>0</v>
      </c>
      <c r="C16" s="167">
        <f>+B5</f>
        <v>5000</v>
      </c>
      <c r="D16" s="205">
        <f>C16*B16</f>
        <v>0</v>
      </c>
      <c r="E16" s="245"/>
      <c r="F16" s="153">
        <f>ROUND('January 01, 2016 Rates'!F104+'January 01, 2016 Rates'!F106,4)</f>
        <v>1.5992999999999999</v>
      </c>
      <c r="G16" s="167">
        <f>C16</f>
        <v>5000</v>
      </c>
      <c r="H16" s="205">
        <f>G16*F16</f>
        <v>7996.5</v>
      </c>
      <c r="I16" s="245"/>
      <c r="J16" s="246">
        <f t="shared" si="2"/>
        <v>7996.5</v>
      </c>
      <c r="K16" s="152" t="str">
        <f t="shared" si="1"/>
        <v/>
      </c>
    </row>
    <row r="17" spans="1:11" ht="15" x14ac:dyDescent="0.25">
      <c r="A17" s="168" t="s">
        <v>192</v>
      </c>
      <c r="B17" s="153">
        <f>ROUND('January 01, 2016 Rates'!G108,4)</f>
        <v>8.3799999999999999E-2</v>
      </c>
      <c r="C17" s="167">
        <f>+B5</f>
        <v>5000</v>
      </c>
      <c r="D17" s="205">
        <f>C17*B17</f>
        <v>419</v>
      </c>
      <c r="E17" s="245"/>
      <c r="F17" s="153">
        <f>ROUND('January 01, 2016 Rates'!F108,4)</f>
        <v>8.3799999999999999E-2</v>
      </c>
      <c r="G17" s="167">
        <f>C17</f>
        <v>5000</v>
      </c>
      <c r="H17" s="205">
        <f>G17*F17</f>
        <v>419</v>
      </c>
      <c r="I17" s="245"/>
      <c r="J17" s="246">
        <f t="shared" si="2"/>
        <v>0</v>
      </c>
      <c r="K17" s="152">
        <f t="shared" si="1"/>
        <v>0</v>
      </c>
    </row>
    <row r="18" spans="1:11" ht="15" x14ac:dyDescent="0.25">
      <c r="A18" s="168" t="s">
        <v>193</v>
      </c>
      <c r="B18" s="153">
        <v>0</v>
      </c>
      <c r="C18" s="167">
        <v>1</v>
      </c>
      <c r="D18" s="205">
        <f>C18*B18</f>
        <v>0</v>
      </c>
      <c r="E18" s="245"/>
      <c r="F18" s="153">
        <v>0</v>
      </c>
      <c r="G18" s="167">
        <f>C18</f>
        <v>1</v>
      </c>
      <c r="H18" s="205">
        <f>G18*F18</f>
        <v>0</v>
      </c>
      <c r="I18" s="245"/>
      <c r="J18" s="246">
        <f t="shared" si="2"/>
        <v>0</v>
      </c>
      <c r="K18" s="152" t="str">
        <f t="shared" si="1"/>
        <v/>
      </c>
    </row>
    <row r="19" spans="1:11" ht="15" x14ac:dyDescent="0.25">
      <c r="A19" s="169" t="s">
        <v>194</v>
      </c>
      <c r="B19" s="170"/>
      <c r="C19" s="171"/>
      <c r="D19" s="175">
        <f>SUM(D15:D18)</f>
        <v>27052.719999999998</v>
      </c>
      <c r="E19" s="245"/>
      <c r="F19" s="170"/>
      <c r="G19" s="174"/>
      <c r="H19" s="175">
        <f>SUM(H15:H18)</f>
        <v>35685.57</v>
      </c>
      <c r="I19" s="245"/>
      <c r="J19" s="249">
        <f t="shared" si="2"/>
        <v>8632.8500000000022</v>
      </c>
      <c r="K19" s="176">
        <f t="shared" si="1"/>
        <v>0.3191120892834437</v>
      </c>
    </row>
    <row r="20" spans="1:11" ht="15" x14ac:dyDescent="0.25">
      <c r="A20" s="177" t="s">
        <v>122</v>
      </c>
      <c r="B20" s="153">
        <f>ROUND('January 01, 2016 Rates'!G113,4)</f>
        <v>-0.4</v>
      </c>
      <c r="C20" s="178">
        <f>B5</f>
        <v>5000</v>
      </c>
      <c r="D20" s="205">
        <f>C20*B20</f>
        <v>-2000</v>
      </c>
      <c r="E20" s="245"/>
      <c r="F20" s="153">
        <f>ROUND('January 01, 2016 Rates'!F113,4)</f>
        <v>-0.4</v>
      </c>
      <c r="G20" s="179">
        <f>C20</f>
        <v>5000</v>
      </c>
      <c r="H20" s="205">
        <f>G20*F20</f>
        <v>-2000</v>
      </c>
      <c r="I20" s="245"/>
      <c r="J20" s="246">
        <f t="shared" si="2"/>
        <v>0</v>
      </c>
      <c r="K20" s="152">
        <f t="shared" si="1"/>
        <v>0</v>
      </c>
    </row>
    <row r="21" spans="1:11" ht="15" x14ac:dyDescent="0.25">
      <c r="A21" s="177" t="s">
        <v>195</v>
      </c>
      <c r="B21" s="153">
        <f>ROUND('January 01, 2016 Rates'!G111,4)</f>
        <v>3.0219999999999998</v>
      </c>
      <c r="C21" s="178">
        <f>+B5</f>
        <v>5000</v>
      </c>
      <c r="D21" s="205">
        <f>C21*B21</f>
        <v>15109.999999999998</v>
      </c>
      <c r="E21" s="245"/>
      <c r="F21" s="153">
        <f>ROUND('January 01, 2016 Rates'!F111,4)</f>
        <v>2.8719999999999999</v>
      </c>
      <c r="G21" s="179">
        <f>C21</f>
        <v>5000</v>
      </c>
      <c r="H21" s="205">
        <f>G21*F21</f>
        <v>14360</v>
      </c>
      <c r="I21" s="245"/>
      <c r="J21" s="246">
        <f t="shared" si="2"/>
        <v>-749.99999999999818</v>
      </c>
      <c r="K21" s="152">
        <f t="shared" si="1"/>
        <v>-4.9636002647253361E-2</v>
      </c>
    </row>
    <row r="22" spans="1:11" ht="15" x14ac:dyDescent="0.25">
      <c r="A22" s="180" t="s">
        <v>196</v>
      </c>
      <c r="B22" s="153">
        <f>ROUND('January 01, 2016 Rates'!G112,4)</f>
        <v>2.2949999999999999</v>
      </c>
      <c r="C22" s="178">
        <f>+B5</f>
        <v>5000</v>
      </c>
      <c r="D22" s="205">
        <f>C22*B22</f>
        <v>11475</v>
      </c>
      <c r="E22" s="245"/>
      <c r="F22" s="153">
        <f>ROUND('January 01, 2016 Rates'!F112,4)</f>
        <v>2.3784000000000001</v>
      </c>
      <c r="G22" s="179">
        <f>C22</f>
        <v>5000</v>
      </c>
      <c r="H22" s="205">
        <f>G22*F22</f>
        <v>11892</v>
      </c>
      <c r="I22" s="245"/>
      <c r="J22" s="246">
        <f t="shared" si="2"/>
        <v>417</v>
      </c>
      <c r="K22" s="152">
        <f t="shared" si="1"/>
        <v>3.6339869281045753E-2</v>
      </c>
    </row>
    <row r="23" spans="1:11" ht="15" x14ac:dyDescent="0.25">
      <c r="A23" s="169" t="s">
        <v>197</v>
      </c>
      <c r="B23" s="170"/>
      <c r="C23" s="171"/>
      <c r="D23" s="175">
        <f>SUM(D19:D22)</f>
        <v>51637.719999999994</v>
      </c>
      <c r="E23" s="250"/>
      <c r="F23" s="251"/>
      <c r="G23" s="183"/>
      <c r="H23" s="330">
        <f>SUM(H19:H22)</f>
        <v>59937.57</v>
      </c>
      <c r="I23" s="250"/>
      <c r="J23" s="249">
        <f t="shared" si="2"/>
        <v>8299.8500000000058</v>
      </c>
      <c r="K23" s="176">
        <f t="shared" si="1"/>
        <v>0.16073230963721882</v>
      </c>
    </row>
    <row r="24" spans="1:11" ht="15" x14ac:dyDescent="0.25">
      <c r="A24" s="168" t="s">
        <v>198</v>
      </c>
      <c r="B24" s="153">
        <f>ROUND('January 01, 2016 Rates'!G114,4)</f>
        <v>4.4000000000000003E-3</v>
      </c>
      <c r="C24" s="178">
        <f>$B$3*(1+$B$2)</f>
        <v>3043500</v>
      </c>
      <c r="D24" s="205">
        <f t="shared" ref="D24:D29" si="5">C24*B24</f>
        <v>13391.400000000001</v>
      </c>
      <c r="E24" s="245"/>
      <c r="F24" s="153">
        <f>ROUND('January 01, 2016 Rates'!F114,4)</f>
        <v>3.5999999999999999E-3</v>
      </c>
      <c r="G24" s="179">
        <f>+C24</f>
        <v>3043500</v>
      </c>
      <c r="H24" s="205">
        <f t="shared" ref="H24:H29" si="6">G24*F24</f>
        <v>10956.6</v>
      </c>
      <c r="I24" s="245"/>
      <c r="J24" s="246">
        <f t="shared" si="2"/>
        <v>-2434.8000000000011</v>
      </c>
      <c r="K24" s="152">
        <f t="shared" si="1"/>
        <v>-0.18181818181818188</v>
      </c>
    </row>
    <row r="25" spans="1:11" ht="15" x14ac:dyDescent="0.25">
      <c r="A25" s="168" t="s">
        <v>199</v>
      </c>
      <c r="B25" s="153">
        <f>ROUND('January 01, 2016 Rates'!G115,4)</f>
        <v>1.2999999999999999E-3</v>
      </c>
      <c r="C25" s="178">
        <f>C24</f>
        <v>3043500</v>
      </c>
      <c r="D25" s="205">
        <f t="shared" si="5"/>
        <v>3956.5499999999997</v>
      </c>
      <c r="E25" s="245"/>
      <c r="F25" s="153">
        <f>ROUND('January 01, 2016 Rates'!F115,4)</f>
        <v>1.2999999999999999E-3</v>
      </c>
      <c r="G25" s="179">
        <f>C25</f>
        <v>3043500</v>
      </c>
      <c r="H25" s="205">
        <f t="shared" si="6"/>
        <v>3956.5499999999997</v>
      </c>
      <c r="I25" s="245"/>
      <c r="J25" s="246">
        <f t="shared" si="2"/>
        <v>0</v>
      </c>
      <c r="K25" s="152">
        <f t="shared" si="1"/>
        <v>0</v>
      </c>
    </row>
    <row r="26" spans="1:11" ht="15" x14ac:dyDescent="0.25">
      <c r="A26" s="168" t="s">
        <v>200</v>
      </c>
      <c r="B26" s="153">
        <f>ROUND('January 01, 2016 Rates'!G118,4)</f>
        <v>0.25</v>
      </c>
      <c r="C26" s="178">
        <v>1</v>
      </c>
      <c r="D26" s="205">
        <f t="shared" si="5"/>
        <v>0.25</v>
      </c>
      <c r="E26" s="245"/>
      <c r="F26" s="153">
        <f>ROUND('January 01, 2016 Rates'!F118,4)</f>
        <v>0.25</v>
      </c>
      <c r="G26" s="179">
        <f>C26</f>
        <v>1</v>
      </c>
      <c r="H26" s="205">
        <f t="shared" si="6"/>
        <v>0.25</v>
      </c>
      <c r="I26" s="245"/>
      <c r="J26" s="246">
        <f t="shared" si="2"/>
        <v>0</v>
      </c>
      <c r="K26" s="152">
        <f t="shared" si="1"/>
        <v>0</v>
      </c>
    </row>
    <row r="27" spans="1:11" ht="15" x14ac:dyDescent="0.25">
      <c r="A27" s="168" t="s">
        <v>201</v>
      </c>
      <c r="B27" s="153">
        <f>ROUND('January 01, 2016 Rates'!G117,4)</f>
        <v>7.0000000000000001E-3</v>
      </c>
      <c r="C27" s="178">
        <f>+B3</f>
        <v>3000000</v>
      </c>
      <c r="D27" s="205">
        <f t="shared" si="5"/>
        <v>21000</v>
      </c>
      <c r="E27" s="245"/>
      <c r="F27" s="153">
        <f>ROUND('January 01, 2016 Rates'!G117,4)</f>
        <v>7.0000000000000001E-3</v>
      </c>
      <c r="G27" s="179">
        <f>C27</f>
        <v>3000000</v>
      </c>
      <c r="H27" s="205">
        <f t="shared" si="6"/>
        <v>21000</v>
      </c>
      <c r="I27" s="245"/>
      <c r="J27" s="246">
        <f t="shared" si="2"/>
        <v>0</v>
      </c>
      <c r="K27" s="152">
        <f t="shared" si="1"/>
        <v>0</v>
      </c>
    </row>
    <row r="28" spans="1:11" ht="15" x14ac:dyDescent="0.25">
      <c r="A28" s="307" t="s">
        <v>263</v>
      </c>
      <c r="B28" s="308"/>
      <c r="C28" s="309"/>
      <c r="D28" s="310"/>
      <c r="E28" s="147"/>
      <c r="F28" s="288">
        <f>ROUND('January 01, 2016 Rates'!F116,4)</f>
        <v>1.1000000000000001E-3</v>
      </c>
      <c r="G28" s="178">
        <f>$B$3*(1+$B$2)</f>
        <v>3043500</v>
      </c>
      <c r="H28" s="148">
        <f t="shared" si="6"/>
        <v>3347.8500000000004</v>
      </c>
      <c r="I28" s="147"/>
      <c r="J28" s="313"/>
      <c r="K28" s="314"/>
    </row>
    <row r="29" spans="1:11" ht="15" x14ac:dyDescent="0.25">
      <c r="A29" s="168" t="s">
        <v>215</v>
      </c>
      <c r="B29" s="153">
        <v>9.4E-2</v>
      </c>
      <c r="C29" s="178">
        <v>750</v>
      </c>
      <c r="D29" s="205">
        <f t="shared" si="5"/>
        <v>70.5</v>
      </c>
      <c r="E29" s="245"/>
      <c r="F29" s="153">
        <v>9.4E-2</v>
      </c>
      <c r="G29" s="178">
        <f>C29</f>
        <v>750</v>
      </c>
      <c r="H29" s="205">
        <f t="shared" si="6"/>
        <v>70.5</v>
      </c>
      <c r="I29" s="245"/>
      <c r="J29" s="246">
        <f t="shared" si="2"/>
        <v>0</v>
      </c>
      <c r="K29" s="152">
        <f t="shared" si="1"/>
        <v>0</v>
      </c>
    </row>
    <row r="30" spans="1:11" ht="15.75" thickBot="1" x14ac:dyDescent="0.3">
      <c r="A30" s="168" t="s">
        <v>215</v>
      </c>
      <c r="B30" s="153">
        <v>0.11</v>
      </c>
      <c r="C30" s="178">
        <f>+ROUND(C24-C29,0)</f>
        <v>3042750</v>
      </c>
      <c r="D30" s="205">
        <f>+C30*B30</f>
        <v>334702.5</v>
      </c>
      <c r="E30" s="245"/>
      <c r="F30" s="153">
        <v>0.11</v>
      </c>
      <c r="G30" s="178">
        <f>C30</f>
        <v>3042750</v>
      </c>
      <c r="H30" s="205">
        <f>+G30*F30</f>
        <v>334702.5</v>
      </c>
      <c r="I30" s="245"/>
      <c r="J30" s="246">
        <f t="shared" si="2"/>
        <v>0</v>
      </c>
      <c r="K30" s="152">
        <f t="shared" si="1"/>
        <v>0</v>
      </c>
    </row>
    <row r="31" spans="1:11" ht="15.75" thickBot="1" x14ac:dyDescent="0.3">
      <c r="A31" s="184"/>
      <c r="B31" s="185"/>
      <c r="C31" s="186"/>
      <c r="D31" s="189"/>
      <c r="E31" s="245"/>
      <c r="F31" s="252"/>
      <c r="G31" s="188"/>
      <c r="H31" s="189"/>
      <c r="I31" s="245"/>
      <c r="J31" s="253"/>
      <c r="K31" s="190"/>
    </row>
    <row r="32" spans="1:11" ht="15" x14ac:dyDescent="0.25">
      <c r="A32" s="191" t="s">
        <v>205</v>
      </c>
      <c r="B32" s="192"/>
      <c r="C32" s="193"/>
      <c r="D32" s="254">
        <f>SUM(D23:D30)</f>
        <v>424758.92</v>
      </c>
      <c r="E32" s="255"/>
      <c r="F32" s="197"/>
      <c r="G32" s="197"/>
      <c r="H32" s="254">
        <f>SUM(H23:H30)</f>
        <v>433971.82</v>
      </c>
      <c r="I32" s="250"/>
      <c r="J32" s="254">
        <f>H32-D32</f>
        <v>9212.9000000000233</v>
      </c>
      <c r="K32" s="199">
        <f>IF((D32)=0,"",(J32/D32))</f>
        <v>2.1689715191855238E-2</v>
      </c>
    </row>
    <row r="33" spans="1:11" ht="15" x14ac:dyDescent="0.25">
      <c r="A33" s="200" t="s">
        <v>206</v>
      </c>
      <c r="B33" s="192">
        <v>0.13</v>
      </c>
      <c r="C33" s="201"/>
      <c r="D33" s="256">
        <f>D32*B33</f>
        <v>55218.659599999999</v>
      </c>
      <c r="E33" s="201"/>
      <c r="F33" s="192">
        <v>0.13</v>
      </c>
      <c r="G33" s="203"/>
      <c r="H33" s="256">
        <f>H32*F33</f>
        <v>56416.336600000002</v>
      </c>
      <c r="I33" s="245"/>
      <c r="J33" s="256">
        <f t="shared" si="2"/>
        <v>1197.6770000000033</v>
      </c>
      <c r="K33" s="206">
        <f t="shared" si="1"/>
        <v>2.1689715191855242E-2</v>
      </c>
    </row>
    <row r="34" spans="1:11" ht="15" x14ac:dyDescent="0.25">
      <c r="A34" s="207" t="s">
        <v>207</v>
      </c>
      <c r="B34" s="203"/>
      <c r="C34" s="201"/>
      <c r="D34" s="256">
        <f>D32+D33</f>
        <v>479977.5796</v>
      </c>
      <c r="E34" s="201"/>
      <c r="F34" s="203"/>
      <c r="G34" s="203"/>
      <c r="H34" s="256">
        <f>H32+H33</f>
        <v>490388.15659999999</v>
      </c>
      <c r="I34" s="245"/>
      <c r="J34" s="256">
        <f t="shared" si="2"/>
        <v>10410.57699999999</v>
      </c>
      <c r="K34" s="206">
        <f t="shared" si="1"/>
        <v>2.1689715191855162E-2</v>
      </c>
    </row>
    <row r="35" spans="1:11" ht="15" x14ac:dyDescent="0.25">
      <c r="A35" s="209" t="s">
        <v>208</v>
      </c>
      <c r="B35" s="203"/>
      <c r="C35" s="201"/>
      <c r="D35" s="256">
        <v>0</v>
      </c>
      <c r="E35" s="201"/>
      <c r="F35" s="316"/>
      <c r="G35" s="316"/>
      <c r="H35" s="318"/>
      <c r="I35" s="245"/>
      <c r="J35" s="318"/>
      <c r="K35" s="314"/>
    </row>
    <row r="36" spans="1:11" ht="15.75" thickBot="1" x14ac:dyDescent="0.3">
      <c r="A36" s="210" t="s">
        <v>209</v>
      </c>
      <c r="B36" s="211"/>
      <c r="C36" s="212"/>
      <c r="D36" s="248">
        <f>D34+D35</f>
        <v>479977.5796</v>
      </c>
      <c r="E36" s="255"/>
      <c r="F36" s="215"/>
      <c r="G36" s="215"/>
      <c r="H36" s="248">
        <f>H34+H35</f>
        <v>490388.15659999999</v>
      </c>
      <c r="I36" s="250"/>
      <c r="J36" s="248">
        <f t="shared" si="2"/>
        <v>10410.57699999999</v>
      </c>
      <c r="K36" s="165">
        <f t="shared" si="1"/>
        <v>2.1689715191855162E-2</v>
      </c>
    </row>
    <row r="37" spans="1:11" ht="15.75" thickBot="1" x14ac:dyDescent="0.3">
      <c r="A37" s="184"/>
      <c r="B37" s="216"/>
      <c r="C37" s="217"/>
      <c r="D37" s="257"/>
      <c r="E37" s="258"/>
      <c r="F37" s="216"/>
      <c r="G37" s="221"/>
      <c r="H37" s="259"/>
      <c r="I37" s="258"/>
      <c r="J37" s="260"/>
      <c r="K37" s="224"/>
    </row>
    <row r="39" spans="1:11" ht="15" x14ac:dyDescent="0.25">
      <c r="H39" s="304"/>
      <c r="I39" s="304"/>
      <c r="J39" s="304"/>
      <c r="K39" s="266"/>
    </row>
    <row r="41" spans="1:11" ht="16.5" customHeight="1" x14ac:dyDescent="0.3"/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68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FFFF00"/>
    <pageSetUpPr fitToPage="1"/>
  </sheetPr>
  <dimension ref="A1:K36"/>
  <sheetViews>
    <sheetView workbookViewId="0">
      <selection activeCell="F16" sqref="F16"/>
    </sheetView>
  </sheetViews>
  <sheetFormatPr defaultRowHeight="14.4" x14ac:dyDescent="0.3"/>
  <cols>
    <col min="1" max="1" width="54.109375" bestFit="1" customWidth="1"/>
    <col min="2" max="2" width="13.109375" customWidth="1"/>
    <col min="3" max="3" width="8" bestFit="1" customWidth="1"/>
    <col min="4" max="4" width="7.5546875" bestFit="1" customWidth="1"/>
    <col min="6" max="6" width="11" bestFit="1" customWidth="1"/>
    <col min="7" max="7" width="8" bestFit="1" customWidth="1"/>
    <col min="8" max="8" width="11.6640625" customWidth="1"/>
    <col min="10" max="10" width="9.5546875" bestFit="1" customWidth="1"/>
    <col min="11" max="11" width="11.109375" customWidth="1"/>
  </cols>
  <sheetData>
    <row r="1" spans="1:11" ht="15.75" x14ac:dyDescent="0.25">
      <c r="A1" s="119" t="s">
        <v>174</v>
      </c>
      <c r="B1" s="120" t="s">
        <v>220</v>
      </c>
      <c r="C1" s="120"/>
      <c r="D1" s="231"/>
      <c r="E1" s="231"/>
      <c r="F1" s="231"/>
      <c r="G1" s="231"/>
      <c r="H1" s="231"/>
      <c r="I1" s="231"/>
      <c r="J1" s="231"/>
      <c r="K1" s="233"/>
    </row>
    <row r="2" spans="1:11" ht="15.75" x14ac:dyDescent="0.25">
      <c r="A2" s="119" t="s">
        <v>176</v>
      </c>
      <c r="B2" s="121">
        <f>3.6/100</f>
        <v>3.6000000000000004E-2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x14ac:dyDescent="0.25">
      <c r="A3" s="119" t="s">
        <v>177</v>
      </c>
      <c r="B3" s="123">
        <v>33</v>
      </c>
      <c r="C3" s="124" t="s">
        <v>178</v>
      </c>
      <c r="D3" s="234"/>
      <c r="E3" s="234"/>
      <c r="F3" s="234"/>
      <c r="G3" s="234"/>
      <c r="H3" s="234"/>
      <c r="I3" s="234"/>
      <c r="J3" s="234"/>
      <c r="K3" s="234"/>
    </row>
    <row r="4" spans="1:11" ht="15" x14ac:dyDescent="0.25">
      <c r="A4" s="230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 ht="15" x14ac:dyDescent="0.25">
      <c r="A5" s="127" t="s">
        <v>180</v>
      </c>
      <c r="B5" s="128">
        <v>0.1</v>
      </c>
      <c r="C5" s="129" t="s">
        <v>181</v>
      </c>
      <c r="D5" s="234"/>
      <c r="E5" s="234"/>
      <c r="F5" s="234"/>
      <c r="G5" s="234"/>
      <c r="H5" s="234"/>
      <c r="I5" s="234"/>
      <c r="J5" s="234"/>
      <c r="K5" s="234"/>
    </row>
    <row r="6" spans="1:11" ht="15" x14ac:dyDescent="0.25">
      <c r="A6" s="130"/>
      <c r="B6" s="339" t="s">
        <v>182</v>
      </c>
      <c r="C6" s="340"/>
      <c r="D6" s="341"/>
      <c r="E6" s="242"/>
      <c r="F6" s="339" t="s">
        <v>8</v>
      </c>
      <c r="G6" s="340"/>
      <c r="H6" s="341"/>
      <c r="I6" s="242"/>
      <c r="J6" s="339" t="s">
        <v>183</v>
      </c>
      <c r="K6" s="341"/>
    </row>
    <row r="7" spans="1:11" ht="15" x14ac:dyDescent="0.25">
      <c r="A7" s="130"/>
      <c r="B7" s="132" t="s">
        <v>184</v>
      </c>
      <c r="C7" s="132" t="s">
        <v>185</v>
      </c>
      <c r="D7" s="243" t="s">
        <v>186</v>
      </c>
      <c r="E7" s="244"/>
      <c r="F7" s="132" t="s">
        <v>184</v>
      </c>
      <c r="G7" s="135" t="s">
        <v>185</v>
      </c>
      <c r="H7" s="132" t="s">
        <v>186</v>
      </c>
      <c r="I7" s="244"/>
      <c r="J7" s="138" t="s">
        <v>187</v>
      </c>
      <c r="K7" s="138" t="s">
        <v>188</v>
      </c>
    </row>
    <row r="8" spans="1:11" ht="15" x14ac:dyDescent="0.25">
      <c r="A8" s="130"/>
      <c r="B8" s="139" t="s">
        <v>189</v>
      </c>
      <c r="C8" s="139"/>
      <c r="D8" s="141" t="s">
        <v>189</v>
      </c>
      <c r="E8" s="244"/>
      <c r="F8" s="139" t="s">
        <v>189</v>
      </c>
      <c r="G8" s="141"/>
      <c r="H8" s="139" t="s">
        <v>189</v>
      </c>
      <c r="I8" s="244"/>
      <c r="J8" s="144"/>
      <c r="K8" s="144"/>
    </row>
    <row r="9" spans="1:11" ht="15" x14ac:dyDescent="0.25">
      <c r="A9" s="145" t="s">
        <v>18</v>
      </c>
      <c r="B9" s="146">
        <f>ROUND('January 01, 2016 Rates'!G120,2)</f>
        <v>1.41</v>
      </c>
      <c r="C9" s="147">
        <v>1</v>
      </c>
      <c r="D9" s="205">
        <f t="shared" ref="D9:D14" si="0">C9*B9</f>
        <v>1.41</v>
      </c>
      <c r="E9" s="245"/>
      <c r="F9" s="146">
        <f>ROUND('January 01, 2016 Rates'!F120,2)</f>
        <v>1.44</v>
      </c>
      <c r="G9" s="150">
        <v>1</v>
      </c>
      <c r="H9" s="205">
        <f t="shared" ref="H9:H14" si="1">G9*F9</f>
        <v>1.44</v>
      </c>
      <c r="I9" s="245"/>
      <c r="J9" s="246">
        <f>H9-D9</f>
        <v>3.0000000000000027E-2</v>
      </c>
      <c r="K9" s="152">
        <f t="shared" ref="K9:K35" si="2">IF((D9)=0,"",(J9/D9))</f>
        <v>2.1276595744680871E-2</v>
      </c>
    </row>
    <row r="10" spans="1:11" ht="15" x14ac:dyDescent="0.25">
      <c r="A10" s="145" t="s">
        <v>26</v>
      </c>
      <c r="B10" s="153">
        <f>ROUND('January 01, 2016 Rates'!G122,4)</f>
        <v>10.773199999999999</v>
      </c>
      <c r="C10" s="154">
        <f>+B5</f>
        <v>0.1</v>
      </c>
      <c r="D10" s="205">
        <f t="shared" si="0"/>
        <v>1.0773200000000001</v>
      </c>
      <c r="E10" s="245"/>
      <c r="F10" s="153">
        <f>ROUND('January 01, 2016 Rates'!F122,4)</f>
        <v>10.9833</v>
      </c>
      <c r="G10" s="156">
        <f>C10</f>
        <v>0.1</v>
      </c>
      <c r="H10" s="205">
        <f t="shared" si="1"/>
        <v>1.09833</v>
      </c>
      <c r="I10" s="245"/>
      <c r="J10" s="246">
        <f t="shared" ref="J10:J35" si="3">H10-D10</f>
        <v>2.1009999999999973E-2</v>
      </c>
      <c r="K10" s="152">
        <f t="shared" si="2"/>
        <v>1.950209779824005E-2</v>
      </c>
    </row>
    <row r="11" spans="1:11" ht="15" x14ac:dyDescent="0.25">
      <c r="A11" s="145" t="s">
        <v>264</v>
      </c>
      <c r="B11" s="153">
        <v>0</v>
      </c>
      <c r="C11" s="154">
        <f>+B5</f>
        <v>0.1</v>
      </c>
      <c r="D11" s="205">
        <f t="shared" si="0"/>
        <v>0</v>
      </c>
      <c r="E11" s="245"/>
      <c r="F11" s="153">
        <f>ROUND('January 01, 2016 Rates'!F127,4)</f>
        <v>5.1999999999999998E-3</v>
      </c>
      <c r="G11" s="156">
        <f>C11</f>
        <v>0.1</v>
      </c>
      <c r="H11" s="205">
        <f t="shared" si="1"/>
        <v>5.1999999999999995E-4</v>
      </c>
      <c r="I11" s="245"/>
      <c r="J11" s="246">
        <f t="shared" si="3"/>
        <v>5.1999999999999995E-4</v>
      </c>
      <c r="K11" s="152" t="str">
        <f t="shared" si="2"/>
        <v/>
      </c>
    </row>
    <row r="12" spans="1:11" ht="15" x14ac:dyDescent="0.25">
      <c r="A12" s="145" t="s">
        <v>265</v>
      </c>
      <c r="B12" s="153">
        <v>0</v>
      </c>
      <c r="C12" s="154">
        <v>1</v>
      </c>
      <c r="D12" s="205">
        <f t="shared" si="0"/>
        <v>0</v>
      </c>
      <c r="E12" s="245"/>
      <c r="F12" s="146"/>
      <c r="G12" s="156">
        <f>C12</f>
        <v>1</v>
      </c>
      <c r="H12" s="205">
        <f t="shared" si="1"/>
        <v>0</v>
      </c>
      <c r="I12" s="245"/>
      <c r="J12" s="246">
        <f t="shared" ref="J12:J13" si="4">H12-D12</f>
        <v>0</v>
      </c>
      <c r="K12" s="152" t="str">
        <f t="shared" ref="K12:K13" si="5">IF((D12)=0,"",(J12/D12))</f>
        <v/>
      </c>
    </row>
    <row r="13" spans="1:11" ht="15" x14ac:dyDescent="0.25">
      <c r="A13" s="145" t="s">
        <v>266</v>
      </c>
      <c r="B13" s="153">
        <v>0</v>
      </c>
      <c r="C13" s="154">
        <f>B5</f>
        <v>0.1</v>
      </c>
      <c r="D13" s="205">
        <f t="shared" si="0"/>
        <v>0</v>
      </c>
      <c r="E13" s="245"/>
      <c r="F13" s="146"/>
      <c r="G13" s="156">
        <f>C13</f>
        <v>0.1</v>
      </c>
      <c r="H13" s="205">
        <f t="shared" si="1"/>
        <v>0</v>
      </c>
      <c r="I13" s="245"/>
      <c r="J13" s="246">
        <f t="shared" si="4"/>
        <v>0</v>
      </c>
      <c r="K13" s="152" t="str">
        <f t="shared" si="5"/>
        <v/>
      </c>
    </row>
    <row r="14" spans="1:11" ht="15" x14ac:dyDescent="0.25">
      <c r="A14" s="168" t="s">
        <v>274</v>
      </c>
      <c r="B14" s="153">
        <v>0</v>
      </c>
      <c r="C14" s="167">
        <f>B5</f>
        <v>0.1</v>
      </c>
      <c r="D14" s="205">
        <f t="shared" si="0"/>
        <v>0</v>
      </c>
      <c r="E14" s="245"/>
      <c r="F14" s="153">
        <f>ROUND('January 01, 2016 Rates'!F125,4)</f>
        <v>0.14069999999999999</v>
      </c>
      <c r="G14" s="167">
        <f>C14</f>
        <v>0.1</v>
      </c>
      <c r="H14" s="205">
        <f t="shared" si="1"/>
        <v>1.4069999999999999E-2</v>
      </c>
      <c r="I14" s="245"/>
      <c r="J14" s="246">
        <f t="shared" ref="J14" si="6">H14-D14</f>
        <v>1.4069999999999999E-2</v>
      </c>
      <c r="K14" s="152" t="str">
        <f t="shared" ref="K14" si="7">IF((D14)=0,"",(J14/D14))</f>
        <v/>
      </c>
    </row>
    <row r="15" spans="1:11" ht="15" x14ac:dyDescent="0.25">
      <c r="A15" s="169" t="s">
        <v>190</v>
      </c>
      <c r="B15" s="170"/>
      <c r="C15" s="171"/>
      <c r="D15" s="175">
        <f>SUM(D9:D14)</f>
        <v>2.48732</v>
      </c>
      <c r="E15" s="245"/>
      <c r="F15" s="170"/>
      <c r="G15" s="174"/>
      <c r="H15" s="175">
        <f>SUM(H9:H14)</f>
        <v>2.5529199999999999</v>
      </c>
      <c r="I15" s="245"/>
      <c r="J15" s="249">
        <f t="shared" si="3"/>
        <v>6.5599999999999881E-2</v>
      </c>
      <c r="K15" s="176">
        <f t="shared" si="2"/>
        <v>2.6373767750028095E-2</v>
      </c>
    </row>
    <row r="16" spans="1:11" ht="15" x14ac:dyDescent="0.25">
      <c r="A16" s="166" t="s">
        <v>251</v>
      </c>
      <c r="B16" s="153">
        <f>ROUND('January 01, 2016 Rates'!G123+'January 01, 2016 Rates'!G124,4)</f>
        <v>0</v>
      </c>
      <c r="C16" s="167">
        <f>+B5</f>
        <v>0.1</v>
      </c>
      <c r="D16" s="205">
        <f>C16*B16</f>
        <v>0</v>
      </c>
      <c r="E16" s="245"/>
      <c r="F16" s="153">
        <f>ROUND('January 01, 2016 Rates'!F123+'January 01, 2016 Rates'!F124,4)</f>
        <v>1.387</v>
      </c>
      <c r="G16" s="167">
        <f>C16</f>
        <v>0.1</v>
      </c>
      <c r="H16" s="205">
        <f>G16*F16</f>
        <v>0.13870000000000002</v>
      </c>
      <c r="I16" s="245"/>
      <c r="J16" s="246">
        <f t="shared" si="3"/>
        <v>0.13870000000000002</v>
      </c>
      <c r="K16" s="152" t="str">
        <f t="shared" si="2"/>
        <v/>
      </c>
    </row>
    <row r="17" spans="1:11" ht="15" x14ac:dyDescent="0.25">
      <c r="A17" s="168" t="s">
        <v>192</v>
      </c>
      <c r="B17" s="153">
        <f>ROUND('January 01, 2016 Rates'!G126,4)</f>
        <v>5.8000000000000003E-2</v>
      </c>
      <c r="C17" s="167">
        <f>+B5</f>
        <v>0.1</v>
      </c>
      <c r="D17" s="205">
        <f>C17*B17</f>
        <v>5.8000000000000005E-3</v>
      </c>
      <c r="E17" s="245"/>
      <c r="F17" s="153">
        <f>ROUND('January 01, 2016 Rates'!F126,4)</f>
        <v>5.8000000000000003E-2</v>
      </c>
      <c r="G17" s="167">
        <f>C17</f>
        <v>0.1</v>
      </c>
      <c r="H17" s="205">
        <f>G17*F17</f>
        <v>5.8000000000000005E-3</v>
      </c>
      <c r="I17" s="245"/>
      <c r="J17" s="246">
        <f t="shared" si="3"/>
        <v>0</v>
      </c>
      <c r="K17" s="152">
        <f t="shared" si="2"/>
        <v>0</v>
      </c>
    </row>
    <row r="18" spans="1:11" ht="15" x14ac:dyDescent="0.25">
      <c r="A18" s="168" t="s">
        <v>193</v>
      </c>
      <c r="B18" s="153">
        <v>0</v>
      </c>
      <c r="C18" s="167">
        <v>1</v>
      </c>
      <c r="D18" s="205">
        <f>C18*B18</f>
        <v>0</v>
      </c>
      <c r="E18" s="245"/>
      <c r="F18" s="153">
        <v>0</v>
      </c>
      <c r="G18" s="167">
        <f>C18</f>
        <v>1</v>
      </c>
      <c r="H18" s="205">
        <f>G18*F18</f>
        <v>0</v>
      </c>
      <c r="I18" s="245"/>
      <c r="J18" s="246">
        <f t="shared" si="3"/>
        <v>0</v>
      </c>
      <c r="K18" s="152" t="str">
        <f t="shared" si="2"/>
        <v/>
      </c>
    </row>
    <row r="19" spans="1:11" ht="15" x14ac:dyDescent="0.25">
      <c r="A19" s="169" t="s">
        <v>194</v>
      </c>
      <c r="B19" s="170"/>
      <c r="C19" s="171"/>
      <c r="D19" s="175">
        <f>SUM(D15:D18)</f>
        <v>2.4931199999999998</v>
      </c>
      <c r="E19" s="245"/>
      <c r="F19" s="170"/>
      <c r="G19" s="174"/>
      <c r="H19" s="175">
        <f>SUM(H15:H18)</f>
        <v>2.6974199999999997</v>
      </c>
      <c r="I19" s="245"/>
      <c r="J19" s="249">
        <f t="shared" si="3"/>
        <v>0.20429999999999993</v>
      </c>
      <c r="K19" s="176">
        <f t="shared" si="2"/>
        <v>8.1945514054678453E-2</v>
      </c>
    </row>
    <row r="20" spans="1:11" ht="15" x14ac:dyDescent="0.25">
      <c r="A20" s="177" t="s">
        <v>195</v>
      </c>
      <c r="B20" s="153">
        <f>ROUND('January 01, 2016 Rates'!G129,4)</f>
        <v>2.0270999999999999</v>
      </c>
      <c r="C20" s="178">
        <f>+B5</f>
        <v>0.1</v>
      </c>
      <c r="D20" s="205">
        <f>C20*B20</f>
        <v>0.20271</v>
      </c>
      <c r="E20" s="245"/>
      <c r="F20" s="153">
        <f>ROUND('January 01, 2016 Rates'!F129,4)</f>
        <v>1.9265000000000001</v>
      </c>
      <c r="G20" s="179">
        <f>C20</f>
        <v>0.1</v>
      </c>
      <c r="H20" s="205">
        <f>G20*F20</f>
        <v>0.19265000000000002</v>
      </c>
      <c r="I20" s="245"/>
      <c r="J20" s="246">
        <f t="shared" si="3"/>
        <v>-1.0059999999999986E-2</v>
      </c>
      <c r="K20" s="152">
        <f t="shared" si="2"/>
        <v>-4.9627546741650562E-2</v>
      </c>
    </row>
    <row r="21" spans="1:11" ht="15" x14ac:dyDescent="0.25">
      <c r="A21" s="180" t="s">
        <v>196</v>
      </c>
      <c r="B21" s="153">
        <f>ROUND('January 01, 2016 Rates'!G130,4)</f>
        <v>1.5879000000000001</v>
      </c>
      <c r="C21" s="178">
        <f>+B5</f>
        <v>0.1</v>
      </c>
      <c r="D21" s="205">
        <f>C21*B21</f>
        <v>0.15879000000000001</v>
      </c>
      <c r="E21" s="245"/>
      <c r="F21" s="153">
        <f>ROUND('January 01, 2016 Rates'!F130,4)</f>
        <v>1.6456</v>
      </c>
      <c r="G21" s="179">
        <f>C21</f>
        <v>0.1</v>
      </c>
      <c r="H21" s="205">
        <f>G21*F21</f>
        <v>0.16456000000000001</v>
      </c>
      <c r="I21" s="245"/>
      <c r="J21" s="246">
        <f t="shared" si="3"/>
        <v>5.7699999999999974E-3</v>
      </c>
      <c r="K21" s="152">
        <f t="shared" si="2"/>
        <v>3.6337300837584213E-2</v>
      </c>
    </row>
    <row r="22" spans="1:11" ht="15" x14ac:dyDescent="0.25">
      <c r="A22" s="169" t="s">
        <v>197</v>
      </c>
      <c r="B22" s="170"/>
      <c r="C22" s="171"/>
      <c r="D22" s="175">
        <f>SUM(D19:D21)</f>
        <v>2.8546200000000002</v>
      </c>
      <c r="E22" s="250"/>
      <c r="F22" s="251"/>
      <c r="G22" s="183"/>
      <c r="H22" s="175">
        <f>SUM(H19:H21)</f>
        <v>3.0546299999999995</v>
      </c>
      <c r="I22" s="250"/>
      <c r="J22" s="249">
        <f t="shared" si="3"/>
        <v>0.20000999999999935</v>
      </c>
      <c r="K22" s="176">
        <f t="shared" si="2"/>
        <v>7.0065367719696264E-2</v>
      </c>
    </row>
    <row r="23" spans="1:11" ht="15" x14ac:dyDescent="0.25">
      <c r="A23" s="168" t="s">
        <v>198</v>
      </c>
      <c r="B23" s="153">
        <f>ROUND('January 01, 2016 Rates'!G131,4)</f>
        <v>4.4000000000000003E-3</v>
      </c>
      <c r="C23" s="178">
        <f>$B$3*(1+$B$2)</f>
        <v>34.188000000000002</v>
      </c>
      <c r="D23" s="205">
        <f t="shared" ref="D23:D28" si="8">C23*B23</f>
        <v>0.15042720000000001</v>
      </c>
      <c r="E23" s="245"/>
      <c r="F23" s="153">
        <f>ROUND('January 01, 2016 Rates'!F131,4)</f>
        <v>3.5999999999999999E-3</v>
      </c>
      <c r="G23" s="179">
        <f>+C23</f>
        <v>34.188000000000002</v>
      </c>
      <c r="H23" s="205">
        <f t="shared" ref="H23:H28" si="9">G23*F23</f>
        <v>0.1230768</v>
      </c>
      <c r="I23" s="245"/>
      <c r="J23" s="246">
        <f t="shared" si="3"/>
        <v>-2.7350400000000011E-2</v>
      </c>
      <c r="K23" s="152">
        <f t="shared" si="2"/>
        <v>-0.18181818181818188</v>
      </c>
    </row>
    <row r="24" spans="1:11" ht="15" x14ac:dyDescent="0.25">
      <c r="A24" s="168" t="s">
        <v>199</v>
      </c>
      <c r="B24" s="153">
        <f>ROUND('January 01, 2016 Rates'!G132,4)</f>
        <v>1.2999999999999999E-3</v>
      </c>
      <c r="C24" s="178">
        <f>C23</f>
        <v>34.188000000000002</v>
      </c>
      <c r="D24" s="205">
        <f t="shared" si="8"/>
        <v>4.4444400000000002E-2</v>
      </c>
      <c r="E24" s="245"/>
      <c r="F24" s="153">
        <f>ROUND('January 01, 2016 Rates'!F132,4)</f>
        <v>1.2999999999999999E-3</v>
      </c>
      <c r="G24" s="179">
        <f>C24</f>
        <v>34.188000000000002</v>
      </c>
      <c r="H24" s="205">
        <f t="shared" si="9"/>
        <v>4.4444400000000002E-2</v>
      </c>
      <c r="I24" s="245"/>
      <c r="J24" s="246">
        <f t="shared" si="3"/>
        <v>0</v>
      </c>
      <c r="K24" s="152">
        <f t="shared" si="2"/>
        <v>0</v>
      </c>
    </row>
    <row r="25" spans="1:11" ht="15" x14ac:dyDescent="0.25">
      <c r="A25" s="168" t="s">
        <v>200</v>
      </c>
      <c r="B25" s="153">
        <f>ROUND('January 01, 2016 Rates'!G135,4)</f>
        <v>0.25</v>
      </c>
      <c r="C25" s="178">
        <v>1</v>
      </c>
      <c r="D25" s="205">
        <f t="shared" si="8"/>
        <v>0.25</v>
      </c>
      <c r="E25" s="245"/>
      <c r="F25" s="153">
        <f>ROUND('January 01, 2016 Rates'!F135,4)</f>
        <v>0.25</v>
      </c>
      <c r="G25" s="179">
        <f>C25</f>
        <v>1</v>
      </c>
      <c r="H25" s="205">
        <f t="shared" si="9"/>
        <v>0.25</v>
      </c>
      <c r="I25" s="245"/>
      <c r="J25" s="246">
        <f t="shared" si="3"/>
        <v>0</v>
      </c>
      <c r="K25" s="152">
        <f t="shared" si="2"/>
        <v>0</v>
      </c>
    </row>
    <row r="26" spans="1:11" ht="15" x14ac:dyDescent="0.25">
      <c r="A26" s="168" t="s">
        <v>201</v>
      </c>
      <c r="B26" s="153">
        <f>ROUND('January 01, 2016 Rates'!G134,4)</f>
        <v>7.0000000000000001E-3</v>
      </c>
      <c r="C26" s="178">
        <f>+B3</f>
        <v>33</v>
      </c>
      <c r="D26" s="205">
        <f t="shared" si="8"/>
        <v>0.23100000000000001</v>
      </c>
      <c r="E26" s="245"/>
      <c r="F26" s="153">
        <f>ROUND('January 01, 2016 Rates'!G134,4)</f>
        <v>7.0000000000000001E-3</v>
      </c>
      <c r="G26" s="179">
        <f>C26</f>
        <v>33</v>
      </c>
      <c r="H26" s="205">
        <f t="shared" ref="H26" si="10">G26*F26</f>
        <v>0.23100000000000001</v>
      </c>
      <c r="I26" s="245"/>
      <c r="J26" s="246">
        <f t="shared" ref="J26" si="11">H26-D26</f>
        <v>0</v>
      </c>
      <c r="K26" s="152">
        <f t="shared" ref="K26" si="12">IF((D26)=0,"",(J26/D26))</f>
        <v>0</v>
      </c>
    </row>
    <row r="27" spans="1:11" ht="15" x14ac:dyDescent="0.25">
      <c r="A27" s="307" t="s">
        <v>263</v>
      </c>
      <c r="B27" s="308"/>
      <c r="C27" s="309"/>
      <c r="D27" s="310"/>
      <c r="E27" s="147"/>
      <c r="F27" s="288">
        <f>ROUND('January 01, 2016 Rates'!F133,4)</f>
        <v>1.1000000000000001E-3</v>
      </c>
      <c r="G27" s="178">
        <f>$B$3*(1+$B$2)</f>
        <v>34.188000000000002</v>
      </c>
      <c r="H27" s="148">
        <f t="shared" si="9"/>
        <v>3.7606800000000003E-2</v>
      </c>
      <c r="I27" s="147"/>
      <c r="J27" s="313"/>
      <c r="K27" s="314"/>
    </row>
    <row r="28" spans="1:11" ht="15" x14ac:dyDescent="0.25">
      <c r="A28" s="168" t="s">
        <v>215</v>
      </c>
      <c r="B28" s="153">
        <v>9.4E-2</v>
      </c>
      <c r="C28" s="178">
        <f>+B3</f>
        <v>33</v>
      </c>
      <c r="D28" s="205">
        <f t="shared" si="8"/>
        <v>3.1019999999999999</v>
      </c>
      <c r="E28" s="245"/>
      <c r="F28" s="153">
        <v>9.4E-2</v>
      </c>
      <c r="G28" s="178">
        <f>C28</f>
        <v>33</v>
      </c>
      <c r="H28" s="205">
        <f t="shared" si="9"/>
        <v>3.1019999999999999</v>
      </c>
      <c r="I28" s="245"/>
      <c r="J28" s="246">
        <f t="shared" si="3"/>
        <v>0</v>
      </c>
      <c r="K28" s="152">
        <f t="shared" si="2"/>
        <v>0</v>
      </c>
    </row>
    <row r="29" spans="1:11" ht="15.75" thickBot="1" x14ac:dyDescent="0.3">
      <c r="A29" s="168" t="s">
        <v>215</v>
      </c>
      <c r="B29" s="153">
        <v>0.11</v>
      </c>
      <c r="C29" s="178">
        <f>+ROUND(C23-C28,0)</f>
        <v>1</v>
      </c>
      <c r="D29" s="205">
        <f>+C29*B29</f>
        <v>0.11</v>
      </c>
      <c r="E29" s="245"/>
      <c r="F29" s="153">
        <v>0.11</v>
      </c>
      <c r="G29" s="178">
        <f>C29</f>
        <v>1</v>
      </c>
      <c r="H29" s="205">
        <f>+G29*F29</f>
        <v>0.11</v>
      </c>
      <c r="I29" s="245"/>
      <c r="J29" s="246">
        <f t="shared" si="3"/>
        <v>0</v>
      </c>
      <c r="K29" s="152">
        <f t="shared" si="2"/>
        <v>0</v>
      </c>
    </row>
    <row r="30" spans="1:11" ht="15.75" thickBot="1" x14ac:dyDescent="0.3">
      <c r="A30" s="184"/>
      <c r="B30" s="185"/>
      <c r="C30" s="186"/>
      <c r="D30" s="189"/>
      <c r="E30" s="245"/>
      <c r="F30" s="252"/>
      <c r="G30" s="188"/>
      <c r="H30" s="189"/>
      <c r="I30" s="245"/>
      <c r="J30" s="253"/>
      <c r="K30" s="190"/>
    </row>
    <row r="31" spans="1:11" ht="15" x14ac:dyDescent="0.25">
      <c r="A31" s="191" t="s">
        <v>205</v>
      </c>
      <c r="B31" s="192"/>
      <c r="C31" s="193"/>
      <c r="D31" s="254">
        <f>SUM(D22:D29)</f>
        <v>6.7424916000000001</v>
      </c>
      <c r="E31" s="255"/>
      <c r="F31" s="197"/>
      <c r="G31" s="197"/>
      <c r="H31" s="254">
        <f>SUM(H22:H29)</f>
        <v>6.9527580000000002</v>
      </c>
      <c r="I31" s="250"/>
      <c r="J31" s="254">
        <f>H31-D31</f>
        <v>0.21026640000000008</v>
      </c>
      <c r="K31" s="199">
        <f>IF((D31)=0,"",(J31/D31))</f>
        <v>3.1185266882646182E-2</v>
      </c>
    </row>
    <row r="32" spans="1:11" ht="15" x14ac:dyDescent="0.25">
      <c r="A32" s="200" t="s">
        <v>206</v>
      </c>
      <c r="B32" s="192">
        <v>0.13</v>
      </c>
      <c r="C32" s="201"/>
      <c r="D32" s="256">
        <f>D31*B32</f>
        <v>0.87652390800000002</v>
      </c>
      <c r="E32" s="201"/>
      <c r="F32" s="192">
        <v>0.13</v>
      </c>
      <c r="G32" s="203"/>
      <c r="H32" s="256">
        <f>H31*F32</f>
        <v>0.9038585400000001</v>
      </c>
      <c r="I32" s="245"/>
      <c r="J32" s="256">
        <f t="shared" si="3"/>
        <v>2.7334632000000081E-2</v>
      </c>
      <c r="K32" s="206">
        <f t="shared" si="2"/>
        <v>3.1185266882646265E-2</v>
      </c>
    </row>
    <row r="33" spans="1:11" ht="15" x14ac:dyDescent="0.25">
      <c r="A33" s="207" t="s">
        <v>207</v>
      </c>
      <c r="B33" s="203"/>
      <c r="C33" s="201"/>
      <c r="D33" s="256">
        <f>D31+D32</f>
        <v>7.6190155080000004</v>
      </c>
      <c r="E33" s="201"/>
      <c r="F33" s="203"/>
      <c r="G33" s="203"/>
      <c r="H33" s="256">
        <f>H31+H32</f>
        <v>7.8566165400000001</v>
      </c>
      <c r="I33" s="245"/>
      <c r="J33" s="256">
        <f t="shared" si="3"/>
        <v>0.23760103199999971</v>
      </c>
      <c r="K33" s="206">
        <f t="shared" si="2"/>
        <v>3.1185266882646133E-2</v>
      </c>
    </row>
    <row r="34" spans="1:11" ht="15" x14ac:dyDescent="0.25">
      <c r="A34" s="209" t="s">
        <v>208</v>
      </c>
      <c r="B34" s="203"/>
      <c r="C34" s="201"/>
      <c r="D34" s="256">
        <v>0</v>
      </c>
      <c r="E34" s="201"/>
      <c r="F34" s="316"/>
      <c r="G34" s="316"/>
      <c r="H34" s="318"/>
      <c r="I34" s="245"/>
      <c r="J34" s="318"/>
      <c r="K34" s="314"/>
    </row>
    <row r="35" spans="1:11" ht="15.75" thickBot="1" x14ac:dyDescent="0.3">
      <c r="A35" s="210" t="s">
        <v>209</v>
      </c>
      <c r="B35" s="211"/>
      <c r="C35" s="212"/>
      <c r="D35" s="248">
        <f>D33+D34</f>
        <v>7.6190155080000004</v>
      </c>
      <c r="E35" s="255"/>
      <c r="F35" s="215"/>
      <c r="G35" s="215"/>
      <c r="H35" s="248">
        <f>H33+H34</f>
        <v>7.8566165400000001</v>
      </c>
      <c r="I35" s="250"/>
      <c r="J35" s="248">
        <f t="shared" si="3"/>
        <v>0.23760103199999971</v>
      </c>
      <c r="K35" s="165">
        <f t="shared" si="2"/>
        <v>3.1185266882646133E-2</v>
      </c>
    </row>
    <row r="36" spans="1:11" ht="15.75" thickBot="1" x14ac:dyDescent="0.3">
      <c r="A36" s="184"/>
      <c r="B36" s="216"/>
      <c r="C36" s="217"/>
      <c r="D36" s="257"/>
      <c r="E36" s="258"/>
      <c r="F36" s="216"/>
      <c r="G36" s="221"/>
      <c r="H36" s="259"/>
      <c r="I36" s="258"/>
      <c r="J36" s="260"/>
      <c r="K36" s="224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2"/>
  <sheetViews>
    <sheetView tabSelected="1" workbookViewId="0">
      <selection activeCell="E33" sqref="E33"/>
    </sheetView>
  </sheetViews>
  <sheetFormatPr defaultRowHeight="14.4" x14ac:dyDescent="0.3"/>
  <cols>
    <col min="2" max="2" width="48.109375" bestFit="1" customWidth="1"/>
    <col min="3" max="3" width="11.5546875" bestFit="1" customWidth="1"/>
    <col min="4" max="4" width="9" bestFit="1" customWidth="1"/>
    <col min="5" max="5" width="55.6640625" bestFit="1" customWidth="1"/>
  </cols>
  <sheetData>
    <row r="1" spans="1:5" ht="18.75" x14ac:dyDescent="0.3">
      <c r="A1" s="262" t="s">
        <v>221</v>
      </c>
    </row>
    <row r="2" spans="1:5" ht="18.75" x14ac:dyDescent="0.3">
      <c r="A2" s="262" t="s">
        <v>222</v>
      </c>
    </row>
    <row r="3" spans="1:5" ht="18.75" x14ac:dyDescent="0.3">
      <c r="A3" s="262" t="s">
        <v>249</v>
      </c>
    </row>
    <row r="4" spans="1:5" ht="18.75" x14ac:dyDescent="0.3">
      <c r="A4" s="262"/>
    </row>
    <row r="5" spans="1:5" ht="15" x14ac:dyDescent="0.25">
      <c r="C5" s="263" t="s">
        <v>223</v>
      </c>
      <c r="D5" s="263" t="s">
        <v>224</v>
      </c>
      <c r="E5" s="263" t="s">
        <v>5</v>
      </c>
    </row>
    <row r="6" spans="1:5" ht="18.75" x14ac:dyDescent="0.3">
      <c r="B6" s="262" t="s">
        <v>225</v>
      </c>
    </row>
    <row r="7" spans="1:5" ht="15.75" x14ac:dyDescent="0.25">
      <c r="B7" s="264" t="s">
        <v>276</v>
      </c>
      <c r="C7" s="265">
        <f>+'Bill Impact- Res RPP'!J37</f>
        <v>9.0389631999999551</v>
      </c>
      <c r="D7" s="266">
        <f>+'Bill Impact- Res RPP'!K37</f>
        <v>6.760195667050356E-2</v>
      </c>
      <c r="E7" t="s">
        <v>227</v>
      </c>
    </row>
    <row r="8" spans="1:5" ht="15.75" hidden="1" x14ac:dyDescent="0.25">
      <c r="B8" s="264" t="s">
        <v>275</v>
      </c>
      <c r="C8" s="265" t="e">
        <f>#REF!</f>
        <v>#REF!</v>
      </c>
      <c r="D8" s="266" t="e">
        <f>#REF!</f>
        <v>#REF!</v>
      </c>
      <c r="E8" t="s">
        <v>227</v>
      </c>
    </row>
    <row r="9" spans="1:5" ht="15.75" x14ac:dyDescent="0.25">
      <c r="B9" s="264"/>
      <c r="C9" s="265"/>
      <c r="D9" s="266"/>
    </row>
    <row r="10" spans="1:5" ht="18.75" x14ac:dyDescent="0.3">
      <c r="B10" s="262" t="s">
        <v>229</v>
      </c>
      <c r="D10" s="266"/>
    </row>
    <row r="11" spans="1:5" ht="15.75" x14ac:dyDescent="0.25">
      <c r="B11" s="264" t="s">
        <v>245</v>
      </c>
      <c r="C11" s="265">
        <f>+'Bill Impact- GS &lt;50kW RPP'!J37</f>
        <v>39.985107999999968</v>
      </c>
      <c r="D11" s="266">
        <f>+'Bill Impact- GS &lt;50kW RPP'!K37</f>
        <v>0.11922663181026276</v>
      </c>
      <c r="E11" t="s">
        <v>230</v>
      </c>
    </row>
    <row r="12" spans="1:5" ht="15" x14ac:dyDescent="0.25">
      <c r="D12" s="266"/>
    </row>
    <row r="13" spans="1:5" ht="18.75" x14ac:dyDescent="0.3">
      <c r="B13" s="262" t="s">
        <v>231</v>
      </c>
      <c r="D13" s="266"/>
    </row>
    <row r="14" spans="1:5" ht="15.75" x14ac:dyDescent="0.25">
      <c r="B14" s="264" t="s">
        <v>226</v>
      </c>
      <c r="C14" s="265">
        <f>+'USL RPP'!J35</f>
        <v>6.2126450800000015</v>
      </c>
      <c r="D14" s="266">
        <f>+'USL RPP'!K35</f>
        <v>0.12133443255445946</v>
      </c>
      <c r="E14" t="s">
        <v>232</v>
      </c>
    </row>
    <row r="15" spans="1:5" ht="15" x14ac:dyDescent="0.25">
      <c r="D15" s="266"/>
    </row>
    <row r="16" spans="1:5" ht="18.75" x14ac:dyDescent="0.3">
      <c r="B16" s="262" t="s">
        <v>233</v>
      </c>
      <c r="D16" s="266"/>
    </row>
    <row r="17" spans="2:5" ht="15.75" x14ac:dyDescent="0.25">
      <c r="B17" s="264" t="s">
        <v>241</v>
      </c>
      <c r="C17" s="265">
        <f>+'Bill Impact-GS50-499 NonRPP Int'!J36</f>
        <v>265.51836000000185</v>
      </c>
      <c r="D17" s="266">
        <f>+'Bill Impact-GS50-499 NonRPP Int'!K36</f>
        <v>1.583059274241861E-2</v>
      </c>
      <c r="E17" t="s">
        <v>234</v>
      </c>
    </row>
    <row r="18" spans="2:5" ht="15.75" x14ac:dyDescent="0.25">
      <c r="B18" s="264" t="s">
        <v>242</v>
      </c>
      <c r="C18" s="265">
        <f>'BI GS50-499 NonRPP NonInterval '!J36</f>
        <v>355.54771999999866</v>
      </c>
      <c r="D18" s="266">
        <f>'BI GS50-499 NonRPP NonInterval '!K36</f>
        <v>2.1198274785274449E-2</v>
      </c>
    </row>
    <row r="19" spans="2:5" ht="15" x14ac:dyDescent="0.25">
      <c r="D19" s="266"/>
    </row>
    <row r="20" spans="2:5" ht="18.75" x14ac:dyDescent="0.3">
      <c r="B20" s="262" t="s">
        <v>235</v>
      </c>
      <c r="D20" s="266"/>
    </row>
    <row r="21" spans="2:5" ht="15.75" x14ac:dyDescent="0.25">
      <c r="B21" s="264" t="s">
        <v>241</v>
      </c>
      <c r="C21" s="265">
        <f>+'BI- GS500-4999 Non RPP Interval'!J36</f>
        <v>3966.7972000000009</v>
      </c>
      <c r="D21" s="266">
        <f>+'BI- GS500-4999 Non RPP Interval'!K36</f>
        <v>5.1744984037346654E-2</v>
      </c>
      <c r="E21" t="s">
        <v>236</v>
      </c>
    </row>
    <row r="22" spans="2:5" ht="15.75" x14ac:dyDescent="0.25">
      <c r="B22" s="264" t="s">
        <v>242</v>
      </c>
      <c r="C22" s="265">
        <f>'BI- GS500-4999 Non RPP Non Int'!J36</f>
        <v>4999.0522000000055</v>
      </c>
      <c r="D22" s="266">
        <f>'BI- GS500-4999 Non RPP Non Int'!K36</f>
        <v>6.5210259876875704E-2</v>
      </c>
    </row>
    <row r="23" spans="2:5" ht="15" x14ac:dyDescent="0.25">
      <c r="D23" s="266"/>
    </row>
    <row r="24" spans="2:5" ht="18.75" x14ac:dyDescent="0.3">
      <c r="B24" s="262" t="s">
        <v>237</v>
      </c>
      <c r="D24" s="266"/>
    </row>
    <row r="25" spans="2:5" ht="15.75" x14ac:dyDescent="0.25">
      <c r="B25" s="264" t="s">
        <v>243</v>
      </c>
      <c r="C25" s="265">
        <f>+'BI- Large Use Class A'!J36</f>
        <v>1134.9720000000088</v>
      </c>
      <c r="D25" s="266">
        <f>+'BI- Large Use Class A'!K36</f>
        <v>2.3646354501513653E-3</v>
      </c>
      <c r="E25" t="s">
        <v>238</v>
      </c>
    </row>
    <row r="26" spans="2:5" ht="15.75" x14ac:dyDescent="0.25">
      <c r="B26" s="264" t="s">
        <v>244</v>
      </c>
      <c r="C26" s="265">
        <f>'BI- Large Use Class B'!J36</f>
        <v>10410.57699999999</v>
      </c>
      <c r="D26" s="266">
        <f>'BI- Large Use Class B'!K36</f>
        <v>2.1689715191855162E-2</v>
      </c>
    </row>
    <row r="27" spans="2:5" ht="15" x14ac:dyDescent="0.25">
      <c r="D27" s="266"/>
    </row>
    <row r="28" spans="2:5" ht="18.75" x14ac:dyDescent="0.3">
      <c r="B28" s="262" t="s">
        <v>239</v>
      </c>
      <c r="D28" s="266"/>
    </row>
    <row r="29" spans="2:5" ht="15.75" x14ac:dyDescent="0.25">
      <c r="B29" s="264" t="s">
        <v>228</v>
      </c>
      <c r="C29" s="265">
        <f>+'BI- Street Light Non RPP'!J35</f>
        <v>0.23760103199999971</v>
      </c>
      <c r="D29" s="266">
        <f>+'BI- Street Light Non RPP'!K35</f>
        <v>3.1185266882646133E-2</v>
      </c>
      <c r="E29" t="s">
        <v>240</v>
      </c>
    </row>
    <row r="30" spans="2:5" ht="15" x14ac:dyDescent="0.25">
      <c r="D30" s="266"/>
    </row>
    <row r="31" spans="2:5" ht="15" x14ac:dyDescent="0.25">
      <c r="D31" s="266"/>
    </row>
    <row r="32" spans="2:5" ht="15" x14ac:dyDescent="0.25">
      <c r="D32" s="266"/>
    </row>
  </sheetData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46"/>
  <sheetViews>
    <sheetView workbookViewId="0">
      <selection activeCell="D37" sqref="D37"/>
    </sheetView>
  </sheetViews>
  <sheetFormatPr defaultRowHeight="14.4" x14ac:dyDescent="0.3"/>
  <cols>
    <col min="1" max="1" width="54.109375" bestFit="1" customWidth="1"/>
    <col min="2" max="2" width="15.6640625" bestFit="1" customWidth="1"/>
    <col min="3" max="3" width="8" bestFit="1" customWidth="1"/>
    <col min="4" max="4" width="9.88671875" bestFit="1" customWidth="1"/>
    <col min="6" max="6" width="11" bestFit="1" customWidth="1"/>
    <col min="7" max="7" width="8.6640625" bestFit="1" customWidth="1"/>
    <col min="8" max="8" width="9.88671875" bestFit="1" customWidth="1"/>
    <col min="10" max="10" width="9.5546875" bestFit="1" customWidth="1"/>
    <col min="11" max="11" width="10" bestFit="1" customWidth="1"/>
  </cols>
  <sheetData>
    <row r="1" spans="1:11" ht="15" x14ac:dyDescent="0.25">
      <c r="A1" s="119" t="s">
        <v>174</v>
      </c>
      <c r="B1" s="120" t="s">
        <v>175</v>
      </c>
    </row>
    <row r="2" spans="1:11" ht="15.75" x14ac:dyDescent="0.25">
      <c r="A2" s="119" t="s">
        <v>176</v>
      </c>
      <c r="B2" s="121">
        <v>3.5999999999999997E-2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x14ac:dyDescent="0.25">
      <c r="A3" s="119" t="s">
        <v>177</v>
      </c>
      <c r="B3" s="306">
        <v>800</v>
      </c>
      <c r="C3" s="124" t="s">
        <v>178</v>
      </c>
      <c r="D3" s="125"/>
      <c r="E3" s="125"/>
      <c r="F3" s="125"/>
      <c r="G3" s="125"/>
      <c r="H3" s="125"/>
      <c r="I3" s="125"/>
      <c r="J3" s="125"/>
      <c r="K3" s="125"/>
    </row>
    <row r="4" spans="1:11" ht="15" x14ac:dyDescent="0.25">
      <c r="A4" s="230" t="s">
        <v>179</v>
      </c>
      <c r="B4" s="125"/>
      <c r="C4" s="126"/>
      <c r="D4" s="125"/>
      <c r="E4" s="125"/>
      <c r="F4" s="125"/>
      <c r="G4" s="125"/>
      <c r="H4" s="125"/>
      <c r="I4" s="125"/>
      <c r="J4" s="125"/>
      <c r="K4" s="125"/>
    </row>
    <row r="5" spans="1:11" ht="15" x14ac:dyDescent="0.25">
      <c r="A5" s="127" t="s">
        <v>180</v>
      </c>
      <c r="B5" s="128"/>
      <c r="C5" s="129" t="s">
        <v>181</v>
      </c>
      <c r="D5" s="125"/>
      <c r="E5" s="125"/>
      <c r="F5" s="125"/>
      <c r="G5" s="125"/>
      <c r="H5" s="125"/>
      <c r="I5" s="125"/>
      <c r="J5" s="125"/>
      <c r="K5" s="125"/>
    </row>
    <row r="6" spans="1:11" ht="15" x14ac:dyDescent="0.25">
      <c r="A6" s="130"/>
      <c r="B6" s="339" t="s">
        <v>182</v>
      </c>
      <c r="C6" s="340"/>
      <c r="D6" s="340"/>
      <c r="E6" s="131"/>
      <c r="F6" s="340" t="s">
        <v>8</v>
      </c>
      <c r="G6" s="340"/>
      <c r="H6" s="340"/>
      <c r="I6" s="131"/>
      <c r="J6" s="340" t="s">
        <v>183</v>
      </c>
      <c r="K6" s="341"/>
    </row>
    <row r="7" spans="1:11" ht="15" x14ac:dyDescent="0.25">
      <c r="A7" s="130"/>
      <c r="B7" s="132" t="s">
        <v>184</v>
      </c>
      <c r="C7" s="132" t="s">
        <v>185</v>
      </c>
      <c r="D7" s="133" t="s">
        <v>186</v>
      </c>
      <c r="E7" s="134"/>
      <c r="F7" s="135" t="s">
        <v>184</v>
      </c>
      <c r="G7" s="135" t="s">
        <v>185</v>
      </c>
      <c r="H7" s="136" t="s">
        <v>186</v>
      </c>
      <c r="I7" s="134"/>
      <c r="J7" s="137" t="s">
        <v>187</v>
      </c>
      <c r="K7" s="138" t="s">
        <v>188</v>
      </c>
    </row>
    <row r="8" spans="1:11" ht="15" x14ac:dyDescent="0.25">
      <c r="A8" s="130"/>
      <c r="B8" s="139" t="s">
        <v>189</v>
      </c>
      <c r="C8" s="139"/>
      <c r="D8" s="140" t="s">
        <v>189</v>
      </c>
      <c r="E8" s="134"/>
      <c r="F8" s="141" t="s">
        <v>189</v>
      </c>
      <c r="G8" s="141"/>
      <c r="H8" s="142" t="s">
        <v>189</v>
      </c>
      <c r="I8" s="134"/>
      <c r="J8" s="143"/>
      <c r="K8" s="144"/>
    </row>
    <row r="9" spans="1:11" ht="15" x14ac:dyDescent="0.25">
      <c r="A9" s="145" t="s">
        <v>18</v>
      </c>
      <c r="B9" s="146">
        <f>ROUND('January 01, 2016 Rates'!G9,2)</f>
        <v>13.22</v>
      </c>
      <c r="C9" s="147">
        <v>1</v>
      </c>
      <c r="D9" s="148">
        <f>C9*B9</f>
        <v>13.22</v>
      </c>
      <c r="E9" s="147"/>
      <c r="F9" s="149">
        <f>ROUND('January 01, 2016 Rates'!F9,2)</f>
        <v>15.75</v>
      </c>
      <c r="G9" s="150">
        <f t="shared" ref="G9:G14" si="0">C9</f>
        <v>1</v>
      </c>
      <c r="H9" s="148">
        <f>G9*F9</f>
        <v>15.75</v>
      </c>
      <c r="I9" s="147"/>
      <c r="J9" s="151">
        <f t="shared" ref="J9:J37" si="1">H9-D9</f>
        <v>2.5299999999999994</v>
      </c>
      <c r="K9" s="152">
        <f t="shared" ref="K9:K37" si="2">IF((D9)=0,"",(J9/D9))</f>
        <v>0.19137670196671705</v>
      </c>
    </row>
    <row r="10" spans="1:11" ht="15" x14ac:dyDescent="0.25">
      <c r="A10" s="145" t="s">
        <v>26</v>
      </c>
      <c r="B10" s="153">
        <f>ROUND('January 01, 2016 Rates'!G14,4)</f>
        <v>1.3299999999999999E-2</v>
      </c>
      <c r="C10" s="154">
        <f>B3</f>
        <v>800</v>
      </c>
      <c r="D10" s="148">
        <f>C10*B10</f>
        <v>10.639999999999999</v>
      </c>
      <c r="E10" s="147"/>
      <c r="F10" s="155">
        <f>ROUND('January 01, 2016 Rates'!F14,4)</f>
        <v>1.0200000000000001E-2</v>
      </c>
      <c r="G10" s="156">
        <f t="shared" si="0"/>
        <v>800</v>
      </c>
      <c r="H10" s="148">
        <f>G10*F10</f>
        <v>8.16</v>
      </c>
      <c r="I10" s="147"/>
      <c r="J10" s="151">
        <f t="shared" si="1"/>
        <v>-2.4799999999999986</v>
      </c>
      <c r="K10" s="152">
        <f t="shared" si="2"/>
        <v>-0.2330827067669172</v>
      </c>
    </row>
    <row r="11" spans="1:11" ht="15" x14ac:dyDescent="0.25">
      <c r="A11" s="145" t="s">
        <v>264</v>
      </c>
      <c r="B11" s="153">
        <f>ROUND('January 01, 2016 Rates'!G11,4)</f>
        <v>0</v>
      </c>
      <c r="C11" s="154">
        <v>1</v>
      </c>
      <c r="D11" s="148">
        <f>C11*B11</f>
        <v>0</v>
      </c>
      <c r="E11" s="147"/>
      <c r="F11" s="149">
        <f>ROUND('January 01, 2016 Rates'!F11,2)</f>
        <v>0.01</v>
      </c>
      <c r="G11" s="156">
        <f t="shared" si="0"/>
        <v>1</v>
      </c>
      <c r="H11" s="148">
        <f>G11*F11</f>
        <v>0.01</v>
      </c>
      <c r="I11" s="147"/>
      <c r="J11" s="151">
        <f>H11-D11</f>
        <v>0.01</v>
      </c>
      <c r="K11" s="152" t="str">
        <f>IF((D11)=0,"",(J11/D11))</f>
        <v/>
      </c>
    </row>
    <row r="12" spans="1:11" ht="15" hidden="1" x14ac:dyDescent="0.25">
      <c r="A12" s="145" t="s">
        <v>265</v>
      </c>
      <c r="B12" s="153">
        <f>ROUND('January 01, 2016 Rates'!G12,4)</f>
        <v>0</v>
      </c>
      <c r="C12" s="154">
        <v>1</v>
      </c>
      <c r="D12" s="148">
        <f>C12*B12</f>
        <v>0</v>
      </c>
      <c r="E12" s="147"/>
      <c r="F12" s="149"/>
      <c r="G12" s="156">
        <f t="shared" si="0"/>
        <v>1</v>
      </c>
      <c r="H12" s="148">
        <f t="shared" ref="H12:H14" si="3">G12*F12</f>
        <v>0</v>
      </c>
      <c r="I12" s="147"/>
      <c r="J12" s="151">
        <f t="shared" ref="J12:J14" si="4">H12-D12</f>
        <v>0</v>
      </c>
      <c r="K12" s="152" t="str">
        <f t="shared" ref="K12:K14" si="5">IF((D12)=0,"",(J12/D12))</f>
        <v/>
      </c>
    </row>
    <row r="13" spans="1:11" ht="15" hidden="1" x14ac:dyDescent="0.25">
      <c r="A13" s="319" t="s">
        <v>266</v>
      </c>
      <c r="B13" s="157">
        <v>0</v>
      </c>
      <c r="C13" s="158">
        <f>B3</f>
        <v>800</v>
      </c>
      <c r="D13" s="321">
        <f>C13*B13</f>
        <v>0</v>
      </c>
      <c r="E13" s="147"/>
      <c r="F13" s="160"/>
      <c r="G13" s="161">
        <f t="shared" si="0"/>
        <v>800</v>
      </c>
      <c r="H13" s="148">
        <f t="shared" si="3"/>
        <v>0</v>
      </c>
      <c r="I13" s="147"/>
      <c r="J13" s="151">
        <f t="shared" si="4"/>
        <v>0</v>
      </c>
      <c r="K13" s="152" t="str">
        <f t="shared" si="5"/>
        <v/>
      </c>
    </row>
    <row r="14" spans="1:11" ht="15" x14ac:dyDescent="0.25">
      <c r="A14" s="166" t="s">
        <v>274</v>
      </c>
      <c r="B14" s="146">
        <v>0</v>
      </c>
      <c r="C14" s="167">
        <v>1</v>
      </c>
      <c r="D14" s="148"/>
      <c r="E14" s="147"/>
      <c r="F14" s="149">
        <f>ROUND('January 01, 2016 Rates'!F13,2)</f>
        <v>0.06</v>
      </c>
      <c r="G14" s="167">
        <f t="shared" si="0"/>
        <v>1</v>
      </c>
      <c r="H14" s="148">
        <f t="shared" si="3"/>
        <v>0.06</v>
      </c>
      <c r="I14" s="147"/>
      <c r="J14" s="151">
        <f t="shared" si="4"/>
        <v>0.06</v>
      </c>
      <c r="K14" s="152" t="str">
        <f t="shared" si="5"/>
        <v/>
      </c>
    </row>
    <row r="15" spans="1:11" ht="15" x14ac:dyDescent="0.25">
      <c r="A15" s="169" t="s">
        <v>190</v>
      </c>
      <c r="B15" s="170"/>
      <c r="C15" s="171"/>
      <c r="D15" s="172">
        <f>SUM(D9:D14)</f>
        <v>23.86</v>
      </c>
      <c r="E15" s="300"/>
      <c r="F15" s="173"/>
      <c r="G15" s="174"/>
      <c r="H15" s="172">
        <f>SUM(H9:H14)</f>
        <v>23.98</v>
      </c>
      <c r="I15" s="147"/>
      <c r="J15" s="175">
        <f t="shared" si="1"/>
        <v>0.12000000000000099</v>
      </c>
      <c r="K15" s="176">
        <f t="shared" si="2"/>
        <v>5.0293378038558673E-3</v>
      </c>
    </row>
    <row r="16" spans="1:11" ht="15" x14ac:dyDescent="0.25">
      <c r="A16" s="166" t="s">
        <v>191</v>
      </c>
      <c r="B16" s="153">
        <f>ROUND(B29*0.64+B30*0.18+B31*0.18,4)</f>
        <v>0.1021</v>
      </c>
      <c r="C16" s="167">
        <f>B3*(B2)</f>
        <v>28.799999999999997</v>
      </c>
      <c r="D16" s="148">
        <f>B16*C16</f>
        <v>2.9404799999999995</v>
      </c>
      <c r="E16" s="147"/>
      <c r="F16" s="155">
        <f>ROUND(F29*0.64+F30*0.18+F31*0.18,4)</f>
        <v>0.1021</v>
      </c>
      <c r="G16" s="167">
        <f t="shared" ref="G16:G19" si="6">C16</f>
        <v>28.799999999999997</v>
      </c>
      <c r="H16" s="148">
        <f>F16*G16</f>
        <v>2.9404799999999995</v>
      </c>
      <c r="I16" s="147"/>
      <c r="J16" s="151">
        <f t="shared" si="1"/>
        <v>0</v>
      </c>
      <c r="K16" s="152">
        <f t="shared" si="2"/>
        <v>0</v>
      </c>
    </row>
    <row r="17" spans="1:13" ht="15" x14ac:dyDescent="0.25">
      <c r="A17" s="166" t="s">
        <v>267</v>
      </c>
      <c r="B17" s="153">
        <f>ROUND('January 01, 2016 Rates'!G15,4)</f>
        <v>0</v>
      </c>
      <c r="C17" s="167">
        <f>B3</f>
        <v>800</v>
      </c>
      <c r="D17" s="148">
        <f>C17*B17</f>
        <v>0</v>
      </c>
      <c r="E17" s="147"/>
      <c r="F17" s="153">
        <f>ROUND('January 01, 2016 Rates'!F15,4)</f>
        <v>2.9999999999999997E-4</v>
      </c>
      <c r="G17" s="167">
        <f t="shared" si="6"/>
        <v>800</v>
      </c>
      <c r="H17" s="148">
        <f>G17*F17</f>
        <v>0.24</v>
      </c>
      <c r="I17" s="147"/>
      <c r="J17" s="151">
        <f t="shared" si="1"/>
        <v>0.24</v>
      </c>
      <c r="K17" s="152" t="str">
        <f t="shared" si="2"/>
        <v/>
      </c>
    </row>
    <row r="18" spans="1:13" ht="15" x14ac:dyDescent="0.25">
      <c r="A18" s="168" t="s">
        <v>192</v>
      </c>
      <c r="B18" s="153">
        <f>ROUND('January 01, 2016 Rates'!G17,4)</f>
        <v>2.0000000000000001E-4</v>
      </c>
      <c r="C18" s="167">
        <f>B3</f>
        <v>800</v>
      </c>
      <c r="D18" s="148">
        <f>C18*B18</f>
        <v>0.16</v>
      </c>
      <c r="E18" s="147"/>
      <c r="F18" s="155">
        <f>ROUND('January 01, 2016 Rates'!F17,4)</f>
        <v>2.0000000000000001E-4</v>
      </c>
      <c r="G18" s="167">
        <f t="shared" si="6"/>
        <v>800</v>
      </c>
      <c r="H18" s="148">
        <f>G18*F18</f>
        <v>0.16</v>
      </c>
      <c r="I18" s="147"/>
      <c r="J18" s="151">
        <f t="shared" si="1"/>
        <v>0</v>
      </c>
      <c r="K18" s="152">
        <f t="shared" si="2"/>
        <v>0</v>
      </c>
    </row>
    <row r="19" spans="1:13" ht="15" x14ac:dyDescent="0.25">
      <c r="A19" s="168" t="s">
        <v>193</v>
      </c>
      <c r="B19" s="153">
        <f>ROUND('January 01, 2016 Rates'!G10,4)</f>
        <v>0.79</v>
      </c>
      <c r="C19" s="167">
        <v>1</v>
      </c>
      <c r="D19" s="148">
        <f>C19*B19</f>
        <v>0.79</v>
      </c>
      <c r="E19" s="147"/>
      <c r="F19" s="155">
        <f>ROUND('January 01, 2016 Rates'!F10,4)</f>
        <v>0.79</v>
      </c>
      <c r="G19" s="167">
        <f t="shared" si="6"/>
        <v>1</v>
      </c>
      <c r="H19" s="148">
        <f>G19*F19</f>
        <v>0.79</v>
      </c>
      <c r="I19" s="147"/>
      <c r="J19" s="151">
        <f t="shared" si="1"/>
        <v>0</v>
      </c>
      <c r="K19" s="152">
        <f t="shared" si="2"/>
        <v>0</v>
      </c>
    </row>
    <row r="20" spans="1:13" ht="15" x14ac:dyDescent="0.25">
      <c r="A20" s="169" t="s">
        <v>194</v>
      </c>
      <c r="B20" s="170"/>
      <c r="C20" s="171"/>
      <c r="D20" s="172">
        <f>SUM(D15:D19)</f>
        <v>27.75048</v>
      </c>
      <c r="E20" s="147"/>
      <c r="F20" s="173"/>
      <c r="G20" s="174"/>
      <c r="H20" s="172">
        <f>SUM(H15:H19)</f>
        <v>28.110479999999999</v>
      </c>
      <c r="I20" s="147"/>
      <c r="J20" s="175">
        <f>H20-D20</f>
        <v>0.35999999999999943</v>
      </c>
      <c r="K20" s="176">
        <f>IF((D20)=0,"",(J20/D20))</f>
        <v>1.297274857948401E-2</v>
      </c>
    </row>
    <row r="21" spans="1:13" ht="15" x14ac:dyDescent="0.25">
      <c r="A21" s="177" t="s">
        <v>195</v>
      </c>
      <c r="B21" s="153">
        <f>ROUND('January 01, 2016 Rates'!G18,4)</f>
        <v>8.0999999999999996E-3</v>
      </c>
      <c r="C21" s="178">
        <f>B3</f>
        <v>800</v>
      </c>
      <c r="D21" s="148">
        <f>C21*B21</f>
        <v>6.4799999999999995</v>
      </c>
      <c r="E21" s="147"/>
      <c r="F21" s="155">
        <f>ROUND('January 01, 2016 Rates'!F18,4)</f>
        <v>7.7000000000000002E-3</v>
      </c>
      <c r="G21" s="179">
        <f>C21</f>
        <v>800</v>
      </c>
      <c r="H21" s="148">
        <f>G21*F21</f>
        <v>6.16</v>
      </c>
      <c r="I21" s="147"/>
      <c r="J21" s="151">
        <f t="shared" si="1"/>
        <v>-0.3199999999999994</v>
      </c>
      <c r="K21" s="152">
        <f t="shared" si="2"/>
        <v>-4.9382716049382623E-2</v>
      </c>
    </row>
    <row r="22" spans="1:13" ht="15" x14ac:dyDescent="0.25">
      <c r="A22" s="180" t="s">
        <v>196</v>
      </c>
      <c r="B22" s="153">
        <f>ROUND('January 01, 2016 Rates'!G19,4)</f>
        <v>6.1999999999999998E-3</v>
      </c>
      <c r="C22" s="178">
        <f>B3</f>
        <v>800</v>
      </c>
      <c r="D22" s="148">
        <f>C22*B22</f>
        <v>4.96</v>
      </c>
      <c r="E22" s="147"/>
      <c r="F22" s="155">
        <f>ROUND('January 01, 2016 Rates'!F19,4)</f>
        <v>6.4000000000000003E-3</v>
      </c>
      <c r="G22" s="179">
        <f>C22</f>
        <v>800</v>
      </c>
      <c r="H22" s="148">
        <f>G22*F22</f>
        <v>5.12</v>
      </c>
      <c r="I22" s="147"/>
      <c r="J22" s="151">
        <f t="shared" si="1"/>
        <v>0.16000000000000014</v>
      </c>
      <c r="K22" s="152">
        <f t="shared" si="2"/>
        <v>3.2258064516129059E-2</v>
      </c>
    </row>
    <row r="23" spans="1:13" ht="15" x14ac:dyDescent="0.25">
      <c r="A23" s="169" t="s">
        <v>197</v>
      </c>
      <c r="B23" s="170"/>
      <c r="C23" s="171"/>
      <c r="D23" s="172">
        <f>SUM(D20:D22)</f>
        <v>39.190480000000001</v>
      </c>
      <c r="E23" s="181"/>
      <c r="F23" s="182"/>
      <c r="G23" s="183"/>
      <c r="H23" s="172">
        <f>SUM(H20:H22)</f>
        <v>39.390479999999997</v>
      </c>
      <c r="I23" s="181"/>
      <c r="J23" s="175">
        <f t="shared" si="1"/>
        <v>0.19999999999999574</v>
      </c>
      <c r="K23" s="176">
        <f t="shared" si="2"/>
        <v>5.103280184371198E-3</v>
      </c>
    </row>
    <row r="24" spans="1:13" ht="15" x14ac:dyDescent="0.25">
      <c r="A24" s="168" t="s">
        <v>198</v>
      </c>
      <c r="B24" s="153">
        <f>ROUND('January 01, 2016 Rates'!G20,4)</f>
        <v>4.4000000000000003E-3</v>
      </c>
      <c r="C24" s="178">
        <f>+$B$3+$B$3*$B$2</f>
        <v>828.8</v>
      </c>
      <c r="D24" s="148">
        <f t="shared" ref="D24:D31" si="7">C24*B24</f>
        <v>3.6467200000000002</v>
      </c>
      <c r="E24" s="147"/>
      <c r="F24" s="155">
        <f>ROUND('January 01, 2016 Rates'!F20,4)</f>
        <v>3.5999999999999999E-3</v>
      </c>
      <c r="G24" s="179">
        <f t="shared" ref="G24:G31" si="8">C24</f>
        <v>828.8</v>
      </c>
      <c r="H24" s="148">
        <f t="shared" ref="H24:H31" si="9">G24*F24</f>
        <v>2.9836799999999997</v>
      </c>
      <c r="I24" s="147"/>
      <c r="J24" s="151">
        <f t="shared" si="1"/>
        <v>-0.66304000000000052</v>
      </c>
      <c r="K24" s="152">
        <f t="shared" si="2"/>
        <v>-0.18181818181818196</v>
      </c>
    </row>
    <row r="25" spans="1:13" ht="15" x14ac:dyDescent="0.25">
      <c r="A25" s="168" t="s">
        <v>199</v>
      </c>
      <c r="B25" s="153">
        <f>ROUND('January 01, 2016 Rates'!G21,4)</f>
        <v>1.2999999999999999E-3</v>
      </c>
      <c r="C25" s="178">
        <f>+$B$3+$B$3*$B$2</f>
        <v>828.8</v>
      </c>
      <c r="D25" s="148">
        <f t="shared" si="7"/>
        <v>1.07744</v>
      </c>
      <c r="E25" s="147"/>
      <c r="F25" s="155">
        <f>ROUND('January 01, 2016 Rates'!F21,4)</f>
        <v>1.2999999999999999E-3</v>
      </c>
      <c r="G25" s="179">
        <f t="shared" si="8"/>
        <v>828.8</v>
      </c>
      <c r="H25" s="148">
        <f t="shared" si="9"/>
        <v>1.07744</v>
      </c>
      <c r="I25" s="147"/>
      <c r="J25" s="151">
        <f t="shared" si="1"/>
        <v>0</v>
      </c>
      <c r="K25" s="152">
        <f t="shared" si="2"/>
        <v>0</v>
      </c>
    </row>
    <row r="26" spans="1:13" ht="15" x14ac:dyDescent="0.25">
      <c r="A26" s="168" t="s">
        <v>200</v>
      </c>
      <c r="B26" s="153">
        <f>ROUND('January 01, 2016 Rates'!G24,4)</f>
        <v>0.25</v>
      </c>
      <c r="C26" s="178">
        <v>1</v>
      </c>
      <c r="D26" s="148">
        <f t="shared" si="7"/>
        <v>0.25</v>
      </c>
      <c r="E26" s="147"/>
      <c r="F26" s="155">
        <f>ROUND('January 01, 2016 Rates'!F24,4)</f>
        <v>0.25</v>
      </c>
      <c r="G26" s="179">
        <f t="shared" si="8"/>
        <v>1</v>
      </c>
      <c r="H26" s="148">
        <f t="shared" si="9"/>
        <v>0.25</v>
      </c>
      <c r="I26" s="147"/>
      <c r="J26" s="151">
        <f t="shared" si="1"/>
        <v>0</v>
      </c>
      <c r="K26" s="152">
        <f t="shared" si="2"/>
        <v>0</v>
      </c>
    </row>
    <row r="27" spans="1:13" ht="15" x14ac:dyDescent="0.25">
      <c r="A27" s="168" t="s">
        <v>201</v>
      </c>
      <c r="B27" s="153">
        <f>ROUND('January 01, 2016 Rates'!G23,4)</f>
        <v>7.0000000000000001E-3</v>
      </c>
      <c r="C27" s="178">
        <f>B3</f>
        <v>800</v>
      </c>
      <c r="D27" s="148">
        <f>C27*B27</f>
        <v>5.6000000000000005</v>
      </c>
      <c r="E27" s="147"/>
      <c r="F27" s="311"/>
      <c r="G27" s="312"/>
      <c r="H27" s="310"/>
      <c r="I27" s="147"/>
      <c r="J27" s="313"/>
      <c r="K27" s="314"/>
    </row>
    <row r="28" spans="1:13" ht="15" x14ac:dyDescent="0.25">
      <c r="A28" s="307" t="s">
        <v>263</v>
      </c>
      <c r="B28" s="308"/>
      <c r="C28" s="309"/>
      <c r="D28" s="310"/>
      <c r="E28" s="147"/>
      <c r="F28" s="288">
        <f>ROUND('January 01, 2016 Rates'!F22,4)</f>
        <v>1.1000000000000001E-3</v>
      </c>
      <c r="G28" s="179">
        <f>$B$3+$B$3*$B$2</f>
        <v>828.8</v>
      </c>
      <c r="H28" s="148">
        <f>G28*F28</f>
        <v>0.91168000000000005</v>
      </c>
      <c r="I28" s="147"/>
      <c r="J28" s="313"/>
      <c r="K28" s="314"/>
    </row>
    <row r="29" spans="1:13" ht="15" x14ac:dyDescent="0.25">
      <c r="A29" s="168" t="s">
        <v>202</v>
      </c>
      <c r="B29" s="153">
        <v>0.08</v>
      </c>
      <c r="C29" s="178">
        <f>B3*0.64</f>
        <v>512</v>
      </c>
      <c r="D29" s="148">
        <f t="shared" si="7"/>
        <v>40.96</v>
      </c>
      <c r="E29" s="147"/>
      <c r="F29" s="155">
        <f>B29</f>
        <v>0.08</v>
      </c>
      <c r="G29" s="178">
        <f t="shared" si="8"/>
        <v>512</v>
      </c>
      <c r="H29" s="148">
        <f t="shared" si="9"/>
        <v>40.96</v>
      </c>
      <c r="I29" s="147"/>
      <c r="J29" s="151">
        <f t="shared" si="1"/>
        <v>0</v>
      </c>
      <c r="K29" s="152">
        <f t="shared" si="2"/>
        <v>0</v>
      </c>
      <c r="M29" s="266"/>
    </row>
    <row r="30" spans="1:13" ht="15" x14ac:dyDescent="0.25">
      <c r="A30" s="168" t="s">
        <v>203</v>
      </c>
      <c r="B30" s="153">
        <v>0.122</v>
      </c>
      <c r="C30" s="178">
        <f>B3*0.18</f>
        <v>144</v>
      </c>
      <c r="D30" s="148">
        <f t="shared" si="7"/>
        <v>17.567999999999998</v>
      </c>
      <c r="E30" s="147"/>
      <c r="F30" s="153">
        <f>B30</f>
        <v>0.122</v>
      </c>
      <c r="G30" s="178">
        <f t="shared" si="8"/>
        <v>144</v>
      </c>
      <c r="H30" s="148">
        <f t="shared" si="9"/>
        <v>17.567999999999998</v>
      </c>
      <c r="I30" s="147"/>
      <c r="J30" s="151">
        <f t="shared" si="1"/>
        <v>0</v>
      </c>
      <c r="K30" s="152">
        <f t="shared" si="2"/>
        <v>0</v>
      </c>
      <c r="M30" s="266"/>
    </row>
    <row r="31" spans="1:13" ht="15.75" thickBot="1" x14ac:dyDescent="0.3">
      <c r="A31" s="130" t="s">
        <v>204</v>
      </c>
      <c r="B31" s="292">
        <v>0.161</v>
      </c>
      <c r="C31" s="178">
        <f>B3*0.18</f>
        <v>144</v>
      </c>
      <c r="D31" s="148">
        <f t="shared" si="7"/>
        <v>23.184000000000001</v>
      </c>
      <c r="E31" s="147"/>
      <c r="F31" s="292">
        <f>B31</f>
        <v>0.161</v>
      </c>
      <c r="G31" s="178">
        <f t="shared" si="8"/>
        <v>144</v>
      </c>
      <c r="H31" s="148">
        <f t="shared" si="9"/>
        <v>23.184000000000001</v>
      </c>
      <c r="I31" s="147"/>
      <c r="J31" s="151">
        <f t="shared" si="1"/>
        <v>0</v>
      </c>
      <c r="K31" s="152">
        <f>IF((D31)=0,"",(J31/D31))</f>
        <v>0</v>
      </c>
      <c r="M31" s="266"/>
    </row>
    <row r="32" spans="1:13" ht="15.75" thickBot="1" x14ac:dyDescent="0.3">
      <c r="A32" s="184"/>
      <c r="B32" s="185"/>
      <c r="C32" s="186"/>
      <c r="D32" s="187"/>
      <c r="E32" s="147"/>
      <c r="F32" s="185"/>
      <c r="G32" s="188"/>
      <c r="H32" s="187"/>
      <c r="I32" s="147"/>
      <c r="J32" s="189"/>
      <c r="K32" s="190"/>
    </row>
    <row r="33" spans="1:11" ht="15" x14ac:dyDescent="0.25">
      <c r="A33" s="191" t="s">
        <v>205</v>
      </c>
      <c r="B33" s="192"/>
      <c r="C33" s="193"/>
      <c r="D33" s="194">
        <f>SUM(D23:D31)</f>
        <v>131.47664</v>
      </c>
      <c r="E33" s="195"/>
      <c r="F33" s="196"/>
      <c r="G33" s="197"/>
      <c r="H33" s="194">
        <f>SUM(H23:H31)</f>
        <v>126.32527999999999</v>
      </c>
      <c r="I33" s="181"/>
      <c r="J33" s="198">
        <f>H33-D33</f>
        <v>-5.151360000000011</v>
      </c>
      <c r="K33" s="199">
        <f>IF((D33)=0,"",(J33/D33))</f>
        <v>-3.9180800482884345E-2</v>
      </c>
    </row>
    <row r="34" spans="1:11" ht="15" x14ac:dyDescent="0.25">
      <c r="A34" s="200" t="s">
        <v>206</v>
      </c>
      <c r="B34" s="192">
        <v>0.13</v>
      </c>
      <c r="C34" s="201"/>
      <c r="D34" s="202">
        <f>D33*B34</f>
        <v>17.091963200000002</v>
      </c>
      <c r="E34" s="203"/>
      <c r="F34" s="204">
        <v>0.13</v>
      </c>
      <c r="G34" s="203"/>
      <c r="H34" s="202">
        <f>H33*F34</f>
        <v>16.422286400000001</v>
      </c>
      <c r="I34" s="147"/>
      <c r="J34" s="205">
        <f t="shared" si="1"/>
        <v>-0.66967680000000129</v>
      </c>
      <c r="K34" s="206">
        <f t="shared" si="2"/>
        <v>-3.9180800482884331E-2</v>
      </c>
    </row>
    <row r="35" spans="1:11" ht="15" x14ac:dyDescent="0.25">
      <c r="A35" s="207" t="s">
        <v>207</v>
      </c>
      <c r="B35" s="203"/>
      <c r="C35" s="201"/>
      <c r="D35" s="202">
        <f>D33+D34</f>
        <v>148.56860320000001</v>
      </c>
      <c r="E35" s="203"/>
      <c r="F35" s="208"/>
      <c r="G35" s="203"/>
      <c r="H35" s="202">
        <f>H33+H34</f>
        <v>142.74756639999998</v>
      </c>
      <c r="I35" s="147"/>
      <c r="J35" s="205">
        <f t="shared" si="1"/>
        <v>-5.8210368000000301</v>
      </c>
      <c r="K35" s="206">
        <f t="shared" si="2"/>
        <v>-3.9180800482884456E-2</v>
      </c>
    </row>
    <row r="36" spans="1:11" ht="15" x14ac:dyDescent="0.25">
      <c r="A36" s="209" t="s">
        <v>208</v>
      </c>
      <c r="B36" s="203"/>
      <c r="C36" s="201"/>
      <c r="D36" s="202">
        <f>ROUND(-D35*10%,2)</f>
        <v>-14.86</v>
      </c>
      <c r="E36" s="203"/>
      <c r="F36" s="315"/>
      <c r="G36" s="316"/>
      <c r="H36" s="317"/>
      <c r="I36" s="147"/>
      <c r="J36" s="313"/>
      <c r="K36" s="314"/>
    </row>
    <row r="37" spans="1:11" ht="15.75" thickBot="1" x14ac:dyDescent="0.3">
      <c r="A37" s="210" t="s">
        <v>209</v>
      </c>
      <c r="B37" s="211"/>
      <c r="C37" s="212"/>
      <c r="D37" s="213">
        <f>D35+D36</f>
        <v>133.70860320000003</v>
      </c>
      <c r="E37" s="195"/>
      <c r="F37" s="214"/>
      <c r="G37" s="215"/>
      <c r="H37" s="213">
        <f>H35+H36</f>
        <v>142.74756639999998</v>
      </c>
      <c r="I37" s="181"/>
      <c r="J37" s="164">
        <f t="shared" si="1"/>
        <v>9.0389631999999551</v>
      </c>
      <c r="K37" s="165">
        <f t="shared" si="2"/>
        <v>6.760195667050356E-2</v>
      </c>
    </row>
    <row r="38" spans="1:11" ht="15.75" thickBot="1" x14ac:dyDescent="0.3">
      <c r="A38" s="184"/>
      <c r="B38" s="216"/>
      <c r="C38" s="217"/>
      <c r="D38" s="218"/>
      <c r="E38" s="219"/>
      <c r="F38" s="220"/>
      <c r="G38" s="221"/>
      <c r="H38" s="222"/>
      <c r="I38" s="219"/>
      <c r="J38" s="223"/>
      <c r="K38" s="224"/>
    </row>
    <row r="39" spans="1:11" ht="15" x14ac:dyDescent="0.25">
      <c r="A39" s="225"/>
      <c r="B39" s="226"/>
      <c r="C39" s="226"/>
      <c r="D39" s="226"/>
      <c r="E39" s="226"/>
      <c r="F39" s="226"/>
      <c r="G39" s="226"/>
      <c r="H39" s="227"/>
      <c r="I39" s="226"/>
      <c r="J39" s="226"/>
      <c r="K39" s="320"/>
    </row>
    <row r="40" spans="1:11" ht="15" x14ac:dyDescent="0.2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6"/>
    </row>
    <row r="41" spans="1:11" x14ac:dyDescent="0.3">
      <c r="A41" s="301"/>
      <c r="B41" s="119"/>
      <c r="C41" s="119"/>
      <c r="D41" s="226"/>
      <c r="E41" s="226"/>
      <c r="F41" s="226"/>
      <c r="G41" s="226"/>
      <c r="H41" s="226"/>
      <c r="I41" s="226"/>
      <c r="J41" s="226"/>
      <c r="K41" s="226"/>
    </row>
    <row r="42" spans="1:11" x14ac:dyDescent="0.3">
      <c r="A42" s="302"/>
      <c r="B42" s="304"/>
      <c r="C42" s="305"/>
      <c r="D42" s="226"/>
      <c r="E42" s="226"/>
      <c r="F42" s="226"/>
      <c r="G42" s="226"/>
      <c r="H42" s="226"/>
      <c r="I42" s="226"/>
      <c r="J42" s="226"/>
      <c r="K42" s="226"/>
    </row>
    <row r="43" spans="1:11" x14ac:dyDescent="0.3">
      <c r="A43" s="303"/>
      <c r="B43" s="289"/>
      <c r="C43" s="305"/>
    </row>
    <row r="44" spans="1:11" x14ac:dyDescent="0.3">
      <c r="A44" s="303"/>
      <c r="B44" s="289"/>
      <c r="C44" s="305"/>
    </row>
    <row r="45" spans="1:11" x14ac:dyDescent="0.3">
      <c r="A45" s="303"/>
      <c r="B45" s="289"/>
      <c r="C45" s="305"/>
    </row>
    <row r="46" spans="1:11" x14ac:dyDescent="0.3">
      <c r="A46" s="303"/>
      <c r="B46" s="289"/>
      <c r="C46" s="305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L39"/>
  <sheetViews>
    <sheetView workbookViewId="0">
      <selection activeCell="F17" sqref="F17"/>
    </sheetView>
  </sheetViews>
  <sheetFormatPr defaultRowHeight="14.4" x14ac:dyDescent="0.3"/>
  <cols>
    <col min="1" max="1" width="54" style="228" customWidth="1"/>
    <col min="2" max="2" width="13.33203125" style="228" customWidth="1"/>
    <col min="3" max="3" width="8.6640625" style="228" bestFit="1" customWidth="1"/>
    <col min="4" max="4" width="9.88671875" style="228" bestFit="1" customWidth="1"/>
    <col min="5" max="5" width="9.109375" style="228"/>
    <col min="6" max="6" width="11" style="228" bestFit="1" customWidth="1"/>
    <col min="7" max="7" width="8.6640625" style="228" bestFit="1" customWidth="1"/>
    <col min="8" max="8" width="9.88671875" style="228" bestFit="1" customWidth="1"/>
    <col min="9" max="9" width="9.109375" style="228"/>
    <col min="10" max="10" width="9.5546875" style="228" bestFit="1" customWidth="1"/>
    <col min="11" max="11" width="10" style="228" bestFit="1" customWidth="1"/>
    <col min="12" max="12" width="9.109375" style="228"/>
  </cols>
  <sheetData>
    <row r="1" spans="1:11" ht="15" x14ac:dyDescent="0.25">
      <c r="A1" s="119" t="s">
        <v>174</v>
      </c>
      <c r="B1" s="120" t="s">
        <v>210</v>
      </c>
      <c r="C1" s="120"/>
    </row>
    <row r="2" spans="1:11" ht="15.75" x14ac:dyDescent="0.25">
      <c r="A2" s="119" t="s">
        <v>176</v>
      </c>
      <c r="B2" s="121">
        <v>3.5999999999999997E-2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x14ac:dyDescent="0.25">
      <c r="A3" s="119" t="s">
        <v>177</v>
      </c>
      <c r="B3" s="123">
        <v>800</v>
      </c>
      <c r="C3" s="126" t="s">
        <v>211</v>
      </c>
      <c r="D3" s="229"/>
      <c r="E3" s="229"/>
      <c r="F3" s="229"/>
      <c r="G3" s="229"/>
      <c r="H3" s="229"/>
      <c r="I3" s="229"/>
      <c r="J3" s="229"/>
      <c r="K3" s="229"/>
    </row>
    <row r="4" spans="1:11" ht="15" x14ac:dyDescent="0.25">
      <c r="A4" s="230" t="s">
        <v>179</v>
      </c>
      <c r="B4" s="229"/>
      <c r="C4" s="126"/>
      <c r="D4" s="229"/>
      <c r="E4" s="229"/>
      <c r="F4" s="229"/>
      <c r="G4" s="229"/>
      <c r="H4" s="229"/>
      <c r="I4" s="229"/>
      <c r="J4" s="229"/>
      <c r="K4" s="229"/>
    </row>
    <row r="5" spans="1:11" ht="15" x14ac:dyDescent="0.25">
      <c r="A5" s="127" t="s">
        <v>180</v>
      </c>
      <c r="B5" s="128"/>
      <c r="C5" s="126" t="s">
        <v>181</v>
      </c>
      <c r="D5" s="229"/>
      <c r="E5" s="229"/>
      <c r="F5" s="229"/>
      <c r="G5" s="229"/>
      <c r="H5" s="229"/>
      <c r="I5" s="229"/>
      <c r="J5" s="229"/>
      <c r="K5" s="229"/>
    </row>
    <row r="6" spans="1:11" ht="15" x14ac:dyDescent="0.25">
      <c r="A6" s="130"/>
      <c r="B6" s="339" t="s">
        <v>182</v>
      </c>
      <c r="C6" s="340"/>
      <c r="D6" s="340"/>
      <c r="E6" s="131"/>
      <c r="F6" s="340" t="s">
        <v>8</v>
      </c>
      <c r="G6" s="340"/>
      <c r="H6" s="340"/>
      <c r="I6" s="131"/>
      <c r="J6" s="340" t="s">
        <v>183</v>
      </c>
      <c r="K6" s="341"/>
    </row>
    <row r="7" spans="1:11" ht="15" x14ac:dyDescent="0.25">
      <c r="A7" s="130"/>
      <c r="B7" s="132" t="s">
        <v>184</v>
      </c>
      <c r="C7" s="132" t="s">
        <v>185</v>
      </c>
      <c r="D7" s="133" t="s">
        <v>186</v>
      </c>
      <c r="E7" s="134"/>
      <c r="F7" s="135" t="s">
        <v>184</v>
      </c>
      <c r="G7" s="135" t="s">
        <v>185</v>
      </c>
      <c r="H7" s="136" t="s">
        <v>186</v>
      </c>
      <c r="I7" s="134"/>
      <c r="J7" s="137" t="s">
        <v>187</v>
      </c>
      <c r="K7" s="138" t="s">
        <v>188</v>
      </c>
    </row>
    <row r="8" spans="1:11" ht="15" x14ac:dyDescent="0.25">
      <c r="A8" s="130"/>
      <c r="B8" s="139" t="s">
        <v>189</v>
      </c>
      <c r="C8" s="139"/>
      <c r="D8" s="140" t="s">
        <v>189</v>
      </c>
      <c r="E8" s="134"/>
      <c r="F8" s="141" t="s">
        <v>189</v>
      </c>
      <c r="G8" s="141"/>
      <c r="H8" s="142" t="s">
        <v>189</v>
      </c>
      <c r="I8" s="134"/>
      <c r="J8" s="143"/>
      <c r="K8" s="144"/>
    </row>
    <row r="9" spans="1:11" ht="15" x14ac:dyDescent="0.25">
      <c r="A9" s="145" t="s">
        <v>18</v>
      </c>
      <c r="B9" s="146">
        <f>ROUND('January 01, 2016 Rates'!G9,2)</f>
        <v>13.22</v>
      </c>
      <c r="C9" s="147">
        <v>1</v>
      </c>
      <c r="D9" s="148">
        <f t="shared" ref="D9:D14" si="0">C9*B9</f>
        <v>13.22</v>
      </c>
      <c r="E9" s="147"/>
      <c r="F9" s="149">
        <f>ROUND('January 01, 2016 Rates'!F9,2)</f>
        <v>15.75</v>
      </c>
      <c r="G9" s="150">
        <f t="shared" ref="G9:G14" si="1">C9</f>
        <v>1</v>
      </c>
      <c r="H9" s="148">
        <f>G9*F9</f>
        <v>15.75</v>
      </c>
      <c r="I9" s="147"/>
      <c r="J9" s="151">
        <f t="shared" ref="J9:J37" si="2">H9-D9</f>
        <v>2.5299999999999994</v>
      </c>
      <c r="K9" s="152">
        <f t="shared" ref="K9:K37" si="3">IF((D9)=0,"",(J9/D9))</f>
        <v>0.19137670196671705</v>
      </c>
    </row>
    <row r="10" spans="1:11" ht="15" x14ac:dyDescent="0.25">
      <c r="A10" s="145" t="s">
        <v>26</v>
      </c>
      <c r="B10" s="153">
        <f>ROUND('January 01, 2016 Rates'!G14,4)</f>
        <v>1.3299999999999999E-2</v>
      </c>
      <c r="C10" s="154">
        <f>B3</f>
        <v>800</v>
      </c>
      <c r="D10" s="148">
        <f t="shared" si="0"/>
        <v>10.639999999999999</v>
      </c>
      <c r="E10" s="147"/>
      <c r="F10" s="288">
        <f>ROUND('January 01, 2016 Rates'!F14,4)</f>
        <v>1.0200000000000001E-2</v>
      </c>
      <c r="G10" s="156">
        <f t="shared" si="1"/>
        <v>800</v>
      </c>
      <c r="H10" s="148">
        <f>G10*F10</f>
        <v>8.16</v>
      </c>
      <c r="I10" s="147"/>
      <c r="J10" s="151">
        <f t="shared" si="2"/>
        <v>-2.4799999999999986</v>
      </c>
      <c r="K10" s="152">
        <f t="shared" si="3"/>
        <v>-0.2330827067669172</v>
      </c>
    </row>
    <row r="11" spans="1:11" ht="15" x14ac:dyDescent="0.25">
      <c r="A11" s="145" t="s">
        <v>264</v>
      </c>
      <c r="B11" s="153">
        <f>ROUND('January 01, 2016 Rates'!G11,4)</f>
        <v>0</v>
      </c>
      <c r="C11" s="154">
        <v>1</v>
      </c>
      <c r="D11" s="148">
        <f t="shared" si="0"/>
        <v>0</v>
      </c>
      <c r="E11" s="147"/>
      <c r="F11" s="149">
        <f>ROUND('January 01, 2016 Rates'!F11,2)</f>
        <v>0.01</v>
      </c>
      <c r="G11" s="156">
        <f t="shared" si="1"/>
        <v>1</v>
      </c>
      <c r="H11" s="148">
        <f>G11*F11</f>
        <v>0.01</v>
      </c>
      <c r="I11" s="147"/>
      <c r="J11" s="151">
        <f t="shared" si="2"/>
        <v>0.01</v>
      </c>
      <c r="K11" s="152" t="str">
        <f t="shared" si="3"/>
        <v/>
      </c>
    </row>
    <row r="12" spans="1:11" ht="15" hidden="1" x14ac:dyDescent="0.25">
      <c r="A12" s="145" t="s">
        <v>265</v>
      </c>
      <c r="B12" s="153">
        <f>ROUND('January 01, 2016 Rates'!G12,4)</f>
        <v>0</v>
      </c>
      <c r="C12" s="154">
        <v>1</v>
      </c>
      <c r="D12" s="148">
        <f t="shared" si="0"/>
        <v>0</v>
      </c>
      <c r="E12" s="147"/>
      <c r="F12" s="149"/>
      <c r="G12" s="156">
        <f t="shared" si="1"/>
        <v>1</v>
      </c>
      <c r="H12" s="148">
        <f t="shared" ref="H12:H14" si="4">G12*F12</f>
        <v>0</v>
      </c>
      <c r="I12" s="147"/>
      <c r="J12" s="151">
        <f t="shared" ref="J12:J14" si="5">H12-D12</f>
        <v>0</v>
      </c>
      <c r="K12" s="152" t="str">
        <f t="shared" ref="K12:K14" si="6">IF((D12)=0,"",(J12/D12))</f>
        <v/>
      </c>
    </row>
    <row r="13" spans="1:11" ht="15" hidden="1" x14ac:dyDescent="0.25">
      <c r="A13" s="145" t="s">
        <v>266</v>
      </c>
      <c r="B13" s="153">
        <v>0</v>
      </c>
      <c r="C13" s="154">
        <f>B3</f>
        <v>800</v>
      </c>
      <c r="D13" s="148">
        <f t="shared" si="0"/>
        <v>0</v>
      </c>
      <c r="E13" s="147"/>
      <c r="F13" s="149"/>
      <c r="G13" s="156">
        <f t="shared" si="1"/>
        <v>800</v>
      </c>
      <c r="H13" s="148">
        <f t="shared" si="4"/>
        <v>0</v>
      </c>
      <c r="I13" s="147"/>
      <c r="J13" s="151">
        <f t="shared" si="5"/>
        <v>0</v>
      </c>
      <c r="K13" s="152" t="str">
        <f t="shared" si="6"/>
        <v/>
      </c>
    </row>
    <row r="14" spans="1:11" ht="15" x14ac:dyDescent="0.25">
      <c r="A14" s="168" t="s">
        <v>274</v>
      </c>
      <c r="B14" s="157">
        <v>0</v>
      </c>
      <c r="C14" s="158">
        <v>1</v>
      </c>
      <c r="D14" s="148">
        <f t="shared" si="0"/>
        <v>0</v>
      </c>
      <c r="E14" s="147"/>
      <c r="F14" s="149">
        <f>ROUND('January 01, 2016 Rates'!F13,2)</f>
        <v>0.06</v>
      </c>
      <c r="G14" s="158">
        <f t="shared" si="1"/>
        <v>1</v>
      </c>
      <c r="H14" s="148">
        <f t="shared" si="4"/>
        <v>0.06</v>
      </c>
      <c r="I14" s="147"/>
      <c r="J14" s="151">
        <f t="shared" si="5"/>
        <v>0.06</v>
      </c>
      <c r="K14" s="152" t="str">
        <f t="shared" si="6"/>
        <v/>
      </c>
    </row>
    <row r="15" spans="1:11" ht="15" x14ac:dyDescent="0.25">
      <c r="A15" s="169" t="s">
        <v>190</v>
      </c>
      <c r="B15" s="162"/>
      <c r="C15" s="163"/>
      <c r="D15" s="172">
        <f>SUM(D9:D14)</f>
        <v>23.86</v>
      </c>
      <c r="E15" s="147"/>
      <c r="F15" s="173"/>
      <c r="G15" s="163"/>
      <c r="H15" s="172">
        <f>SUM(H9:H14)</f>
        <v>23.98</v>
      </c>
      <c r="I15" s="147"/>
      <c r="J15" s="175">
        <f>H15-D15</f>
        <v>0.12000000000000099</v>
      </c>
      <c r="K15" s="176">
        <f>IF((D15)=0,"",(J15/D15))</f>
        <v>5.0293378038558673E-3</v>
      </c>
    </row>
    <row r="16" spans="1:11" ht="15" x14ac:dyDescent="0.25">
      <c r="A16" s="166" t="s">
        <v>191</v>
      </c>
      <c r="B16" s="153">
        <f>ROUND(B29*0.64+B30*0.18+B31*0.18,4)</f>
        <v>0.1021</v>
      </c>
      <c r="C16" s="167">
        <f>B3*(B2)</f>
        <v>28.799999999999997</v>
      </c>
      <c r="D16" s="148">
        <f>B16*C16</f>
        <v>2.9404799999999995</v>
      </c>
      <c r="E16" s="147"/>
      <c r="F16" s="155">
        <f>ROUND(F29*0.64+F30*0.18+F31*0.18,4)</f>
        <v>0.1021</v>
      </c>
      <c r="G16" s="167">
        <f>C16</f>
        <v>28.799999999999997</v>
      </c>
      <c r="H16" s="148">
        <f>F16*G16</f>
        <v>2.9404799999999995</v>
      </c>
      <c r="I16" s="147"/>
      <c r="J16" s="151">
        <f t="shared" si="2"/>
        <v>0</v>
      </c>
      <c r="K16" s="152">
        <f t="shared" si="3"/>
        <v>0</v>
      </c>
    </row>
    <row r="17" spans="1:11" ht="15" x14ac:dyDescent="0.25">
      <c r="A17" s="166" t="s">
        <v>267</v>
      </c>
      <c r="B17" s="153">
        <f>ROUND('January 01, 2016 Rates'!G15+'January 01, 2016 Rates'!G16,4)</f>
        <v>0</v>
      </c>
      <c r="C17" s="167">
        <f>B3</f>
        <v>800</v>
      </c>
      <c r="D17" s="148">
        <f>C17*B17</f>
        <v>0</v>
      </c>
      <c r="E17" s="147"/>
      <c r="F17" s="155">
        <f>ROUND('January 01, 2016 Rates'!F15+'January 01, 2016 Rates'!F16,4)</f>
        <v>2E-3</v>
      </c>
      <c r="G17" s="167">
        <f>C17</f>
        <v>800</v>
      </c>
      <c r="H17" s="148">
        <f>G17*F17</f>
        <v>1.6</v>
      </c>
      <c r="I17" s="147"/>
      <c r="J17" s="151">
        <f>H17-D17</f>
        <v>1.6</v>
      </c>
      <c r="K17" s="152" t="str">
        <f>IF((D17)=0,"",(J17/D17))</f>
        <v/>
      </c>
    </row>
    <row r="18" spans="1:11" ht="15" x14ac:dyDescent="0.25">
      <c r="A18" s="168" t="s">
        <v>192</v>
      </c>
      <c r="B18" s="153">
        <f>ROUND('January 01, 2016 Rates'!G17,4)</f>
        <v>2.0000000000000001E-4</v>
      </c>
      <c r="C18" s="167">
        <f>B3</f>
        <v>800</v>
      </c>
      <c r="D18" s="148">
        <f>C18*B18</f>
        <v>0.16</v>
      </c>
      <c r="E18" s="147"/>
      <c r="F18" s="288">
        <f>ROUND('January 01, 2016 Rates'!F17,4)</f>
        <v>2.0000000000000001E-4</v>
      </c>
      <c r="G18" s="167">
        <f>C18</f>
        <v>800</v>
      </c>
      <c r="H18" s="148">
        <f>G18*F18</f>
        <v>0.16</v>
      </c>
      <c r="I18" s="147"/>
      <c r="J18" s="151">
        <f t="shared" si="2"/>
        <v>0</v>
      </c>
      <c r="K18" s="152">
        <f t="shared" si="3"/>
        <v>0</v>
      </c>
    </row>
    <row r="19" spans="1:11" ht="15" x14ac:dyDescent="0.25">
      <c r="A19" s="168" t="s">
        <v>193</v>
      </c>
      <c r="B19" s="153">
        <f>ROUND('January 01, 2016 Rates'!G10,4)</f>
        <v>0.79</v>
      </c>
      <c r="C19" s="167">
        <v>1</v>
      </c>
      <c r="D19" s="148">
        <f>C19*B19</f>
        <v>0.79</v>
      </c>
      <c r="E19" s="147"/>
      <c r="F19" s="288">
        <f>ROUND('January 01, 2016 Rates'!F10,4)</f>
        <v>0.79</v>
      </c>
      <c r="G19" s="167">
        <f>C19</f>
        <v>1</v>
      </c>
      <c r="H19" s="148">
        <f>G19*F19</f>
        <v>0.79</v>
      </c>
      <c r="I19" s="147"/>
      <c r="J19" s="151">
        <f t="shared" si="2"/>
        <v>0</v>
      </c>
      <c r="K19" s="152">
        <f t="shared" si="3"/>
        <v>0</v>
      </c>
    </row>
    <row r="20" spans="1:11" ht="15" x14ac:dyDescent="0.25">
      <c r="A20" s="169" t="s">
        <v>194</v>
      </c>
      <c r="B20" s="170"/>
      <c r="C20" s="171"/>
      <c r="D20" s="172">
        <f>SUM(D15:D19)</f>
        <v>27.75048</v>
      </c>
      <c r="E20" s="147"/>
      <c r="F20" s="173"/>
      <c r="G20" s="174"/>
      <c r="H20" s="172">
        <f>SUM(H15:H19)</f>
        <v>29.470480000000002</v>
      </c>
      <c r="I20" s="147"/>
      <c r="J20" s="175">
        <f t="shared" si="2"/>
        <v>1.7200000000000024</v>
      </c>
      <c r="K20" s="176">
        <f t="shared" si="3"/>
        <v>6.1980909879757122E-2</v>
      </c>
    </row>
    <row r="21" spans="1:11" ht="15" x14ac:dyDescent="0.25">
      <c r="A21" s="177" t="s">
        <v>195</v>
      </c>
      <c r="B21" s="153">
        <f>ROUND('January 01, 2016 Rates'!G18,4)</f>
        <v>8.0999999999999996E-3</v>
      </c>
      <c r="C21" s="178">
        <f>B3</f>
        <v>800</v>
      </c>
      <c r="D21" s="148">
        <f>C21*B21</f>
        <v>6.4799999999999995</v>
      </c>
      <c r="E21" s="147"/>
      <c r="F21" s="288">
        <f>ROUND('January 01, 2016 Rates'!F18,4)</f>
        <v>7.7000000000000002E-3</v>
      </c>
      <c r="G21" s="179">
        <f>C21</f>
        <v>800</v>
      </c>
      <c r="H21" s="148">
        <f>G21*F21</f>
        <v>6.16</v>
      </c>
      <c r="I21" s="147"/>
      <c r="J21" s="151">
        <f t="shared" si="2"/>
        <v>-0.3199999999999994</v>
      </c>
      <c r="K21" s="152">
        <f t="shared" si="3"/>
        <v>-4.9382716049382623E-2</v>
      </c>
    </row>
    <row r="22" spans="1:11" ht="15" x14ac:dyDescent="0.25">
      <c r="A22" s="180" t="s">
        <v>196</v>
      </c>
      <c r="B22" s="153">
        <f>ROUND('January 01, 2016 Rates'!G19,4)</f>
        <v>6.1999999999999998E-3</v>
      </c>
      <c r="C22" s="178">
        <f>B3</f>
        <v>800</v>
      </c>
      <c r="D22" s="148">
        <f>C22*B22</f>
        <v>4.96</v>
      </c>
      <c r="E22" s="147"/>
      <c r="F22" s="288">
        <f>ROUND('January 01, 2016 Rates'!F19,4)</f>
        <v>6.4000000000000003E-3</v>
      </c>
      <c r="G22" s="179">
        <f>C22</f>
        <v>800</v>
      </c>
      <c r="H22" s="148">
        <f>G22*F22</f>
        <v>5.12</v>
      </c>
      <c r="I22" s="147"/>
      <c r="J22" s="151">
        <f t="shared" si="2"/>
        <v>0.16000000000000014</v>
      </c>
      <c r="K22" s="152">
        <f t="shared" si="3"/>
        <v>3.2258064516129059E-2</v>
      </c>
    </row>
    <row r="23" spans="1:11" ht="15" x14ac:dyDescent="0.25">
      <c r="A23" s="169" t="s">
        <v>197</v>
      </c>
      <c r="B23" s="170"/>
      <c r="C23" s="171"/>
      <c r="D23" s="172">
        <f>SUM(D20:D22)</f>
        <v>39.190480000000001</v>
      </c>
      <c r="E23" s="181"/>
      <c r="F23" s="182"/>
      <c r="G23" s="183"/>
      <c r="H23" s="172">
        <f>SUM(H20:H22)</f>
        <v>40.750480000000003</v>
      </c>
      <c r="I23" s="181"/>
      <c r="J23" s="175">
        <f>H23-D23</f>
        <v>1.5600000000000023</v>
      </c>
      <c r="K23" s="176">
        <f>IF((D23)=0,"",(J23/D23))</f>
        <v>3.9805585438096251E-2</v>
      </c>
    </row>
    <row r="24" spans="1:11" ht="15" x14ac:dyDescent="0.25">
      <c r="A24" s="168" t="s">
        <v>198</v>
      </c>
      <c r="B24" s="153">
        <f>ROUND('January 01, 2016 Rates'!G20,4)</f>
        <v>4.4000000000000003E-3</v>
      </c>
      <c r="C24" s="332">
        <f>$B$3*$B$2+$B$3</f>
        <v>828.8</v>
      </c>
      <c r="D24" s="148">
        <f t="shared" ref="D24:D31" si="7">C24*B24</f>
        <v>3.6467200000000002</v>
      </c>
      <c r="E24" s="147"/>
      <c r="F24" s="288">
        <f>ROUND('January 01, 2016 Rates'!F20,4)</f>
        <v>3.5999999999999999E-3</v>
      </c>
      <c r="G24" s="179">
        <f t="shared" ref="G24:G31" si="8">C24</f>
        <v>828.8</v>
      </c>
      <c r="H24" s="148">
        <f t="shared" ref="H24:H31" si="9">G24*F24</f>
        <v>2.9836799999999997</v>
      </c>
      <c r="I24" s="147"/>
      <c r="J24" s="151">
        <f t="shared" si="2"/>
        <v>-0.66304000000000052</v>
      </c>
      <c r="K24" s="152">
        <f t="shared" si="3"/>
        <v>-0.18181818181818196</v>
      </c>
    </row>
    <row r="25" spans="1:11" ht="15" x14ac:dyDescent="0.25">
      <c r="A25" s="168" t="s">
        <v>199</v>
      </c>
      <c r="B25" s="153">
        <f>ROUND('January 01, 2016 Rates'!G21,4)</f>
        <v>1.2999999999999999E-3</v>
      </c>
      <c r="C25" s="178">
        <f>+C24</f>
        <v>828.8</v>
      </c>
      <c r="D25" s="148">
        <f t="shared" si="7"/>
        <v>1.07744</v>
      </c>
      <c r="E25" s="147"/>
      <c r="F25" s="288">
        <f>ROUND('January 01, 2016 Rates'!F21,4)</f>
        <v>1.2999999999999999E-3</v>
      </c>
      <c r="G25" s="179">
        <f t="shared" si="8"/>
        <v>828.8</v>
      </c>
      <c r="H25" s="148">
        <f t="shared" si="9"/>
        <v>1.07744</v>
      </c>
      <c r="I25" s="147"/>
      <c r="J25" s="151">
        <f t="shared" si="2"/>
        <v>0</v>
      </c>
      <c r="K25" s="152">
        <f t="shared" si="3"/>
        <v>0</v>
      </c>
    </row>
    <row r="26" spans="1:11" ht="15" x14ac:dyDescent="0.25">
      <c r="A26" s="168" t="s">
        <v>200</v>
      </c>
      <c r="B26" s="153">
        <f>ROUND('January 01, 2016 Rates'!G24,4)</f>
        <v>0.25</v>
      </c>
      <c r="C26" s="178">
        <v>1</v>
      </c>
      <c r="D26" s="148">
        <f t="shared" si="7"/>
        <v>0.25</v>
      </c>
      <c r="E26" s="147"/>
      <c r="F26" s="288">
        <f>ROUND('January 01, 2016 Rates'!F24,4)</f>
        <v>0.25</v>
      </c>
      <c r="G26" s="179">
        <f t="shared" si="8"/>
        <v>1</v>
      </c>
      <c r="H26" s="148">
        <f t="shared" si="9"/>
        <v>0.25</v>
      </c>
      <c r="I26" s="147"/>
      <c r="J26" s="151">
        <f t="shared" si="2"/>
        <v>0</v>
      </c>
      <c r="K26" s="152">
        <f t="shared" si="3"/>
        <v>0</v>
      </c>
    </row>
    <row r="27" spans="1:11" ht="15" x14ac:dyDescent="0.25">
      <c r="A27" s="168" t="s">
        <v>201</v>
      </c>
      <c r="B27" s="153">
        <f>ROUND('January 01, 2016 Rates'!G23,4)</f>
        <v>7.0000000000000001E-3</v>
      </c>
      <c r="C27" s="178">
        <f>B3</f>
        <v>800</v>
      </c>
      <c r="D27" s="148">
        <f t="shared" si="7"/>
        <v>5.6000000000000005</v>
      </c>
      <c r="E27" s="147"/>
      <c r="F27" s="311"/>
      <c r="G27" s="312"/>
      <c r="H27" s="310"/>
      <c r="I27" s="147"/>
      <c r="J27" s="313"/>
      <c r="K27" s="314"/>
    </row>
    <row r="28" spans="1:11" ht="15" x14ac:dyDescent="0.25">
      <c r="A28" s="307" t="s">
        <v>263</v>
      </c>
      <c r="B28" s="308"/>
      <c r="C28" s="309"/>
      <c r="D28" s="310"/>
      <c r="E28" s="147"/>
      <c r="F28" s="288">
        <f>ROUND('January 01, 2016 Rates'!F22,4)</f>
        <v>1.1000000000000001E-3</v>
      </c>
      <c r="G28" s="332">
        <f>$B$3*$B$2+$B$3</f>
        <v>828.8</v>
      </c>
      <c r="H28" s="148">
        <f>G28*F28</f>
        <v>0.91168000000000005</v>
      </c>
      <c r="I28" s="147"/>
      <c r="J28" s="313"/>
      <c r="K28" s="314"/>
    </row>
    <row r="29" spans="1:11" ht="15" x14ac:dyDescent="0.25">
      <c r="A29" s="168" t="s">
        <v>202</v>
      </c>
      <c r="B29" s="153">
        <v>0.08</v>
      </c>
      <c r="C29" s="178">
        <f>B3*0.64</f>
        <v>512</v>
      </c>
      <c r="D29" s="148">
        <f t="shared" si="7"/>
        <v>40.96</v>
      </c>
      <c r="E29" s="147"/>
      <c r="F29" s="288">
        <f>B29</f>
        <v>0.08</v>
      </c>
      <c r="G29" s="178">
        <f t="shared" si="8"/>
        <v>512</v>
      </c>
      <c r="H29" s="148">
        <f t="shared" si="9"/>
        <v>40.96</v>
      </c>
      <c r="I29" s="147"/>
      <c r="J29" s="151">
        <f t="shared" si="2"/>
        <v>0</v>
      </c>
      <c r="K29" s="152">
        <f t="shared" si="3"/>
        <v>0</v>
      </c>
    </row>
    <row r="30" spans="1:11" ht="15" x14ac:dyDescent="0.25">
      <c r="A30" s="168" t="s">
        <v>203</v>
      </c>
      <c r="B30" s="153">
        <v>0.122</v>
      </c>
      <c r="C30" s="178">
        <f>B3*0.18</f>
        <v>144</v>
      </c>
      <c r="D30" s="148">
        <f t="shared" si="7"/>
        <v>17.567999999999998</v>
      </c>
      <c r="E30" s="147"/>
      <c r="F30" s="153">
        <f>B30</f>
        <v>0.122</v>
      </c>
      <c r="G30" s="178">
        <f t="shared" si="8"/>
        <v>144</v>
      </c>
      <c r="H30" s="148">
        <f t="shared" si="9"/>
        <v>17.567999999999998</v>
      </c>
      <c r="I30" s="147"/>
      <c r="J30" s="151">
        <f t="shared" si="2"/>
        <v>0</v>
      </c>
      <c r="K30" s="152">
        <f t="shared" si="3"/>
        <v>0</v>
      </c>
    </row>
    <row r="31" spans="1:11" ht="15.75" thickBot="1" x14ac:dyDescent="0.3">
      <c r="A31" s="130" t="s">
        <v>204</v>
      </c>
      <c r="B31" s="292">
        <v>0.161</v>
      </c>
      <c r="C31" s="178">
        <f>B3*0.18</f>
        <v>144</v>
      </c>
      <c r="D31" s="148">
        <f t="shared" si="7"/>
        <v>23.184000000000001</v>
      </c>
      <c r="E31" s="147"/>
      <c r="F31" s="292">
        <f>B31</f>
        <v>0.161</v>
      </c>
      <c r="G31" s="178">
        <f t="shared" si="8"/>
        <v>144</v>
      </c>
      <c r="H31" s="148">
        <f t="shared" si="9"/>
        <v>23.184000000000001</v>
      </c>
      <c r="I31" s="147"/>
      <c r="J31" s="151">
        <f t="shared" si="2"/>
        <v>0</v>
      </c>
      <c r="K31" s="152">
        <f t="shared" si="3"/>
        <v>0</v>
      </c>
    </row>
    <row r="32" spans="1:11" ht="15.75" thickBot="1" x14ac:dyDescent="0.3">
      <c r="A32" s="184"/>
      <c r="B32" s="185"/>
      <c r="C32" s="186"/>
      <c r="D32" s="187"/>
      <c r="E32" s="147"/>
      <c r="F32" s="185"/>
      <c r="G32" s="188"/>
      <c r="H32" s="187"/>
      <c r="I32" s="147"/>
      <c r="J32" s="189"/>
      <c r="K32" s="190"/>
    </row>
    <row r="33" spans="1:11" ht="15" x14ac:dyDescent="0.25">
      <c r="A33" s="191" t="s">
        <v>205</v>
      </c>
      <c r="B33" s="192"/>
      <c r="C33" s="193"/>
      <c r="D33" s="194">
        <f>SUM(D23:D31)</f>
        <v>131.47664</v>
      </c>
      <c r="E33" s="195"/>
      <c r="F33" s="196"/>
      <c r="G33" s="197"/>
      <c r="H33" s="194">
        <f>SUM(H23:H31)</f>
        <v>127.68527999999999</v>
      </c>
      <c r="I33" s="181"/>
      <c r="J33" s="198">
        <f>H33-D33</f>
        <v>-3.7913600000000116</v>
      </c>
      <c r="K33" s="199">
        <f>IF((D33)=0,"",(J33/D33))</f>
        <v>-2.8836757617170711E-2</v>
      </c>
    </row>
    <row r="34" spans="1:11" ht="15" x14ac:dyDescent="0.25">
      <c r="A34" s="200" t="s">
        <v>206</v>
      </c>
      <c r="B34" s="192">
        <v>0.13</v>
      </c>
      <c r="C34" s="201"/>
      <c r="D34" s="202">
        <f>D33*B34</f>
        <v>17.091963200000002</v>
      </c>
      <c r="E34" s="203"/>
      <c r="F34" s="204">
        <v>0.13</v>
      </c>
      <c r="G34" s="203"/>
      <c r="H34" s="202">
        <f>H33*F34</f>
        <v>16.599086400000001</v>
      </c>
      <c r="I34" s="147"/>
      <c r="J34" s="205">
        <f t="shared" si="2"/>
        <v>-0.49287680000000123</v>
      </c>
      <c r="K34" s="206">
        <f t="shared" si="3"/>
        <v>-2.8836757617170694E-2</v>
      </c>
    </row>
    <row r="35" spans="1:11" ht="15" x14ac:dyDescent="0.25">
      <c r="A35" s="207" t="s">
        <v>207</v>
      </c>
      <c r="B35" s="203"/>
      <c r="C35" s="201"/>
      <c r="D35" s="202">
        <f>D33+D34</f>
        <v>148.56860320000001</v>
      </c>
      <c r="E35" s="203"/>
      <c r="F35" s="208"/>
      <c r="G35" s="203"/>
      <c r="H35" s="202">
        <f>H33+H34</f>
        <v>144.28436639999998</v>
      </c>
      <c r="I35" s="147"/>
      <c r="J35" s="205">
        <f t="shared" si="2"/>
        <v>-4.2842368000000306</v>
      </c>
      <c r="K35" s="206">
        <f t="shared" si="3"/>
        <v>-2.8836757617170829E-2</v>
      </c>
    </row>
    <row r="36" spans="1:11" ht="15" x14ac:dyDescent="0.25">
      <c r="A36" s="209" t="s">
        <v>208</v>
      </c>
      <c r="B36" s="203"/>
      <c r="C36" s="201"/>
      <c r="D36" s="202">
        <f>ROUND(-D35*10%,2)</f>
        <v>-14.86</v>
      </c>
      <c r="E36" s="203"/>
      <c r="F36" s="315"/>
      <c r="G36" s="316"/>
      <c r="H36" s="317"/>
      <c r="I36" s="147"/>
      <c r="J36" s="313"/>
      <c r="K36" s="314"/>
    </row>
    <row r="37" spans="1:11" ht="15.75" thickBot="1" x14ac:dyDescent="0.3">
      <c r="A37" s="210" t="s">
        <v>209</v>
      </c>
      <c r="B37" s="211"/>
      <c r="C37" s="212"/>
      <c r="D37" s="213">
        <f>D35+D36</f>
        <v>133.70860320000003</v>
      </c>
      <c r="E37" s="195"/>
      <c r="F37" s="214"/>
      <c r="G37" s="215"/>
      <c r="H37" s="213">
        <f>H35+H36</f>
        <v>144.28436639999998</v>
      </c>
      <c r="I37" s="181"/>
      <c r="J37" s="164">
        <f t="shared" si="2"/>
        <v>10.575763199999955</v>
      </c>
      <c r="K37" s="165">
        <f t="shared" si="3"/>
        <v>7.9095607514355903E-2</v>
      </c>
    </row>
    <row r="38" spans="1:11" ht="15.75" thickBot="1" x14ac:dyDescent="0.3">
      <c r="A38" s="184"/>
      <c r="B38" s="216"/>
      <c r="C38" s="217"/>
      <c r="D38" s="218"/>
      <c r="E38" s="219"/>
      <c r="F38" s="220"/>
      <c r="G38" s="221"/>
      <c r="H38" s="222"/>
      <c r="I38" s="219"/>
      <c r="J38" s="223"/>
      <c r="K38" s="224"/>
    </row>
    <row r="39" spans="1:11" ht="15" x14ac:dyDescent="0.25">
      <c r="H39" s="322"/>
      <c r="J39" s="322"/>
      <c r="K39" s="323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M41"/>
  <sheetViews>
    <sheetView workbookViewId="0">
      <selection activeCell="D37" sqref="D37"/>
    </sheetView>
  </sheetViews>
  <sheetFormatPr defaultRowHeight="14.4" x14ac:dyDescent="0.3"/>
  <cols>
    <col min="1" max="1" width="54.109375" style="234" bestFit="1" customWidth="1"/>
    <col min="2" max="2" width="14.44140625" style="234" customWidth="1"/>
    <col min="3" max="3" width="11.33203125" style="234" customWidth="1"/>
    <col min="4" max="4" width="14.33203125" style="234" customWidth="1"/>
    <col min="5" max="5" width="8" style="234" bestFit="1" customWidth="1"/>
    <col min="6" max="6" width="11" style="234" bestFit="1" customWidth="1"/>
    <col min="7" max="7" width="9.109375" style="234"/>
    <col min="8" max="8" width="9.88671875" style="234" bestFit="1" customWidth="1"/>
    <col min="9" max="9" width="8" style="234" bestFit="1" customWidth="1"/>
    <col min="10" max="10" width="9.5546875" style="234" bestFit="1" customWidth="1"/>
    <col min="11" max="11" width="10" style="234" bestFit="1" customWidth="1"/>
    <col min="12" max="12" width="9.5546875" style="236" bestFit="1" customWidth="1"/>
    <col min="13" max="13" width="10" style="236" bestFit="1" customWidth="1"/>
  </cols>
  <sheetData>
    <row r="1" spans="1:13" ht="15.75" x14ac:dyDescent="0.25">
      <c r="A1" s="119" t="s">
        <v>174</v>
      </c>
      <c r="B1" s="120" t="s">
        <v>212</v>
      </c>
      <c r="C1" s="120"/>
      <c r="D1" s="120"/>
      <c r="E1" s="231"/>
      <c r="F1" s="231"/>
      <c r="G1" s="231"/>
      <c r="H1" s="231"/>
      <c r="I1" s="231"/>
      <c r="J1" s="231"/>
      <c r="K1" s="232"/>
      <c r="L1" s="233"/>
      <c r="M1" s="233"/>
    </row>
    <row r="2" spans="1:13" ht="15.75" x14ac:dyDescent="0.25">
      <c r="A2" s="119" t="s">
        <v>176</v>
      </c>
      <c r="B2" s="121">
        <v>3.5999999999999997E-2</v>
      </c>
      <c r="C2" s="122"/>
      <c r="D2" s="122"/>
      <c r="E2" s="122"/>
      <c r="F2" s="122"/>
      <c r="G2" s="122"/>
      <c r="H2" s="122"/>
      <c r="I2" s="122"/>
      <c r="J2" s="122"/>
      <c r="K2" s="122"/>
      <c r="L2"/>
      <c r="M2"/>
    </row>
    <row r="3" spans="1:13" ht="15" x14ac:dyDescent="0.25">
      <c r="A3" s="119" t="s">
        <v>177</v>
      </c>
      <c r="B3" s="123">
        <v>2000</v>
      </c>
      <c r="C3" s="124" t="s">
        <v>178</v>
      </c>
      <c r="L3"/>
      <c r="M3"/>
    </row>
    <row r="4" spans="1:13" ht="15" x14ac:dyDescent="0.25">
      <c r="A4" s="230" t="s">
        <v>179</v>
      </c>
      <c r="L4"/>
      <c r="M4"/>
    </row>
    <row r="5" spans="1:13" ht="15" x14ac:dyDescent="0.25">
      <c r="A5" s="127" t="s">
        <v>180</v>
      </c>
      <c r="B5" s="128"/>
      <c r="C5" s="129" t="s">
        <v>181</v>
      </c>
      <c r="L5"/>
      <c r="M5"/>
    </row>
    <row r="6" spans="1:13" ht="15" x14ac:dyDescent="0.25">
      <c r="A6" s="130"/>
      <c r="B6" s="339" t="s">
        <v>182</v>
      </c>
      <c r="C6" s="340"/>
      <c r="D6" s="340"/>
      <c r="E6" s="131"/>
      <c r="F6" s="340" t="s">
        <v>8</v>
      </c>
      <c r="G6" s="340"/>
      <c r="H6" s="340"/>
      <c r="I6" s="131"/>
      <c r="J6" s="340" t="s">
        <v>183</v>
      </c>
      <c r="K6" s="341"/>
      <c r="L6"/>
      <c r="M6"/>
    </row>
    <row r="7" spans="1:13" ht="15" customHeight="1" x14ac:dyDescent="0.25">
      <c r="A7" s="130"/>
      <c r="B7" s="132" t="s">
        <v>184</v>
      </c>
      <c r="C7" s="132" t="s">
        <v>185</v>
      </c>
      <c r="D7" s="133" t="s">
        <v>186</v>
      </c>
      <c r="E7" s="134"/>
      <c r="F7" s="135" t="s">
        <v>184</v>
      </c>
      <c r="G7" s="135" t="s">
        <v>185</v>
      </c>
      <c r="H7" s="136" t="s">
        <v>186</v>
      </c>
      <c r="I7" s="134"/>
      <c r="J7" s="137" t="s">
        <v>187</v>
      </c>
      <c r="K7" s="138" t="s">
        <v>188</v>
      </c>
      <c r="L7"/>
      <c r="M7"/>
    </row>
    <row r="8" spans="1:13" ht="15" x14ac:dyDescent="0.25">
      <c r="A8" s="130"/>
      <c r="B8" s="139" t="s">
        <v>189</v>
      </c>
      <c r="C8" s="139"/>
      <c r="D8" s="140" t="s">
        <v>189</v>
      </c>
      <c r="E8" s="134"/>
      <c r="F8" s="141" t="s">
        <v>189</v>
      </c>
      <c r="G8" s="141"/>
      <c r="H8" s="142" t="s">
        <v>189</v>
      </c>
      <c r="I8" s="134"/>
      <c r="J8" s="143"/>
      <c r="K8" s="144"/>
      <c r="L8"/>
      <c r="M8"/>
    </row>
    <row r="9" spans="1:13" ht="15" x14ac:dyDescent="0.25">
      <c r="A9" s="145" t="s">
        <v>18</v>
      </c>
      <c r="B9" s="146">
        <f>ROUND('January 01, 2016 Rates'!G26,2)</f>
        <v>40.68</v>
      </c>
      <c r="C9" s="147">
        <v>1</v>
      </c>
      <c r="D9" s="148">
        <f>C9*B9</f>
        <v>40.68</v>
      </c>
      <c r="E9" s="147"/>
      <c r="F9" s="149">
        <f>ROUND('January 01, 2016 Rates'!F26,2)</f>
        <v>41.47</v>
      </c>
      <c r="G9" s="150">
        <f>C9</f>
        <v>1</v>
      </c>
      <c r="H9" s="148">
        <f>G9*F9</f>
        <v>41.47</v>
      </c>
      <c r="I9" s="147"/>
      <c r="J9" s="151">
        <f t="shared" ref="J9:J37" si="0">H9-D9</f>
        <v>0.78999999999999915</v>
      </c>
      <c r="K9" s="152">
        <f t="shared" ref="K9:K37" si="1">IF((D9)=0,"",(J9/D9))</f>
        <v>1.9419862340216303E-2</v>
      </c>
      <c r="L9"/>
      <c r="M9"/>
    </row>
    <row r="10" spans="1:13" ht="15" x14ac:dyDescent="0.25">
      <c r="A10" s="145" t="s">
        <v>26</v>
      </c>
      <c r="B10" s="153">
        <f>ROUND('January 01, 2016 Rates'!G29,4)</f>
        <v>1.1900000000000001E-2</v>
      </c>
      <c r="C10" s="154">
        <f>+B3</f>
        <v>2000</v>
      </c>
      <c r="D10" s="148">
        <f>C10*B10</f>
        <v>23.8</v>
      </c>
      <c r="E10" s="147"/>
      <c r="F10" s="155">
        <f>ROUND('January 01, 2016 Rates'!F29,4)</f>
        <v>1.21E-2</v>
      </c>
      <c r="G10" s="156">
        <f>C10</f>
        <v>2000</v>
      </c>
      <c r="H10" s="148">
        <f>G10*F10</f>
        <v>24.2</v>
      </c>
      <c r="I10" s="147"/>
      <c r="J10" s="151">
        <f t="shared" si="0"/>
        <v>0.39999999999999858</v>
      </c>
      <c r="K10" s="152">
        <f t="shared" si="1"/>
        <v>1.6806722689075571E-2</v>
      </c>
      <c r="L10"/>
      <c r="M10"/>
    </row>
    <row r="11" spans="1:13" ht="15" x14ac:dyDescent="0.25">
      <c r="A11" s="145" t="s">
        <v>264</v>
      </c>
      <c r="B11" s="153">
        <f>ROUND('January 01, 2016 Rates'!G34,4)</f>
        <v>0</v>
      </c>
      <c r="C11" s="154">
        <v>1</v>
      </c>
      <c r="D11" s="148">
        <f>C11*B11</f>
        <v>0</v>
      </c>
      <c r="E11" s="147"/>
      <c r="F11" s="153">
        <f>ROUND('January 01, 2016 Rates'!F34,4)</f>
        <v>0</v>
      </c>
      <c r="G11" s="156">
        <f>C11</f>
        <v>1</v>
      </c>
      <c r="H11" s="148">
        <f>G11*F11</f>
        <v>0</v>
      </c>
      <c r="I11" s="147"/>
      <c r="J11" s="151">
        <f t="shared" ref="J11" si="2">H11-D11</f>
        <v>0</v>
      </c>
      <c r="K11" s="152" t="str">
        <f t="shared" ref="K11" si="3">IF((D11)=0,"",(J11/D11))</f>
        <v/>
      </c>
      <c r="L11"/>
      <c r="M11"/>
    </row>
    <row r="12" spans="1:13" ht="15" hidden="1" x14ac:dyDescent="0.25">
      <c r="A12" s="145" t="s">
        <v>265</v>
      </c>
      <c r="B12" s="153">
        <f>ROUND('January 01, 2016 Rates'!G28,4)</f>
        <v>0</v>
      </c>
      <c r="C12" s="154">
        <v>1</v>
      </c>
      <c r="D12" s="148"/>
      <c r="E12" s="147"/>
      <c r="F12" s="153"/>
      <c r="G12" s="156">
        <f t="shared" ref="G12:G13" si="4">C12</f>
        <v>1</v>
      </c>
      <c r="H12" s="148">
        <f t="shared" ref="H12:H14" si="5">G12*F12</f>
        <v>0</v>
      </c>
      <c r="I12" s="147"/>
      <c r="J12" s="151">
        <f t="shared" ref="J12:J14" si="6">H12-D12</f>
        <v>0</v>
      </c>
      <c r="K12" s="152" t="str">
        <f t="shared" ref="K12:K14" si="7">IF((D12)=0,"",(J12/D12))</f>
        <v/>
      </c>
      <c r="L12"/>
      <c r="M12"/>
    </row>
    <row r="13" spans="1:13" ht="15" hidden="1" x14ac:dyDescent="0.25">
      <c r="A13" s="319" t="s">
        <v>266</v>
      </c>
      <c r="B13" s="157">
        <f>ROUND('January 01, 2016 Rates'!G35,4)</f>
        <v>0</v>
      </c>
      <c r="C13" s="158">
        <f>B3</f>
        <v>2000</v>
      </c>
      <c r="D13" s="159"/>
      <c r="E13" s="147"/>
      <c r="F13" s="157"/>
      <c r="G13" s="161">
        <f t="shared" si="4"/>
        <v>2000</v>
      </c>
      <c r="H13" s="247">
        <f t="shared" si="5"/>
        <v>0</v>
      </c>
      <c r="I13" s="147"/>
      <c r="J13" s="151">
        <f t="shared" si="6"/>
        <v>0</v>
      </c>
      <c r="K13" s="152" t="str">
        <f t="shared" si="7"/>
        <v/>
      </c>
      <c r="L13"/>
      <c r="M13"/>
    </row>
    <row r="14" spans="1:13" ht="15" x14ac:dyDescent="0.25">
      <c r="A14" s="168" t="s">
        <v>274</v>
      </c>
      <c r="B14" s="153">
        <v>0</v>
      </c>
      <c r="C14" s="167">
        <f>B3</f>
        <v>2000</v>
      </c>
      <c r="D14" s="148">
        <f>C14*B14</f>
        <v>0</v>
      </c>
      <c r="E14" s="147"/>
      <c r="F14" s="288">
        <f>ROUND('January 01, 2016 Rates'!F31,4)</f>
        <v>2.0000000000000001E-4</v>
      </c>
      <c r="G14" s="167">
        <f>C14</f>
        <v>2000</v>
      </c>
      <c r="H14" s="148">
        <f t="shared" si="5"/>
        <v>0.4</v>
      </c>
      <c r="I14" s="147"/>
      <c r="J14" s="151">
        <f t="shared" si="6"/>
        <v>0.4</v>
      </c>
      <c r="K14" s="152" t="str">
        <f t="shared" si="7"/>
        <v/>
      </c>
      <c r="L14"/>
      <c r="M14"/>
    </row>
    <row r="15" spans="1:13" ht="15" x14ac:dyDescent="0.25">
      <c r="A15" s="169" t="s">
        <v>190</v>
      </c>
      <c r="B15" s="170"/>
      <c r="C15" s="171"/>
      <c r="D15" s="172">
        <f>SUM(D9:D14)</f>
        <v>64.48</v>
      </c>
      <c r="E15" s="147"/>
      <c r="F15" s="173"/>
      <c r="G15" s="174"/>
      <c r="H15" s="172">
        <f>SUM(H9:H14)</f>
        <v>66.070000000000007</v>
      </c>
      <c r="I15" s="147"/>
      <c r="J15" s="175">
        <f t="shared" si="0"/>
        <v>1.5900000000000034</v>
      </c>
      <c r="K15" s="176">
        <f t="shared" si="1"/>
        <v>2.4658808933002534E-2</v>
      </c>
      <c r="L15"/>
      <c r="M15"/>
    </row>
    <row r="16" spans="1:13" ht="15" x14ac:dyDescent="0.25">
      <c r="A16" s="166" t="s">
        <v>191</v>
      </c>
      <c r="B16" s="153">
        <f>ROUND(B29*0.64+B30*0.18+B31*0.18,4)</f>
        <v>0.1021</v>
      </c>
      <c r="C16" s="167">
        <f>+(SUM(C29:C31)*B2)</f>
        <v>72</v>
      </c>
      <c r="D16" s="148">
        <f>B16*C16</f>
        <v>7.3511999999999995</v>
      </c>
      <c r="E16" s="147"/>
      <c r="F16" s="155">
        <f>ROUND(F29*0.64+F30*0.18+F31*0.18,4)</f>
        <v>0.1021</v>
      </c>
      <c r="G16" s="167">
        <f>C16</f>
        <v>72</v>
      </c>
      <c r="H16" s="148">
        <f>F16*G16</f>
        <v>7.3511999999999995</v>
      </c>
      <c r="I16" s="147"/>
      <c r="J16" s="151">
        <f t="shared" si="0"/>
        <v>0</v>
      </c>
      <c r="K16" s="152">
        <f t="shared" si="1"/>
        <v>0</v>
      </c>
      <c r="L16"/>
      <c r="M16"/>
    </row>
    <row r="17" spans="1:13" ht="15" x14ac:dyDescent="0.25">
      <c r="A17" s="166" t="s">
        <v>267</v>
      </c>
      <c r="B17" s="153">
        <f>ROUND('January 01, 2016 Rates'!G30,4)</f>
        <v>0</v>
      </c>
      <c r="C17" s="167">
        <f>+B3</f>
        <v>2000</v>
      </c>
      <c r="D17" s="148">
        <f>C17*B17</f>
        <v>0</v>
      </c>
      <c r="E17" s="147"/>
      <c r="F17" s="153">
        <f>ROUND('January 01, 2016 Rates'!F30,4)</f>
        <v>2.9999999999999997E-4</v>
      </c>
      <c r="G17" s="167">
        <f>C17</f>
        <v>2000</v>
      </c>
      <c r="H17" s="148">
        <f>G17*F17</f>
        <v>0.6</v>
      </c>
      <c r="I17" s="147"/>
      <c r="J17" s="151">
        <f t="shared" si="0"/>
        <v>0.6</v>
      </c>
      <c r="K17" s="152" t="str">
        <f t="shared" si="1"/>
        <v/>
      </c>
      <c r="L17"/>
      <c r="M17"/>
    </row>
    <row r="18" spans="1:13" ht="15" x14ac:dyDescent="0.25">
      <c r="A18" s="168" t="s">
        <v>192</v>
      </c>
      <c r="B18" s="153">
        <f>ROUND('January 01, 2016 Rates'!G33,4)</f>
        <v>2.0000000000000001E-4</v>
      </c>
      <c r="C18" s="167">
        <f>+B3</f>
        <v>2000</v>
      </c>
      <c r="D18" s="148">
        <f>C18*B18</f>
        <v>0.4</v>
      </c>
      <c r="E18" s="147"/>
      <c r="F18" s="155">
        <f>ROUND('January 01, 2016 Rates'!F33,4)</f>
        <v>2.0000000000000001E-4</v>
      </c>
      <c r="G18" s="167">
        <f>C18</f>
        <v>2000</v>
      </c>
      <c r="H18" s="148">
        <f>G18*F18</f>
        <v>0.4</v>
      </c>
      <c r="I18" s="147"/>
      <c r="J18" s="151">
        <f t="shared" si="0"/>
        <v>0</v>
      </c>
      <c r="K18" s="152">
        <f t="shared" si="1"/>
        <v>0</v>
      </c>
      <c r="L18"/>
      <c r="M18"/>
    </row>
    <row r="19" spans="1:13" ht="15" x14ac:dyDescent="0.25">
      <c r="A19" s="168" t="s">
        <v>193</v>
      </c>
      <c r="B19" s="153">
        <f>ROUND('January 01, 2016 Rates'!G27,4)</f>
        <v>0.79</v>
      </c>
      <c r="C19" s="167">
        <v>1</v>
      </c>
      <c r="D19" s="148">
        <f>C19*B19</f>
        <v>0.79</v>
      </c>
      <c r="E19" s="147"/>
      <c r="F19" s="155">
        <f>ROUND('January 01, 2016 Rates'!F27,4)</f>
        <v>0.79</v>
      </c>
      <c r="G19" s="167">
        <f>C19</f>
        <v>1</v>
      </c>
      <c r="H19" s="148">
        <f>G19*F19</f>
        <v>0.79</v>
      </c>
      <c r="I19" s="147"/>
      <c r="J19" s="151">
        <f t="shared" si="0"/>
        <v>0</v>
      </c>
      <c r="K19" s="152">
        <f t="shared" si="1"/>
        <v>0</v>
      </c>
      <c r="L19"/>
      <c r="M19"/>
    </row>
    <row r="20" spans="1:13" ht="15" x14ac:dyDescent="0.25">
      <c r="A20" s="169" t="s">
        <v>194</v>
      </c>
      <c r="B20" s="170"/>
      <c r="C20" s="171"/>
      <c r="D20" s="172">
        <f>SUM(D15:D19)</f>
        <v>73.021200000000022</v>
      </c>
      <c r="E20" s="147"/>
      <c r="F20" s="173"/>
      <c r="G20" s="174"/>
      <c r="H20" s="172">
        <f>SUM(H15:H19)</f>
        <v>75.211200000000019</v>
      </c>
      <c r="I20" s="147"/>
      <c r="J20" s="175">
        <f t="shared" si="0"/>
        <v>2.1899999999999977</v>
      </c>
      <c r="K20" s="176">
        <f t="shared" si="1"/>
        <v>2.9991290200654018E-2</v>
      </c>
      <c r="L20"/>
      <c r="M20"/>
    </row>
    <row r="21" spans="1:13" ht="15" customHeight="1" x14ac:dyDescent="0.25">
      <c r="A21" s="177" t="s">
        <v>195</v>
      </c>
      <c r="B21" s="153">
        <f>ROUND('January 01, 2016 Rates'!G36,4)</f>
        <v>7.6E-3</v>
      </c>
      <c r="C21" s="178">
        <f>+B3</f>
        <v>2000</v>
      </c>
      <c r="D21" s="148">
        <f>C21*B21</f>
        <v>15.2</v>
      </c>
      <c r="E21" s="147"/>
      <c r="F21" s="155">
        <f>ROUND('January 01, 2016 Rates'!F36,4)</f>
        <v>7.1999999999999998E-3</v>
      </c>
      <c r="G21" s="179">
        <f>C21</f>
        <v>2000</v>
      </c>
      <c r="H21" s="148">
        <f>G21*F21</f>
        <v>14.4</v>
      </c>
      <c r="I21" s="147"/>
      <c r="J21" s="151">
        <f t="shared" si="0"/>
        <v>-0.79999999999999893</v>
      </c>
      <c r="K21" s="152">
        <f t="shared" si="1"/>
        <v>-5.2631578947368356E-2</v>
      </c>
      <c r="L21"/>
      <c r="M21"/>
    </row>
    <row r="22" spans="1:13" ht="15" x14ac:dyDescent="0.25">
      <c r="A22" s="180" t="s">
        <v>196</v>
      </c>
      <c r="B22" s="153">
        <f>ROUND('January 01, 2016 Rates'!G37,4)</f>
        <v>5.5999999999999999E-3</v>
      </c>
      <c r="C22" s="178">
        <f>+B3</f>
        <v>2000</v>
      </c>
      <c r="D22" s="148">
        <f>C22*B22</f>
        <v>11.2</v>
      </c>
      <c r="E22" s="147"/>
      <c r="F22" s="155">
        <f>ROUND('January 01, 2016 Rates'!F37,4)</f>
        <v>5.7999999999999996E-3</v>
      </c>
      <c r="G22" s="179">
        <f>C22</f>
        <v>2000</v>
      </c>
      <c r="H22" s="148">
        <f>G22*F22</f>
        <v>11.6</v>
      </c>
      <c r="I22" s="147"/>
      <c r="J22" s="151">
        <f t="shared" si="0"/>
        <v>0.40000000000000036</v>
      </c>
      <c r="K22" s="152">
        <f t="shared" si="1"/>
        <v>3.5714285714285747E-2</v>
      </c>
      <c r="L22"/>
      <c r="M22"/>
    </row>
    <row r="23" spans="1:13" ht="15" x14ac:dyDescent="0.25">
      <c r="A23" s="169" t="s">
        <v>197</v>
      </c>
      <c r="B23" s="170"/>
      <c r="C23" s="171"/>
      <c r="D23" s="172">
        <f>SUM(D20:D22)</f>
        <v>99.421200000000027</v>
      </c>
      <c r="E23" s="181"/>
      <c r="F23" s="182"/>
      <c r="G23" s="183"/>
      <c r="H23" s="172">
        <f>SUM(H20:H22)</f>
        <v>101.21120000000002</v>
      </c>
      <c r="I23" s="181"/>
      <c r="J23" s="175">
        <f t="shared" si="0"/>
        <v>1.789999999999992</v>
      </c>
      <c r="K23" s="176">
        <f t="shared" si="1"/>
        <v>1.8004208357975879E-2</v>
      </c>
      <c r="L23"/>
      <c r="M23"/>
    </row>
    <row r="24" spans="1:13" ht="15" x14ac:dyDescent="0.25">
      <c r="A24" s="168" t="s">
        <v>198</v>
      </c>
      <c r="B24" s="291">
        <f>ROUND('January 01, 2016 Rates'!G38,4)</f>
        <v>4.4000000000000003E-3</v>
      </c>
      <c r="C24" s="178">
        <f>+$B$3+$C$16</f>
        <v>2072</v>
      </c>
      <c r="D24" s="148">
        <f t="shared" ref="D24:D31" si="8">C24*B24</f>
        <v>9.1168000000000013</v>
      </c>
      <c r="E24" s="147"/>
      <c r="F24" s="155">
        <f>ROUND('January 01, 2016 Rates'!F38,4)</f>
        <v>3.5999999999999999E-3</v>
      </c>
      <c r="G24" s="179">
        <f>+C24</f>
        <v>2072</v>
      </c>
      <c r="H24" s="148">
        <f t="shared" ref="H24:H31" si="9">G24*F24</f>
        <v>7.4592000000000001</v>
      </c>
      <c r="I24" s="147"/>
      <c r="J24" s="151">
        <f t="shared" si="0"/>
        <v>-1.6576000000000013</v>
      </c>
      <c r="K24" s="152">
        <f t="shared" si="1"/>
        <v>-0.18181818181818193</v>
      </c>
      <c r="L24"/>
      <c r="M24"/>
    </row>
    <row r="25" spans="1:13" ht="15" x14ac:dyDescent="0.25">
      <c r="A25" s="168" t="s">
        <v>199</v>
      </c>
      <c r="B25" s="153">
        <f>ROUND('January 01, 2016 Rates'!G39,4)</f>
        <v>1.2999999999999999E-3</v>
      </c>
      <c r="C25" s="178">
        <f>+B3+C16</f>
        <v>2072</v>
      </c>
      <c r="D25" s="148">
        <f t="shared" si="8"/>
        <v>2.6936</v>
      </c>
      <c r="E25" s="147"/>
      <c r="F25" s="155">
        <f>ROUND('January 01, 2016 Rates'!F39,4)</f>
        <v>1.2999999999999999E-3</v>
      </c>
      <c r="G25" s="179">
        <f>+C25</f>
        <v>2072</v>
      </c>
      <c r="H25" s="148">
        <f t="shared" si="9"/>
        <v>2.6936</v>
      </c>
      <c r="I25" s="147"/>
      <c r="J25" s="151">
        <f t="shared" si="0"/>
        <v>0</v>
      </c>
      <c r="K25" s="152">
        <f t="shared" si="1"/>
        <v>0</v>
      </c>
      <c r="L25"/>
      <c r="M25"/>
    </row>
    <row r="26" spans="1:13" ht="15" x14ac:dyDescent="0.25">
      <c r="A26" s="168" t="s">
        <v>200</v>
      </c>
      <c r="B26" s="153">
        <f>ROUND('January 01, 2016 Rates'!G42,4)</f>
        <v>0.25</v>
      </c>
      <c r="C26" s="178">
        <v>1</v>
      </c>
      <c r="D26" s="148">
        <f t="shared" si="8"/>
        <v>0.25</v>
      </c>
      <c r="E26" s="147"/>
      <c r="F26" s="155">
        <f>ROUND('January 01, 2016 Rates'!F42,4)</f>
        <v>0.25</v>
      </c>
      <c r="G26" s="179">
        <f>C26</f>
        <v>1</v>
      </c>
      <c r="H26" s="148">
        <f t="shared" si="9"/>
        <v>0.25</v>
      </c>
      <c r="I26" s="147"/>
      <c r="J26" s="151">
        <f t="shared" si="0"/>
        <v>0</v>
      </c>
      <c r="K26" s="152">
        <f t="shared" si="1"/>
        <v>0</v>
      </c>
      <c r="L26"/>
      <c r="M26"/>
    </row>
    <row r="27" spans="1:13" ht="15" x14ac:dyDescent="0.25">
      <c r="A27" s="168" t="s">
        <v>201</v>
      </c>
      <c r="B27" s="153">
        <f>ROUND('January 01, 2016 Rates'!G23,4)</f>
        <v>7.0000000000000001E-3</v>
      </c>
      <c r="C27" s="178">
        <f>+B3</f>
        <v>2000</v>
      </c>
      <c r="D27" s="148">
        <f t="shared" si="8"/>
        <v>14</v>
      </c>
      <c r="E27" s="147"/>
      <c r="F27" s="153">
        <f>ROUND('January 01, 2016 Rates'!G23,4)</f>
        <v>7.0000000000000001E-3</v>
      </c>
      <c r="G27" s="178">
        <f>C27</f>
        <v>2000</v>
      </c>
      <c r="H27" s="148">
        <f t="shared" si="9"/>
        <v>14</v>
      </c>
      <c r="I27" s="147"/>
      <c r="J27" s="151">
        <f t="shared" ref="J27" si="10">H27-D27</f>
        <v>0</v>
      </c>
      <c r="K27" s="152">
        <f t="shared" ref="K27" si="11">IF((D27)=0,"",(J27/D27))</f>
        <v>0</v>
      </c>
      <c r="L27"/>
      <c r="M27"/>
    </row>
    <row r="28" spans="1:13" ht="15" x14ac:dyDescent="0.25">
      <c r="A28" s="307" t="s">
        <v>263</v>
      </c>
      <c r="B28" s="308"/>
      <c r="C28" s="309"/>
      <c r="D28" s="310"/>
      <c r="E28" s="147"/>
      <c r="F28" s="288">
        <f>ROUND('January 01, 2016 Rates'!F40,4)</f>
        <v>1.1000000000000001E-3</v>
      </c>
      <c r="G28" s="178">
        <f>+$B$3+$C$16</f>
        <v>2072</v>
      </c>
      <c r="H28" s="148">
        <f t="shared" si="9"/>
        <v>2.2792000000000003</v>
      </c>
      <c r="I28" s="147"/>
      <c r="J28" s="313"/>
      <c r="K28" s="314"/>
      <c r="L28"/>
      <c r="M28"/>
    </row>
    <row r="29" spans="1:13" ht="15" x14ac:dyDescent="0.25">
      <c r="A29" s="168" t="s">
        <v>202</v>
      </c>
      <c r="B29" s="153">
        <v>0.08</v>
      </c>
      <c r="C29" s="178">
        <f>B3*0.64</f>
        <v>1280</v>
      </c>
      <c r="D29" s="148">
        <f t="shared" si="8"/>
        <v>102.4</v>
      </c>
      <c r="E29" s="147"/>
      <c r="F29" s="288">
        <v>0.08</v>
      </c>
      <c r="G29" s="178">
        <f>C29</f>
        <v>1280</v>
      </c>
      <c r="H29" s="148">
        <f t="shared" si="9"/>
        <v>102.4</v>
      </c>
      <c r="I29" s="147"/>
      <c r="J29" s="151">
        <f t="shared" si="0"/>
        <v>0</v>
      </c>
      <c r="K29" s="152">
        <f t="shared" si="1"/>
        <v>0</v>
      </c>
      <c r="L29"/>
      <c r="M29"/>
    </row>
    <row r="30" spans="1:13" ht="15" x14ac:dyDescent="0.25">
      <c r="A30" s="168" t="s">
        <v>203</v>
      </c>
      <c r="B30" s="153">
        <v>0.122</v>
      </c>
      <c r="C30" s="178">
        <f>B3*0.18</f>
        <v>360</v>
      </c>
      <c r="D30" s="148">
        <f t="shared" si="8"/>
        <v>43.92</v>
      </c>
      <c r="E30" s="147"/>
      <c r="F30" s="288">
        <v>0.122</v>
      </c>
      <c r="G30" s="178">
        <f>C30</f>
        <v>360</v>
      </c>
      <c r="H30" s="148">
        <f t="shared" si="9"/>
        <v>43.92</v>
      </c>
      <c r="I30" s="147"/>
      <c r="J30" s="151">
        <f t="shared" si="0"/>
        <v>0</v>
      </c>
      <c r="K30" s="152">
        <f t="shared" si="1"/>
        <v>0</v>
      </c>
      <c r="L30"/>
      <c r="M30"/>
    </row>
    <row r="31" spans="1:13" ht="15.75" thickBot="1" x14ac:dyDescent="0.3">
      <c r="A31" s="130" t="s">
        <v>204</v>
      </c>
      <c r="B31" s="292">
        <v>0.161</v>
      </c>
      <c r="C31" s="178">
        <f>B3*0.18</f>
        <v>360</v>
      </c>
      <c r="D31" s="148">
        <f t="shared" si="8"/>
        <v>57.96</v>
      </c>
      <c r="E31" s="147"/>
      <c r="F31" s="288">
        <v>0.161</v>
      </c>
      <c r="G31" s="178">
        <f>C31</f>
        <v>360</v>
      </c>
      <c r="H31" s="148">
        <f t="shared" si="9"/>
        <v>57.96</v>
      </c>
      <c r="I31" s="147"/>
      <c r="J31" s="151">
        <f t="shared" si="0"/>
        <v>0</v>
      </c>
      <c r="K31" s="152">
        <f t="shared" si="1"/>
        <v>0</v>
      </c>
      <c r="L31"/>
      <c r="M31"/>
    </row>
    <row r="32" spans="1:13" ht="15.75" thickBot="1" x14ac:dyDescent="0.3">
      <c r="A32" s="184"/>
      <c r="B32" s="185"/>
      <c r="C32" s="186"/>
      <c r="D32" s="187"/>
      <c r="E32" s="147"/>
      <c r="F32" s="185"/>
      <c r="G32" s="188"/>
      <c r="H32" s="187"/>
      <c r="I32" s="147"/>
      <c r="J32" s="189"/>
      <c r="K32" s="190"/>
      <c r="L32"/>
      <c r="M32"/>
    </row>
    <row r="33" spans="1:13" ht="15" x14ac:dyDescent="0.25">
      <c r="A33" s="191" t="s">
        <v>205</v>
      </c>
      <c r="B33" s="192"/>
      <c r="C33" s="193"/>
      <c r="D33" s="194">
        <f>SUM(D23:D31)</f>
        <v>329.76160000000004</v>
      </c>
      <c r="E33" s="195"/>
      <c r="F33" s="196"/>
      <c r="G33" s="197"/>
      <c r="H33" s="194">
        <f>SUM(H23:H31)</f>
        <v>332.17320000000001</v>
      </c>
      <c r="I33" s="181"/>
      <c r="J33" s="198">
        <f>H33-D33</f>
        <v>2.4115999999999644</v>
      </c>
      <c r="K33" s="199">
        <f>IF((D33)=0,"",(J33/D33))</f>
        <v>7.3131619933914805E-3</v>
      </c>
      <c r="L33"/>
      <c r="M33"/>
    </row>
    <row r="34" spans="1:13" ht="15" x14ac:dyDescent="0.25">
      <c r="A34" s="200" t="s">
        <v>206</v>
      </c>
      <c r="B34" s="192">
        <v>0.13</v>
      </c>
      <c r="C34" s="201"/>
      <c r="D34" s="202">
        <f>D33*B34</f>
        <v>42.869008000000008</v>
      </c>
      <c r="E34" s="203"/>
      <c r="F34" s="204">
        <v>0.13</v>
      </c>
      <c r="G34" s="203"/>
      <c r="H34" s="202">
        <f>H33*F34</f>
        <v>43.182516</v>
      </c>
      <c r="I34" s="147"/>
      <c r="J34" s="205">
        <f t="shared" si="0"/>
        <v>0.31350799999999168</v>
      </c>
      <c r="K34" s="206">
        <f t="shared" si="1"/>
        <v>7.3131619933913938E-3</v>
      </c>
      <c r="L34"/>
      <c r="M34"/>
    </row>
    <row r="35" spans="1:13" ht="15" customHeight="1" x14ac:dyDescent="0.25">
      <c r="A35" s="207" t="s">
        <v>207</v>
      </c>
      <c r="B35" s="203"/>
      <c r="C35" s="201"/>
      <c r="D35" s="202">
        <f>D33+D34</f>
        <v>372.63060800000005</v>
      </c>
      <c r="E35" s="203"/>
      <c r="F35" s="208"/>
      <c r="G35" s="203"/>
      <c r="H35" s="202">
        <f>H33+H34</f>
        <v>375.35571600000003</v>
      </c>
      <c r="I35" s="147"/>
      <c r="J35" s="205">
        <f t="shared" si="0"/>
        <v>2.7251079999999774</v>
      </c>
      <c r="K35" s="206">
        <f t="shared" si="1"/>
        <v>7.3131619933915282E-3</v>
      </c>
      <c r="L35"/>
      <c r="M35"/>
    </row>
    <row r="36" spans="1:13" ht="15.75" customHeight="1" x14ac:dyDescent="0.25">
      <c r="A36" s="209" t="s">
        <v>208</v>
      </c>
      <c r="B36" s="203"/>
      <c r="C36" s="201"/>
      <c r="D36" s="202">
        <f>ROUND(-D35*10%,2)</f>
        <v>-37.26</v>
      </c>
      <c r="E36" s="203"/>
      <c r="F36" s="315"/>
      <c r="G36" s="316"/>
      <c r="H36" s="317"/>
      <c r="I36" s="147"/>
      <c r="J36" s="313"/>
      <c r="K36" s="314"/>
      <c r="L36"/>
      <c r="M36"/>
    </row>
    <row r="37" spans="1:13" ht="15.75" thickBot="1" x14ac:dyDescent="0.3">
      <c r="A37" s="210" t="s">
        <v>209</v>
      </c>
      <c r="B37" s="211"/>
      <c r="C37" s="212"/>
      <c r="D37" s="213">
        <f>D35+D36</f>
        <v>335.37060800000006</v>
      </c>
      <c r="E37" s="195"/>
      <c r="F37" s="214"/>
      <c r="G37" s="215"/>
      <c r="H37" s="213">
        <f>H35+H36</f>
        <v>375.35571600000003</v>
      </c>
      <c r="I37" s="181"/>
      <c r="J37" s="164">
        <f t="shared" si="0"/>
        <v>39.985107999999968</v>
      </c>
      <c r="K37" s="165">
        <f t="shared" si="1"/>
        <v>0.11922663181026276</v>
      </c>
      <c r="L37"/>
      <c r="M37"/>
    </row>
    <row r="38" spans="1:13" ht="15.75" thickBot="1" x14ac:dyDescent="0.3">
      <c r="A38" s="184"/>
      <c r="B38" s="216"/>
      <c r="C38" s="217"/>
      <c r="D38" s="218"/>
      <c r="E38" s="219"/>
      <c r="F38" s="220"/>
      <c r="G38" s="221"/>
      <c r="H38" s="222"/>
      <c r="I38" s="219"/>
      <c r="J38" s="223"/>
      <c r="K38" s="224"/>
      <c r="L38"/>
      <c r="M38"/>
    </row>
    <row r="39" spans="1:13" ht="15" x14ac:dyDescent="0.25">
      <c r="A39" s="130"/>
      <c r="B39" s="130"/>
      <c r="H39" s="324"/>
      <c r="I39" s="324"/>
      <c r="J39" s="324"/>
      <c r="K39" s="325"/>
      <c r="L39"/>
      <c r="M39"/>
    </row>
    <row r="40" spans="1:13" ht="15" x14ac:dyDescent="0.25">
      <c r="A40" s="130"/>
      <c r="B40" s="130"/>
      <c r="L40"/>
      <c r="M40"/>
    </row>
    <row r="41" spans="1:13" x14ac:dyDescent="0.3">
      <c r="A41" s="235"/>
      <c r="B41" s="130"/>
      <c r="L41"/>
      <c r="M41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6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1:M41"/>
  <sheetViews>
    <sheetView workbookViewId="0">
      <selection activeCell="D37" sqref="D37"/>
    </sheetView>
  </sheetViews>
  <sheetFormatPr defaultRowHeight="14.4" x14ac:dyDescent="0.3"/>
  <cols>
    <col min="1" max="1" width="54.109375" style="236" bestFit="1" customWidth="1"/>
    <col min="2" max="2" width="14.44140625" style="236" customWidth="1"/>
    <col min="3" max="3" width="11.33203125" style="236" customWidth="1"/>
    <col min="4" max="4" width="14.33203125" style="234" customWidth="1"/>
    <col min="5" max="5" width="8" style="241" bestFit="1" customWidth="1"/>
    <col min="6" max="6" width="11" style="236" bestFit="1" customWidth="1"/>
    <col min="7" max="7" width="9.109375" style="236"/>
    <col min="8" max="8" width="9.88671875" style="234" bestFit="1" customWidth="1"/>
    <col min="9" max="9" width="8" style="241" bestFit="1" customWidth="1"/>
    <col min="10" max="10" width="9.5546875" style="236" bestFit="1" customWidth="1"/>
    <col min="11" max="11" width="10" style="236" bestFit="1" customWidth="1"/>
    <col min="12" max="12" width="9.5546875" style="236" bestFit="1" customWidth="1"/>
    <col min="13" max="13" width="10" style="236" bestFit="1" customWidth="1"/>
  </cols>
  <sheetData>
    <row r="1" spans="1:13" ht="15.75" x14ac:dyDescent="0.25">
      <c r="A1" s="119" t="s">
        <v>174</v>
      </c>
      <c r="B1" s="120" t="s">
        <v>213</v>
      </c>
      <c r="C1" s="120"/>
      <c r="D1" s="120"/>
      <c r="E1" s="120"/>
      <c r="F1" s="231"/>
      <c r="G1" s="231"/>
      <c r="H1" s="231"/>
      <c r="I1" s="237"/>
      <c r="J1" s="231"/>
      <c r="K1" s="233"/>
      <c r="L1" s="233"/>
      <c r="M1" s="233"/>
    </row>
    <row r="2" spans="1:13" ht="15.75" x14ac:dyDescent="0.25">
      <c r="A2" s="119" t="s">
        <v>176</v>
      </c>
      <c r="B2" s="121">
        <v>3.5999999999999997E-2</v>
      </c>
      <c r="C2" s="122"/>
      <c r="D2" s="122"/>
      <c r="E2" s="238"/>
      <c r="F2" s="122"/>
      <c r="G2" s="122"/>
      <c r="H2" s="122"/>
      <c r="I2" s="238"/>
      <c r="J2" s="122"/>
      <c r="K2" s="122"/>
      <c r="L2"/>
      <c r="M2"/>
    </row>
    <row r="3" spans="1:13" ht="15" x14ac:dyDescent="0.25">
      <c r="A3" s="119" t="s">
        <v>177</v>
      </c>
      <c r="B3" s="123">
        <v>2000</v>
      </c>
      <c r="C3" s="124" t="s">
        <v>178</v>
      </c>
      <c r="E3" s="239"/>
      <c r="F3" s="234"/>
      <c r="G3" s="234"/>
      <c r="I3" s="239"/>
      <c r="J3" s="234"/>
      <c r="K3" s="234"/>
      <c r="L3"/>
      <c r="M3"/>
    </row>
    <row r="4" spans="1:13" ht="15" x14ac:dyDescent="0.25">
      <c r="A4" s="230" t="s">
        <v>179</v>
      </c>
      <c r="B4" s="234"/>
      <c r="C4" s="234"/>
      <c r="E4" s="239"/>
      <c r="F4" s="234"/>
      <c r="G4" s="234"/>
      <c r="I4" s="239"/>
      <c r="J4" s="234"/>
      <c r="K4" s="234"/>
      <c r="L4"/>
      <c r="M4"/>
    </row>
    <row r="5" spans="1:13" ht="15" x14ac:dyDescent="0.25">
      <c r="A5" s="127" t="s">
        <v>180</v>
      </c>
      <c r="B5" s="128"/>
      <c r="C5" s="129" t="s">
        <v>181</v>
      </c>
      <c r="E5" s="239"/>
      <c r="F5" s="234"/>
      <c r="G5" s="234"/>
      <c r="I5" s="239"/>
      <c r="J5" s="234"/>
      <c r="K5" s="234"/>
      <c r="L5"/>
      <c r="M5"/>
    </row>
    <row r="6" spans="1:13" ht="15" x14ac:dyDescent="0.25">
      <c r="A6" s="130"/>
      <c r="B6" s="339" t="s">
        <v>182</v>
      </c>
      <c r="C6" s="340"/>
      <c r="D6" s="340"/>
      <c r="E6" s="131"/>
      <c r="F6" s="340" t="s">
        <v>8</v>
      </c>
      <c r="G6" s="340"/>
      <c r="H6" s="340"/>
      <c r="I6" s="131"/>
      <c r="J6" s="340" t="s">
        <v>183</v>
      </c>
      <c r="K6" s="341"/>
      <c r="L6"/>
      <c r="M6"/>
    </row>
    <row r="7" spans="1:13" ht="15" customHeight="1" x14ac:dyDescent="0.25">
      <c r="A7" s="130"/>
      <c r="B7" s="132" t="s">
        <v>184</v>
      </c>
      <c r="C7" s="132" t="s">
        <v>185</v>
      </c>
      <c r="D7" s="133" t="s">
        <v>186</v>
      </c>
      <c r="E7" s="134"/>
      <c r="F7" s="135" t="s">
        <v>184</v>
      </c>
      <c r="G7" s="135" t="s">
        <v>185</v>
      </c>
      <c r="H7" s="136" t="s">
        <v>186</v>
      </c>
      <c r="I7" s="134"/>
      <c r="J7" s="137" t="s">
        <v>187</v>
      </c>
      <c r="K7" s="138" t="s">
        <v>188</v>
      </c>
      <c r="L7"/>
      <c r="M7"/>
    </row>
    <row r="8" spans="1:13" ht="15" x14ac:dyDescent="0.25">
      <c r="A8" s="130"/>
      <c r="B8" s="139" t="s">
        <v>189</v>
      </c>
      <c r="C8" s="139"/>
      <c r="D8" s="140" t="s">
        <v>189</v>
      </c>
      <c r="E8" s="134"/>
      <c r="F8" s="141" t="s">
        <v>189</v>
      </c>
      <c r="G8" s="141"/>
      <c r="H8" s="142" t="s">
        <v>189</v>
      </c>
      <c r="I8" s="134"/>
      <c r="J8" s="143"/>
      <c r="K8" s="144"/>
      <c r="L8"/>
      <c r="M8"/>
    </row>
    <row r="9" spans="1:13" ht="15" x14ac:dyDescent="0.25">
      <c r="A9" s="145" t="s">
        <v>18</v>
      </c>
      <c r="B9" s="146">
        <f>ROUND('January 01, 2016 Rates'!G26,2)</f>
        <v>40.68</v>
      </c>
      <c r="C9" s="147">
        <v>1</v>
      </c>
      <c r="D9" s="148">
        <f>C9*B9</f>
        <v>40.68</v>
      </c>
      <c r="E9" s="147"/>
      <c r="F9" s="149">
        <f>ROUND('January 01, 2016 Rates'!F26,2)</f>
        <v>41.47</v>
      </c>
      <c r="G9" s="150">
        <f t="shared" ref="G9:G14" si="0">C9</f>
        <v>1</v>
      </c>
      <c r="H9" s="148">
        <f>G9*F9</f>
        <v>41.47</v>
      </c>
      <c r="I9" s="147"/>
      <c r="J9" s="151">
        <f t="shared" ref="J9:J37" si="1">H9-D9</f>
        <v>0.78999999999999915</v>
      </c>
      <c r="K9" s="152">
        <f t="shared" ref="K9:K37" si="2">IF((D9)=0,"",(J9/D9))</f>
        <v>1.9419862340216303E-2</v>
      </c>
      <c r="L9"/>
      <c r="M9"/>
    </row>
    <row r="10" spans="1:13" ht="15" x14ac:dyDescent="0.25">
      <c r="A10" s="145" t="s">
        <v>26</v>
      </c>
      <c r="B10" s="153">
        <f>ROUND('January 01, 2016 Rates'!G29,4)</f>
        <v>1.1900000000000001E-2</v>
      </c>
      <c r="C10" s="154">
        <f>+B3</f>
        <v>2000</v>
      </c>
      <c r="D10" s="148">
        <f>C10*B10</f>
        <v>23.8</v>
      </c>
      <c r="E10" s="147"/>
      <c r="F10" s="288">
        <f>ROUND('January 01, 2016 Rates'!F29,4)</f>
        <v>1.21E-2</v>
      </c>
      <c r="G10" s="156">
        <f t="shared" si="0"/>
        <v>2000</v>
      </c>
      <c r="H10" s="148">
        <f>G10*F10</f>
        <v>24.2</v>
      </c>
      <c r="I10" s="147"/>
      <c r="J10" s="151">
        <f t="shared" si="1"/>
        <v>0.39999999999999858</v>
      </c>
      <c r="K10" s="152">
        <f t="shared" si="2"/>
        <v>1.6806722689075571E-2</v>
      </c>
      <c r="L10"/>
      <c r="M10"/>
    </row>
    <row r="11" spans="1:13" ht="15" x14ac:dyDescent="0.25">
      <c r="A11" s="145" t="s">
        <v>264</v>
      </c>
      <c r="B11" s="153">
        <f>ROUND('January 01, 2016 Rates'!G34,4)</f>
        <v>0</v>
      </c>
      <c r="C11" s="154">
        <v>1</v>
      </c>
      <c r="D11" s="148">
        <f>C11*B11</f>
        <v>0</v>
      </c>
      <c r="E11" s="147"/>
      <c r="F11" s="288">
        <f>ROUND('January 01, 2016 Rates'!F34,4)</f>
        <v>0</v>
      </c>
      <c r="G11" s="156">
        <f t="shared" si="0"/>
        <v>1</v>
      </c>
      <c r="H11" s="148">
        <f>G11*F11</f>
        <v>0</v>
      </c>
      <c r="I11" s="147"/>
      <c r="J11" s="151">
        <f t="shared" ref="J11" si="3">H11-D11</f>
        <v>0</v>
      </c>
      <c r="K11" s="152" t="str">
        <f t="shared" ref="K11" si="4">IF((D11)=0,"",(J11/D11))</f>
        <v/>
      </c>
      <c r="L11"/>
      <c r="M11"/>
    </row>
    <row r="12" spans="1:13" ht="15" hidden="1" x14ac:dyDescent="0.25">
      <c r="A12" s="145" t="s">
        <v>265</v>
      </c>
      <c r="B12" s="153">
        <f>ROUND('January 01, 2016 Rates'!G28,4)</f>
        <v>0</v>
      </c>
      <c r="C12" s="154">
        <v>1</v>
      </c>
      <c r="D12" s="148">
        <f t="shared" ref="D12:D14" si="5">C12*B12</f>
        <v>0</v>
      </c>
      <c r="E12" s="147"/>
      <c r="F12" s="149"/>
      <c r="G12" s="156">
        <f t="shared" si="0"/>
        <v>1</v>
      </c>
      <c r="H12" s="148">
        <f t="shared" ref="H12:H14" si="6">G12*F12</f>
        <v>0</v>
      </c>
      <c r="I12" s="147"/>
      <c r="J12" s="151">
        <f t="shared" ref="J12:J14" si="7">H12-D12</f>
        <v>0</v>
      </c>
      <c r="K12" s="152" t="str">
        <f t="shared" ref="K12:K14" si="8">IF((D12)=0,"",(J12/D12))</f>
        <v/>
      </c>
      <c r="L12"/>
      <c r="M12"/>
    </row>
    <row r="13" spans="1:13" ht="15" hidden="1" x14ac:dyDescent="0.25">
      <c r="A13" s="319" t="s">
        <v>266</v>
      </c>
      <c r="B13" s="157">
        <f>ROUND('January 01, 2016 Rates'!G35,4)</f>
        <v>0</v>
      </c>
      <c r="C13" s="158">
        <f>B3</f>
        <v>2000</v>
      </c>
      <c r="D13" s="148">
        <f t="shared" si="5"/>
        <v>0</v>
      </c>
      <c r="E13" s="147"/>
      <c r="F13" s="160"/>
      <c r="G13" s="161">
        <f t="shared" si="0"/>
        <v>2000</v>
      </c>
      <c r="H13" s="321">
        <f t="shared" si="6"/>
        <v>0</v>
      </c>
      <c r="I13" s="147"/>
      <c r="J13" s="151">
        <f t="shared" si="7"/>
        <v>0</v>
      </c>
      <c r="K13" s="152" t="str">
        <f t="shared" si="8"/>
        <v/>
      </c>
      <c r="L13"/>
      <c r="M13"/>
    </row>
    <row r="14" spans="1:13" ht="15" x14ac:dyDescent="0.25">
      <c r="A14" s="168" t="s">
        <v>274</v>
      </c>
      <c r="B14" s="153">
        <v>0</v>
      </c>
      <c r="C14" s="167">
        <f>B3</f>
        <v>2000</v>
      </c>
      <c r="D14" s="148">
        <f t="shared" si="5"/>
        <v>0</v>
      </c>
      <c r="E14" s="147"/>
      <c r="F14" s="288">
        <f>ROUND('January 01, 2016 Rates'!F31,4)</f>
        <v>2.0000000000000001E-4</v>
      </c>
      <c r="G14" s="167">
        <f t="shared" si="0"/>
        <v>2000</v>
      </c>
      <c r="H14" s="148">
        <f t="shared" si="6"/>
        <v>0.4</v>
      </c>
      <c r="I14" s="147"/>
      <c r="J14" s="151">
        <f t="shared" si="7"/>
        <v>0.4</v>
      </c>
      <c r="K14" s="152" t="str">
        <f t="shared" si="8"/>
        <v/>
      </c>
      <c r="L14"/>
      <c r="M14"/>
    </row>
    <row r="15" spans="1:13" ht="15" x14ac:dyDescent="0.25">
      <c r="A15" s="169" t="s">
        <v>190</v>
      </c>
      <c r="B15" s="170"/>
      <c r="C15" s="171"/>
      <c r="D15" s="172">
        <f>SUM(D9:D14)</f>
        <v>64.48</v>
      </c>
      <c r="E15" s="147"/>
      <c r="F15" s="173"/>
      <c r="G15" s="174"/>
      <c r="H15" s="172">
        <f>SUM(H9:H14)</f>
        <v>66.070000000000007</v>
      </c>
      <c r="I15" s="147"/>
      <c r="J15" s="175">
        <f t="shared" si="1"/>
        <v>1.5900000000000034</v>
      </c>
      <c r="K15" s="176">
        <f t="shared" si="2"/>
        <v>2.4658808933002534E-2</v>
      </c>
      <c r="L15"/>
      <c r="M15"/>
    </row>
    <row r="16" spans="1:13" ht="15" x14ac:dyDescent="0.25">
      <c r="A16" s="166" t="s">
        <v>191</v>
      </c>
      <c r="B16" s="153">
        <f>ROUND(B29*0.64+B30*0.18+B31*0.18,4)</f>
        <v>0.1021</v>
      </c>
      <c r="C16" s="167">
        <f>+(SUM(C29:C31)*B2)</f>
        <v>72</v>
      </c>
      <c r="D16" s="148">
        <f>B16*C16</f>
        <v>7.3511999999999995</v>
      </c>
      <c r="E16" s="147"/>
      <c r="F16" s="288">
        <f>ROUND(F29*0.64+F30*0.18+F31*0.18,4)</f>
        <v>0.1021</v>
      </c>
      <c r="G16" s="167">
        <f>C16</f>
        <v>72</v>
      </c>
      <c r="H16" s="148">
        <f>F16*G16</f>
        <v>7.3511999999999995</v>
      </c>
      <c r="I16" s="147"/>
      <c r="J16" s="151">
        <f t="shared" si="1"/>
        <v>0</v>
      </c>
      <c r="K16" s="152">
        <f t="shared" si="2"/>
        <v>0</v>
      </c>
      <c r="L16"/>
      <c r="M16"/>
    </row>
    <row r="17" spans="1:13" ht="15" x14ac:dyDescent="0.25">
      <c r="A17" s="166" t="s">
        <v>267</v>
      </c>
      <c r="B17" s="153">
        <f>ROUND('January 01, 2016 Rates'!G30+'January 01, 2016 Rates'!G32,4)</f>
        <v>0</v>
      </c>
      <c r="C17" s="167">
        <f>+B3</f>
        <v>2000</v>
      </c>
      <c r="D17" s="148">
        <f>C17*B17</f>
        <v>0</v>
      </c>
      <c r="E17" s="147"/>
      <c r="F17" s="153">
        <f>ROUND('January 01, 2016 Rates'!F30+'January 01, 2016 Rates'!F32,4)</f>
        <v>3.0999999999999999E-3</v>
      </c>
      <c r="G17" s="167">
        <f>C17</f>
        <v>2000</v>
      </c>
      <c r="H17" s="148">
        <f>G17*F17</f>
        <v>6.2</v>
      </c>
      <c r="I17" s="147"/>
      <c r="J17" s="151">
        <f t="shared" si="1"/>
        <v>6.2</v>
      </c>
      <c r="K17" s="152" t="str">
        <f t="shared" si="2"/>
        <v/>
      </c>
      <c r="L17"/>
      <c r="M17"/>
    </row>
    <row r="18" spans="1:13" ht="15" x14ac:dyDescent="0.25">
      <c r="A18" s="168" t="s">
        <v>192</v>
      </c>
      <c r="B18" s="153">
        <f>ROUND('January 01, 2016 Rates'!G33,4)</f>
        <v>2.0000000000000001E-4</v>
      </c>
      <c r="C18" s="167">
        <f>+B3</f>
        <v>2000</v>
      </c>
      <c r="D18" s="148">
        <f>C18*B18</f>
        <v>0.4</v>
      </c>
      <c r="E18" s="147"/>
      <c r="F18" s="288">
        <f>ROUND('January 01, 2016 Rates'!F33,4)</f>
        <v>2.0000000000000001E-4</v>
      </c>
      <c r="G18" s="167">
        <f>C18</f>
        <v>2000</v>
      </c>
      <c r="H18" s="148">
        <f>G18*F18</f>
        <v>0.4</v>
      </c>
      <c r="I18" s="147"/>
      <c r="J18" s="151">
        <f t="shared" si="1"/>
        <v>0</v>
      </c>
      <c r="K18" s="152">
        <f t="shared" si="2"/>
        <v>0</v>
      </c>
      <c r="L18"/>
      <c r="M18"/>
    </row>
    <row r="19" spans="1:13" ht="15" x14ac:dyDescent="0.25">
      <c r="A19" s="168" t="s">
        <v>193</v>
      </c>
      <c r="B19" s="153">
        <f>ROUND('January 01, 2016 Rates'!G27,4)</f>
        <v>0.79</v>
      </c>
      <c r="C19" s="167">
        <v>1</v>
      </c>
      <c r="D19" s="148">
        <f>C19*B19</f>
        <v>0.79</v>
      </c>
      <c r="E19" s="147"/>
      <c r="F19" s="288">
        <f>ROUND('January 01, 2016 Rates'!F27,4)</f>
        <v>0.79</v>
      </c>
      <c r="G19" s="167">
        <f>C19</f>
        <v>1</v>
      </c>
      <c r="H19" s="148">
        <f>G19*F19</f>
        <v>0.79</v>
      </c>
      <c r="I19" s="147"/>
      <c r="J19" s="151">
        <f t="shared" si="1"/>
        <v>0</v>
      </c>
      <c r="K19" s="152">
        <f t="shared" si="2"/>
        <v>0</v>
      </c>
      <c r="L19"/>
      <c r="M19"/>
    </row>
    <row r="20" spans="1:13" ht="15" x14ac:dyDescent="0.25">
      <c r="A20" s="169" t="s">
        <v>194</v>
      </c>
      <c r="B20" s="170"/>
      <c r="C20" s="171"/>
      <c r="D20" s="172">
        <f>SUM(D15:D19)</f>
        <v>73.021200000000022</v>
      </c>
      <c r="E20" s="147"/>
      <c r="F20" s="173"/>
      <c r="G20" s="174"/>
      <c r="H20" s="172">
        <f>SUM(H15:H19)</f>
        <v>80.811200000000028</v>
      </c>
      <c r="I20" s="147"/>
      <c r="J20" s="175">
        <f t="shared" si="1"/>
        <v>7.7900000000000063</v>
      </c>
      <c r="K20" s="176">
        <f t="shared" si="2"/>
        <v>0.10668134733474667</v>
      </c>
      <c r="L20"/>
      <c r="M20"/>
    </row>
    <row r="21" spans="1:13" ht="15" customHeight="1" x14ac:dyDescent="0.25">
      <c r="A21" s="177" t="s">
        <v>195</v>
      </c>
      <c r="B21" s="153">
        <f>ROUND('January 01, 2016 Rates'!G36,4)</f>
        <v>7.6E-3</v>
      </c>
      <c r="C21" s="178">
        <f>+B3</f>
        <v>2000</v>
      </c>
      <c r="D21" s="148">
        <f>C21*B21</f>
        <v>15.2</v>
      </c>
      <c r="E21" s="147"/>
      <c r="F21" s="288">
        <f>ROUND('January 01, 2016 Rates'!F36,4)</f>
        <v>7.1999999999999998E-3</v>
      </c>
      <c r="G21" s="179">
        <f>C21</f>
        <v>2000</v>
      </c>
      <c r="H21" s="148">
        <f>G21*F21</f>
        <v>14.4</v>
      </c>
      <c r="I21" s="147"/>
      <c r="J21" s="151">
        <f t="shared" si="1"/>
        <v>-0.79999999999999893</v>
      </c>
      <c r="K21" s="152">
        <f t="shared" si="2"/>
        <v>-5.2631578947368356E-2</v>
      </c>
      <c r="L21"/>
      <c r="M21"/>
    </row>
    <row r="22" spans="1:13" ht="15" x14ac:dyDescent="0.25">
      <c r="A22" s="180" t="s">
        <v>196</v>
      </c>
      <c r="B22" s="153">
        <f>ROUND('January 01, 2016 Rates'!G37,4)</f>
        <v>5.5999999999999999E-3</v>
      </c>
      <c r="C22" s="178">
        <f>+B3</f>
        <v>2000</v>
      </c>
      <c r="D22" s="148">
        <f>C22*B22</f>
        <v>11.2</v>
      </c>
      <c r="E22" s="147"/>
      <c r="F22" s="288">
        <f>ROUND('January 01, 2016 Rates'!F37,4)</f>
        <v>5.7999999999999996E-3</v>
      </c>
      <c r="G22" s="179">
        <f>C22</f>
        <v>2000</v>
      </c>
      <c r="H22" s="148">
        <f>G22*F22</f>
        <v>11.6</v>
      </c>
      <c r="I22" s="147"/>
      <c r="J22" s="151">
        <f t="shared" si="1"/>
        <v>0.40000000000000036</v>
      </c>
      <c r="K22" s="152">
        <f t="shared" si="2"/>
        <v>3.5714285714285747E-2</v>
      </c>
      <c r="L22"/>
      <c r="M22"/>
    </row>
    <row r="23" spans="1:13" ht="15" x14ac:dyDescent="0.25">
      <c r="A23" s="169" t="s">
        <v>197</v>
      </c>
      <c r="B23" s="170"/>
      <c r="C23" s="171"/>
      <c r="D23" s="172">
        <f>SUM(D20:D22)</f>
        <v>99.421200000000027</v>
      </c>
      <c r="E23" s="181"/>
      <c r="F23" s="182"/>
      <c r="G23" s="183"/>
      <c r="H23" s="172">
        <f>SUM(H20:H22)</f>
        <v>106.81120000000003</v>
      </c>
      <c r="I23" s="181"/>
      <c r="J23" s="175">
        <f t="shared" si="1"/>
        <v>7.3900000000000006</v>
      </c>
      <c r="K23" s="176">
        <f t="shared" si="2"/>
        <v>7.4330223332649353E-2</v>
      </c>
      <c r="L23"/>
      <c r="M23"/>
    </row>
    <row r="24" spans="1:13" ht="15" x14ac:dyDescent="0.25">
      <c r="A24" s="168" t="s">
        <v>198</v>
      </c>
      <c r="B24" s="291">
        <f>ROUND('January 01, 2016 Rates'!G38,4)</f>
        <v>4.4000000000000003E-3</v>
      </c>
      <c r="C24" s="178">
        <f>+$B$3+$C$16</f>
        <v>2072</v>
      </c>
      <c r="D24" s="148">
        <f t="shared" ref="D24:D31" si="9">C24*B24</f>
        <v>9.1168000000000013</v>
      </c>
      <c r="E24" s="147"/>
      <c r="F24" s="288">
        <f>ROUND('January 01, 2016 Rates'!F38,4)</f>
        <v>3.5999999999999999E-3</v>
      </c>
      <c r="G24" s="179">
        <f>+C24</f>
        <v>2072</v>
      </c>
      <c r="H24" s="148">
        <f t="shared" ref="H24:H31" si="10">G24*F24</f>
        <v>7.4592000000000001</v>
      </c>
      <c r="I24" s="147"/>
      <c r="J24" s="151">
        <f t="shared" si="1"/>
        <v>-1.6576000000000013</v>
      </c>
      <c r="K24" s="152">
        <f t="shared" si="2"/>
        <v>-0.18181818181818193</v>
      </c>
      <c r="L24"/>
      <c r="M24"/>
    </row>
    <row r="25" spans="1:13" ht="15" x14ac:dyDescent="0.25">
      <c r="A25" s="168" t="s">
        <v>199</v>
      </c>
      <c r="B25" s="153">
        <f>ROUND('January 01, 2016 Rates'!G39,4)</f>
        <v>1.2999999999999999E-3</v>
      </c>
      <c r="C25" s="178">
        <f>+B3+C16</f>
        <v>2072</v>
      </c>
      <c r="D25" s="148">
        <f t="shared" si="9"/>
        <v>2.6936</v>
      </c>
      <c r="E25" s="147"/>
      <c r="F25" s="288">
        <f>ROUND('January 01, 2016 Rates'!F39,4)</f>
        <v>1.2999999999999999E-3</v>
      </c>
      <c r="G25" s="179">
        <f>+C25</f>
        <v>2072</v>
      </c>
      <c r="H25" s="148">
        <f t="shared" si="10"/>
        <v>2.6936</v>
      </c>
      <c r="I25" s="147"/>
      <c r="J25" s="151">
        <f t="shared" si="1"/>
        <v>0</v>
      </c>
      <c r="K25" s="152">
        <f t="shared" si="2"/>
        <v>0</v>
      </c>
      <c r="L25"/>
      <c r="M25"/>
    </row>
    <row r="26" spans="1:13" ht="15" x14ac:dyDescent="0.25">
      <c r="A26" s="168" t="s">
        <v>200</v>
      </c>
      <c r="B26" s="153">
        <f>ROUND('January 01, 2016 Rates'!G42,4)</f>
        <v>0.25</v>
      </c>
      <c r="C26" s="178">
        <v>1</v>
      </c>
      <c r="D26" s="148">
        <f t="shared" si="9"/>
        <v>0.25</v>
      </c>
      <c r="E26" s="147"/>
      <c r="F26" s="288">
        <f>ROUND('January 01, 2016 Rates'!F42,4)</f>
        <v>0.25</v>
      </c>
      <c r="G26" s="179">
        <f>C26</f>
        <v>1</v>
      </c>
      <c r="H26" s="148">
        <f t="shared" si="10"/>
        <v>0.25</v>
      </c>
      <c r="I26" s="147"/>
      <c r="J26" s="151">
        <f t="shared" si="1"/>
        <v>0</v>
      </c>
      <c r="K26" s="152">
        <f t="shared" si="2"/>
        <v>0</v>
      </c>
      <c r="L26"/>
      <c r="M26"/>
    </row>
    <row r="27" spans="1:13" ht="15" x14ac:dyDescent="0.25">
      <c r="A27" s="168" t="s">
        <v>201</v>
      </c>
      <c r="B27" s="153">
        <f>ROUND('January 01, 2016 Rates'!G23,4)</f>
        <v>7.0000000000000001E-3</v>
      </c>
      <c r="C27" s="178">
        <f>+B3</f>
        <v>2000</v>
      </c>
      <c r="D27" s="148">
        <f t="shared" si="9"/>
        <v>14</v>
      </c>
      <c r="E27" s="147"/>
      <c r="F27" s="153">
        <f>ROUND('January 01, 2016 Rates'!G23,4)</f>
        <v>7.0000000000000001E-3</v>
      </c>
      <c r="G27" s="179">
        <f>C27</f>
        <v>2000</v>
      </c>
      <c r="H27" s="148">
        <f t="shared" si="10"/>
        <v>14</v>
      </c>
      <c r="I27" s="147"/>
      <c r="J27" s="151">
        <f t="shared" ref="J27" si="11">H27-D27</f>
        <v>0</v>
      </c>
      <c r="K27" s="152">
        <f t="shared" ref="K27" si="12">IF((D27)=0,"",(J27/D27))</f>
        <v>0</v>
      </c>
      <c r="L27"/>
      <c r="M27"/>
    </row>
    <row r="28" spans="1:13" ht="15" x14ac:dyDescent="0.25">
      <c r="A28" s="307" t="s">
        <v>263</v>
      </c>
      <c r="B28" s="308"/>
      <c r="C28" s="309"/>
      <c r="D28" s="310"/>
      <c r="E28" s="147"/>
      <c r="F28" s="288">
        <f>ROUND('January 01, 2016 Rates'!F40,4)</f>
        <v>1.1000000000000001E-3</v>
      </c>
      <c r="G28" s="178">
        <f>+$B$3+$C$16</f>
        <v>2072</v>
      </c>
      <c r="H28" s="148">
        <f t="shared" si="10"/>
        <v>2.2792000000000003</v>
      </c>
      <c r="I28" s="147"/>
      <c r="J28" s="313"/>
      <c r="K28" s="314"/>
      <c r="L28"/>
      <c r="M28"/>
    </row>
    <row r="29" spans="1:13" ht="15" x14ac:dyDescent="0.25">
      <c r="A29" s="168" t="s">
        <v>202</v>
      </c>
      <c r="B29" s="153">
        <v>0.08</v>
      </c>
      <c r="C29" s="178">
        <f>B3*0.64</f>
        <v>1280</v>
      </c>
      <c r="D29" s="148">
        <f t="shared" si="9"/>
        <v>102.4</v>
      </c>
      <c r="E29" s="147"/>
      <c r="F29" s="288">
        <v>0.08</v>
      </c>
      <c r="G29" s="178">
        <f>C29</f>
        <v>1280</v>
      </c>
      <c r="H29" s="148">
        <f t="shared" si="10"/>
        <v>102.4</v>
      </c>
      <c r="I29" s="147"/>
      <c r="J29" s="151">
        <f t="shared" si="1"/>
        <v>0</v>
      </c>
      <c r="K29" s="152">
        <f t="shared" si="2"/>
        <v>0</v>
      </c>
      <c r="L29"/>
      <c r="M29"/>
    </row>
    <row r="30" spans="1:13" ht="15" x14ac:dyDescent="0.25">
      <c r="A30" s="168" t="s">
        <v>203</v>
      </c>
      <c r="B30" s="153">
        <v>0.122</v>
      </c>
      <c r="C30" s="178">
        <f>B3*0.18</f>
        <v>360</v>
      </c>
      <c r="D30" s="148">
        <f t="shared" si="9"/>
        <v>43.92</v>
      </c>
      <c r="E30" s="147"/>
      <c r="F30" s="288">
        <v>0.122</v>
      </c>
      <c r="G30" s="178">
        <f>C30</f>
        <v>360</v>
      </c>
      <c r="H30" s="148">
        <f t="shared" si="10"/>
        <v>43.92</v>
      </c>
      <c r="I30" s="147"/>
      <c r="J30" s="151">
        <f t="shared" si="1"/>
        <v>0</v>
      </c>
      <c r="K30" s="152">
        <f t="shared" si="2"/>
        <v>0</v>
      </c>
      <c r="L30"/>
      <c r="M30"/>
    </row>
    <row r="31" spans="1:13" ht="15.75" thickBot="1" x14ac:dyDescent="0.3">
      <c r="A31" s="130" t="s">
        <v>204</v>
      </c>
      <c r="B31" s="292">
        <v>0.161</v>
      </c>
      <c r="C31" s="178">
        <f>B3*0.18</f>
        <v>360</v>
      </c>
      <c r="D31" s="148">
        <f t="shared" si="9"/>
        <v>57.96</v>
      </c>
      <c r="E31" s="147"/>
      <c r="F31" s="288">
        <v>0.161</v>
      </c>
      <c r="G31" s="178">
        <f>C31</f>
        <v>360</v>
      </c>
      <c r="H31" s="148">
        <f t="shared" si="10"/>
        <v>57.96</v>
      </c>
      <c r="I31" s="147"/>
      <c r="J31" s="151">
        <f t="shared" si="1"/>
        <v>0</v>
      </c>
      <c r="K31" s="152">
        <f t="shared" si="2"/>
        <v>0</v>
      </c>
      <c r="L31"/>
      <c r="M31"/>
    </row>
    <row r="32" spans="1:13" ht="15.75" thickBot="1" x14ac:dyDescent="0.3">
      <c r="A32" s="184"/>
      <c r="B32" s="185"/>
      <c r="C32" s="186"/>
      <c r="D32" s="187"/>
      <c r="E32" s="147"/>
      <c r="F32" s="185"/>
      <c r="G32" s="188"/>
      <c r="H32" s="187"/>
      <c r="I32" s="147"/>
      <c r="J32" s="189"/>
      <c r="K32" s="190"/>
      <c r="L32"/>
      <c r="M32"/>
    </row>
    <row r="33" spans="1:13" ht="15" x14ac:dyDescent="0.25">
      <c r="A33" s="191" t="s">
        <v>205</v>
      </c>
      <c r="B33" s="192"/>
      <c r="C33" s="193"/>
      <c r="D33" s="194">
        <f>SUM(D23:D31)</f>
        <v>329.76160000000004</v>
      </c>
      <c r="E33" s="195"/>
      <c r="F33" s="196"/>
      <c r="G33" s="197"/>
      <c r="H33" s="194">
        <f>SUM(H23:H31)</f>
        <v>337.77320000000003</v>
      </c>
      <c r="I33" s="181"/>
      <c r="J33" s="198">
        <f>H33-D33</f>
        <v>8.0115999999999872</v>
      </c>
      <c r="K33" s="199">
        <f>IF((D33)=0,"",(J33/D33))</f>
        <v>2.4295127146399052E-2</v>
      </c>
      <c r="L33"/>
      <c r="M33"/>
    </row>
    <row r="34" spans="1:13" ht="15" x14ac:dyDescent="0.25">
      <c r="A34" s="200" t="s">
        <v>206</v>
      </c>
      <c r="B34" s="192">
        <v>0.13</v>
      </c>
      <c r="C34" s="201"/>
      <c r="D34" s="202">
        <f>D33*B34</f>
        <v>42.869008000000008</v>
      </c>
      <c r="E34" s="203"/>
      <c r="F34" s="204">
        <v>0.13</v>
      </c>
      <c r="G34" s="203"/>
      <c r="H34" s="202">
        <f>H33*F34</f>
        <v>43.910516000000008</v>
      </c>
      <c r="I34" s="147"/>
      <c r="J34" s="205">
        <f t="shared" si="1"/>
        <v>1.0415080000000003</v>
      </c>
      <c r="K34" s="206">
        <f t="shared" si="2"/>
        <v>2.4295127146399097E-2</v>
      </c>
      <c r="L34"/>
      <c r="M34"/>
    </row>
    <row r="35" spans="1:13" ht="15" customHeight="1" x14ac:dyDescent="0.25">
      <c r="A35" s="207" t="s">
        <v>207</v>
      </c>
      <c r="B35" s="203"/>
      <c r="C35" s="201"/>
      <c r="D35" s="202">
        <f>D33+D34</f>
        <v>372.63060800000005</v>
      </c>
      <c r="E35" s="203"/>
      <c r="F35" s="208"/>
      <c r="G35" s="203"/>
      <c r="H35" s="202">
        <f>H33+H34</f>
        <v>381.68371600000006</v>
      </c>
      <c r="I35" s="147"/>
      <c r="J35" s="205">
        <f t="shared" si="1"/>
        <v>9.0531080000000088</v>
      </c>
      <c r="K35" s="206">
        <f t="shared" si="2"/>
        <v>2.4295127146399115E-2</v>
      </c>
      <c r="L35"/>
      <c r="M35"/>
    </row>
    <row r="36" spans="1:13" ht="15.75" customHeight="1" x14ac:dyDescent="0.25">
      <c r="A36" s="209" t="s">
        <v>208</v>
      </c>
      <c r="B36" s="203"/>
      <c r="C36" s="201"/>
      <c r="D36" s="202">
        <f>-D35*0.1</f>
        <v>-37.263060800000005</v>
      </c>
      <c r="E36" s="203"/>
      <c r="F36" s="315"/>
      <c r="G36" s="316"/>
      <c r="H36" s="317"/>
      <c r="I36" s="147"/>
      <c r="J36" s="313"/>
      <c r="K36" s="314"/>
      <c r="L36"/>
      <c r="M36"/>
    </row>
    <row r="37" spans="1:13" ht="15.75" thickBot="1" x14ac:dyDescent="0.3">
      <c r="A37" s="210" t="s">
        <v>209</v>
      </c>
      <c r="B37" s="211"/>
      <c r="C37" s="212"/>
      <c r="D37" s="213">
        <f>D35+D36</f>
        <v>335.36754720000005</v>
      </c>
      <c r="E37" s="195"/>
      <c r="F37" s="214"/>
      <c r="G37" s="215"/>
      <c r="H37" s="213">
        <f>H35+H36</f>
        <v>381.68371600000006</v>
      </c>
      <c r="I37" s="181"/>
      <c r="J37" s="164">
        <f t="shared" si="1"/>
        <v>46.316168800000014</v>
      </c>
      <c r="K37" s="165">
        <f t="shared" si="2"/>
        <v>0.13810569682933235</v>
      </c>
      <c r="L37"/>
      <c r="M37"/>
    </row>
    <row r="38" spans="1:13" ht="15.75" thickBot="1" x14ac:dyDescent="0.3">
      <c r="A38" s="184"/>
      <c r="B38" s="216"/>
      <c r="C38" s="217"/>
      <c r="D38" s="218"/>
      <c r="E38" s="219"/>
      <c r="F38" s="220"/>
      <c r="G38" s="221"/>
      <c r="H38" s="222"/>
      <c r="I38" s="219"/>
      <c r="J38" s="223"/>
      <c r="K38" s="224"/>
      <c r="L38"/>
      <c r="M38"/>
    </row>
    <row r="39" spans="1:13" ht="15" x14ac:dyDescent="0.25">
      <c r="A39" s="240"/>
      <c r="B39" s="240"/>
      <c r="H39" s="326"/>
      <c r="I39" s="327"/>
      <c r="J39" s="328"/>
      <c r="K39" s="329"/>
      <c r="L39"/>
      <c r="M39"/>
    </row>
    <row r="40" spans="1:13" ht="15" x14ac:dyDescent="0.25">
      <c r="A40" s="240"/>
      <c r="B40" s="240"/>
      <c r="L40"/>
      <c r="M40"/>
    </row>
    <row r="41" spans="1:13" x14ac:dyDescent="0.3">
      <c r="A41" s="235"/>
      <c r="B41" s="240"/>
      <c r="L41"/>
      <c r="M41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6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K37"/>
  <sheetViews>
    <sheetView workbookViewId="0">
      <selection activeCell="F14" sqref="F14"/>
    </sheetView>
  </sheetViews>
  <sheetFormatPr defaultRowHeight="14.4" x14ac:dyDescent="0.3"/>
  <cols>
    <col min="1" max="1" width="54" style="228" customWidth="1"/>
    <col min="2" max="2" width="14.33203125" style="228" customWidth="1"/>
    <col min="3" max="3" width="8" style="228" bestFit="1" customWidth="1"/>
    <col min="4" max="4" width="9.88671875" style="228" bestFit="1" customWidth="1"/>
    <col min="5" max="5" width="9.109375" style="228"/>
    <col min="6" max="6" width="11" style="228" bestFit="1" customWidth="1"/>
    <col min="7" max="7" width="8" style="228" bestFit="1" customWidth="1"/>
    <col min="8" max="8" width="9.88671875" style="228" bestFit="1" customWidth="1"/>
    <col min="9" max="9" width="9.109375" style="228"/>
    <col min="10" max="10" width="9.5546875" style="228" bestFit="1" customWidth="1"/>
    <col min="11" max="11" width="10" style="228" bestFit="1" customWidth="1"/>
  </cols>
  <sheetData>
    <row r="1" spans="1:11" ht="15.75" x14ac:dyDescent="0.25">
      <c r="A1" s="119" t="s">
        <v>174</v>
      </c>
      <c r="B1" s="120" t="s">
        <v>214</v>
      </c>
      <c r="C1" s="120"/>
      <c r="D1" s="120"/>
      <c r="E1" s="231"/>
      <c r="F1" s="231"/>
      <c r="G1" s="231"/>
      <c r="H1" s="231"/>
      <c r="I1" s="231"/>
      <c r="J1" s="231"/>
      <c r="K1" s="233"/>
    </row>
    <row r="2" spans="1:11" ht="15.75" x14ac:dyDescent="0.25">
      <c r="A2" s="119" t="s">
        <v>176</v>
      </c>
      <c r="B2" s="121">
        <v>3.5999999999999997E-2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x14ac:dyDescent="0.25">
      <c r="A3" s="119" t="s">
        <v>177</v>
      </c>
      <c r="B3" s="123">
        <v>300</v>
      </c>
      <c r="C3" s="124" t="s">
        <v>178</v>
      </c>
      <c r="D3" s="234"/>
      <c r="E3" s="234"/>
      <c r="F3" s="234"/>
      <c r="G3" s="234"/>
      <c r="H3" s="234"/>
      <c r="I3" s="234"/>
      <c r="J3" s="234"/>
      <c r="K3" s="234"/>
    </row>
    <row r="4" spans="1:11" ht="15" x14ac:dyDescent="0.25">
      <c r="A4" s="230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 ht="15" x14ac:dyDescent="0.25">
      <c r="A5" s="127" t="s">
        <v>180</v>
      </c>
      <c r="B5" s="128"/>
      <c r="C5" s="129" t="s">
        <v>181</v>
      </c>
      <c r="D5" s="234"/>
      <c r="E5" s="234"/>
      <c r="F5" s="234"/>
      <c r="G5" s="234"/>
      <c r="H5" s="234"/>
      <c r="I5" s="234"/>
      <c r="J5" s="234"/>
      <c r="K5" s="234"/>
    </row>
    <row r="6" spans="1:11" ht="15" x14ac:dyDescent="0.25">
      <c r="A6" s="130"/>
      <c r="B6" s="339" t="s">
        <v>182</v>
      </c>
      <c r="C6" s="340"/>
      <c r="D6" s="341"/>
      <c r="E6" s="242"/>
      <c r="F6" s="339" t="s">
        <v>8</v>
      </c>
      <c r="G6" s="340"/>
      <c r="H6" s="341"/>
      <c r="I6" s="242"/>
      <c r="J6" s="339" t="s">
        <v>183</v>
      </c>
      <c r="K6" s="341"/>
    </row>
    <row r="7" spans="1:11" ht="15" x14ac:dyDescent="0.25">
      <c r="A7" s="130"/>
      <c r="B7" s="132" t="s">
        <v>184</v>
      </c>
      <c r="C7" s="132" t="s">
        <v>185</v>
      </c>
      <c r="D7" s="243" t="s">
        <v>186</v>
      </c>
      <c r="E7" s="244"/>
      <c r="F7" s="132" t="s">
        <v>184</v>
      </c>
      <c r="G7" s="135" t="s">
        <v>185</v>
      </c>
      <c r="H7" s="243" t="s">
        <v>186</v>
      </c>
      <c r="I7" s="244"/>
      <c r="J7" s="138" t="s">
        <v>187</v>
      </c>
      <c r="K7" s="138" t="s">
        <v>188</v>
      </c>
    </row>
    <row r="8" spans="1:11" ht="15" x14ac:dyDescent="0.25">
      <c r="A8" s="130"/>
      <c r="B8" s="139" t="s">
        <v>189</v>
      </c>
      <c r="C8" s="139"/>
      <c r="D8" s="141" t="s">
        <v>189</v>
      </c>
      <c r="E8" s="244"/>
      <c r="F8" s="139" t="s">
        <v>189</v>
      </c>
      <c r="G8" s="141"/>
      <c r="H8" s="141" t="s">
        <v>189</v>
      </c>
      <c r="I8" s="244"/>
      <c r="J8" s="144"/>
      <c r="K8" s="144"/>
    </row>
    <row r="9" spans="1:11" ht="15" x14ac:dyDescent="0.25">
      <c r="A9" s="145" t="s">
        <v>18</v>
      </c>
      <c r="B9" s="146">
        <f>ROUND('January 01, 2016 Rates'!G44,2)</f>
        <v>8.4</v>
      </c>
      <c r="C9" s="147">
        <v>1</v>
      </c>
      <c r="D9" s="205">
        <f>C9*B9</f>
        <v>8.4</v>
      </c>
      <c r="E9" s="245"/>
      <c r="F9" s="146">
        <f>ROUND('January 01, 2016 Rates'!F44,2)</f>
        <v>8.56</v>
      </c>
      <c r="G9" s="150">
        <f t="shared" ref="G9:G14" si="0">C9</f>
        <v>1</v>
      </c>
      <c r="H9" s="205">
        <f t="shared" ref="H9:H14" si="1">G9*F9</f>
        <v>8.56</v>
      </c>
      <c r="I9" s="245"/>
      <c r="J9" s="246">
        <f t="shared" ref="J9:J29" si="2">H9-D9</f>
        <v>0.16000000000000014</v>
      </c>
      <c r="K9" s="152">
        <f t="shared" ref="K9:K29" si="3">IF((D9)=0,"",(J9/D9))</f>
        <v>1.9047619047619063E-2</v>
      </c>
    </row>
    <row r="10" spans="1:11" ht="15" x14ac:dyDescent="0.25">
      <c r="A10" s="145" t="s">
        <v>26</v>
      </c>
      <c r="B10" s="153">
        <f>ROUND('January 01, 2016 Rates'!G46,4)</f>
        <v>1.5299999999999999E-2</v>
      </c>
      <c r="C10" s="154">
        <f>+B3</f>
        <v>300</v>
      </c>
      <c r="D10" s="205">
        <f>C10*B10</f>
        <v>4.59</v>
      </c>
      <c r="E10" s="245"/>
      <c r="F10" s="153">
        <f>ROUND('January 01, 2016 Rates'!F46,4)</f>
        <v>1.5599999999999999E-2</v>
      </c>
      <c r="G10" s="156">
        <f t="shared" si="0"/>
        <v>300</v>
      </c>
      <c r="H10" s="205">
        <f t="shared" si="1"/>
        <v>4.68</v>
      </c>
      <c r="I10" s="245"/>
      <c r="J10" s="246">
        <f t="shared" si="2"/>
        <v>8.9999999999999858E-2</v>
      </c>
      <c r="K10" s="152">
        <f t="shared" si="3"/>
        <v>1.960784313725487E-2</v>
      </c>
    </row>
    <row r="11" spans="1:11" ht="15" x14ac:dyDescent="0.25">
      <c r="A11" s="145" t="s">
        <v>264</v>
      </c>
      <c r="B11" s="153">
        <f>ROUND('January 01, 2016 Rates'!G51,4)</f>
        <v>0</v>
      </c>
      <c r="C11" s="154">
        <v>1</v>
      </c>
      <c r="D11" s="205">
        <f>C11*B11</f>
        <v>0</v>
      </c>
      <c r="E11" s="245"/>
      <c r="F11" s="153">
        <f>ROUND('January 01, 2016 Rates'!F51,4)</f>
        <v>0</v>
      </c>
      <c r="G11" s="156">
        <f t="shared" si="0"/>
        <v>1</v>
      </c>
      <c r="H11" s="205">
        <f t="shared" si="1"/>
        <v>0</v>
      </c>
      <c r="I11" s="245"/>
      <c r="J11" s="246">
        <f t="shared" ref="J11:J13" si="4">H11-D11</f>
        <v>0</v>
      </c>
      <c r="K11" s="152" t="str">
        <f t="shared" ref="K11:K13" si="5">IF((D11)=0,"",(J11/D11))</f>
        <v/>
      </c>
    </row>
    <row r="12" spans="1:11" ht="15" hidden="1" x14ac:dyDescent="0.25">
      <c r="A12" s="145" t="s">
        <v>265</v>
      </c>
      <c r="B12" s="146">
        <f>ROUND('January 01, 2016 Rates'!G45,2)</f>
        <v>0</v>
      </c>
      <c r="C12" s="154">
        <v>1</v>
      </c>
      <c r="D12" s="205">
        <f>C12*B12</f>
        <v>0</v>
      </c>
      <c r="E12" s="245"/>
      <c r="F12" s="146"/>
      <c r="G12" s="156">
        <f t="shared" si="0"/>
        <v>1</v>
      </c>
      <c r="H12" s="205">
        <f t="shared" si="1"/>
        <v>0</v>
      </c>
      <c r="I12" s="245"/>
      <c r="J12" s="246">
        <f t="shared" si="4"/>
        <v>0</v>
      </c>
      <c r="K12" s="152" t="str">
        <f t="shared" si="5"/>
        <v/>
      </c>
    </row>
    <row r="13" spans="1:11" ht="15" hidden="1" x14ac:dyDescent="0.25">
      <c r="A13" s="145" t="s">
        <v>266</v>
      </c>
      <c r="B13" s="146">
        <f>ROUND('January 01, 2016 Rates'!G52,4)</f>
        <v>0</v>
      </c>
      <c r="C13" s="154">
        <f>B3</f>
        <v>300</v>
      </c>
      <c r="D13" s="205">
        <f>C13*B13</f>
        <v>0</v>
      </c>
      <c r="E13" s="245"/>
      <c r="F13" s="146"/>
      <c r="G13" s="156">
        <f t="shared" si="0"/>
        <v>300</v>
      </c>
      <c r="H13" s="205">
        <f t="shared" si="1"/>
        <v>0</v>
      </c>
      <c r="I13" s="245"/>
      <c r="J13" s="246">
        <f t="shared" si="4"/>
        <v>0</v>
      </c>
      <c r="K13" s="152" t="str">
        <f t="shared" si="5"/>
        <v/>
      </c>
    </row>
    <row r="14" spans="1:11" ht="15" x14ac:dyDescent="0.25">
      <c r="A14" s="168" t="s">
        <v>274</v>
      </c>
      <c r="B14" s="153">
        <v>0</v>
      </c>
      <c r="C14" s="167">
        <f>B3</f>
        <v>300</v>
      </c>
      <c r="D14" s="205"/>
      <c r="E14" s="245"/>
      <c r="F14" s="153">
        <f>ROUND('January 01, 2016 Rates'!F48,4)</f>
        <v>2.9999999999999997E-4</v>
      </c>
      <c r="G14" s="167">
        <f t="shared" si="0"/>
        <v>300</v>
      </c>
      <c r="H14" s="205">
        <f t="shared" si="1"/>
        <v>0.09</v>
      </c>
      <c r="I14" s="245"/>
      <c r="J14" s="246">
        <f t="shared" ref="J14" si="6">H14-D14</f>
        <v>0.09</v>
      </c>
      <c r="K14" s="152" t="str">
        <f t="shared" ref="K14" si="7">IF((D14)=0,"",(J14/D14))</f>
        <v/>
      </c>
    </row>
    <row r="15" spans="1:11" ht="15" x14ac:dyDescent="0.25">
      <c r="A15" s="169" t="s">
        <v>190</v>
      </c>
      <c r="B15" s="170"/>
      <c r="C15" s="171"/>
      <c r="D15" s="175">
        <f>SUM(D9:D14)</f>
        <v>12.99</v>
      </c>
      <c r="E15" s="245"/>
      <c r="F15" s="170"/>
      <c r="G15" s="174"/>
      <c r="H15" s="175">
        <f>SUM(H9:H14)</f>
        <v>13.33</v>
      </c>
      <c r="I15" s="245"/>
      <c r="J15" s="249">
        <f t="shared" si="2"/>
        <v>0.33999999999999986</v>
      </c>
      <c r="K15" s="176">
        <f t="shared" si="3"/>
        <v>2.6173979984603531E-2</v>
      </c>
    </row>
    <row r="16" spans="1:11" ht="15" x14ac:dyDescent="0.25">
      <c r="A16" s="166" t="s">
        <v>191</v>
      </c>
      <c r="B16" s="153">
        <v>9.4E-2</v>
      </c>
      <c r="C16" s="167">
        <f>+B3*B2</f>
        <v>10.799999999999999</v>
      </c>
      <c r="D16" s="205">
        <f>B16*C16</f>
        <v>1.0151999999999999</v>
      </c>
      <c r="E16" s="245"/>
      <c r="F16" s="153">
        <v>9.4E-2</v>
      </c>
      <c r="G16" s="167">
        <f>C16</f>
        <v>10.799999999999999</v>
      </c>
      <c r="H16" s="205">
        <f>F16*G16</f>
        <v>1.0151999999999999</v>
      </c>
      <c r="I16" s="245"/>
      <c r="J16" s="246">
        <f t="shared" si="2"/>
        <v>0</v>
      </c>
      <c r="K16" s="152">
        <f t="shared" si="3"/>
        <v>0</v>
      </c>
    </row>
    <row r="17" spans="1:11" ht="15" x14ac:dyDescent="0.25">
      <c r="A17" s="166" t="s">
        <v>267</v>
      </c>
      <c r="B17" s="153">
        <f>ROUND('January 01, 2016 Rates'!G47,4)</f>
        <v>0</v>
      </c>
      <c r="C17" s="167">
        <f>+B3</f>
        <v>300</v>
      </c>
      <c r="D17" s="205">
        <f>C17*B17</f>
        <v>0</v>
      </c>
      <c r="E17" s="245"/>
      <c r="F17" s="153">
        <f>ROUND('January 01, 2016 Rates'!F47,4)</f>
        <v>2.9999999999999997E-4</v>
      </c>
      <c r="G17" s="167">
        <f>C17</f>
        <v>300</v>
      </c>
      <c r="H17" s="205">
        <f>G17*F17</f>
        <v>0.09</v>
      </c>
      <c r="I17" s="245"/>
      <c r="J17" s="246">
        <f t="shared" si="2"/>
        <v>0.09</v>
      </c>
      <c r="K17" s="152" t="str">
        <f t="shared" si="3"/>
        <v/>
      </c>
    </row>
    <row r="18" spans="1:11" ht="15" x14ac:dyDescent="0.25">
      <c r="A18" s="168" t="s">
        <v>192</v>
      </c>
      <c r="B18" s="153">
        <f>ROUND('January 01, 2016 Rates'!G50,4)</f>
        <v>2.0000000000000001E-4</v>
      </c>
      <c r="C18" s="167">
        <f>+B3</f>
        <v>300</v>
      </c>
      <c r="D18" s="205">
        <f>C18*B18</f>
        <v>6.0000000000000005E-2</v>
      </c>
      <c r="E18" s="245"/>
      <c r="F18" s="153">
        <f>ROUND('January 01, 2016 Rates'!F50,4)</f>
        <v>2.0000000000000001E-4</v>
      </c>
      <c r="G18" s="167">
        <f>C18</f>
        <v>300</v>
      </c>
      <c r="H18" s="205">
        <f>G18*F18</f>
        <v>6.0000000000000005E-2</v>
      </c>
      <c r="I18" s="245"/>
      <c r="J18" s="246">
        <f t="shared" si="2"/>
        <v>0</v>
      </c>
      <c r="K18" s="152">
        <f t="shared" si="3"/>
        <v>0</v>
      </c>
    </row>
    <row r="19" spans="1:11" ht="15" x14ac:dyDescent="0.25">
      <c r="A19" s="168" t="s">
        <v>193</v>
      </c>
      <c r="B19" s="153">
        <v>0</v>
      </c>
      <c r="C19" s="167">
        <v>1</v>
      </c>
      <c r="D19" s="205">
        <f>C19*B19</f>
        <v>0</v>
      </c>
      <c r="E19" s="245"/>
      <c r="F19" s="153">
        <v>0</v>
      </c>
      <c r="G19" s="167">
        <f>C19</f>
        <v>1</v>
      </c>
      <c r="H19" s="205">
        <f>G19*F19</f>
        <v>0</v>
      </c>
      <c r="I19" s="245"/>
      <c r="J19" s="246">
        <f t="shared" si="2"/>
        <v>0</v>
      </c>
      <c r="K19" s="152" t="str">
        <f t="shared" si="3"/>
        <v/>
      </c>
    </row>
    <row r="20" spans="1:11" ht="15" x14ac:dyDescent="0.25">
      <c r="A20" s="169" t="s">
        <v>194</v>
      </c>
      <c r="B20" s="170"/>
      <c r="C20" s="171"/>
      <c r="D20" s="175">
        <f>SUM(D15:D19)</f>
        <v>14.065200000000001</v>
      </c>
      <c r="E20" s="245"/>
      <c r="F20" s="170"/>
      <c r="G20" s="174"/>
      <c r="H20" s="175">
        <f>SUM(H15:H19)</f>
        <v>14.495200000000001</v>
      </c>
      <c r="I20" s="245"/>
      <c r="J20" s="249">
        <f t="shared" si="2"/>
        <v>0.42999999999999972</v>
      </c>
      <c r="K20" s="176">
        <f t="shared" si="3"/>
        <v>3.0571907971447237E-2</v>
      </c>
    </row>
    <row r="21" spans="1:11" ht="15" x14ac:dyDescent="0.25">
      <c r="A21" s="177" t="s">
        <v>195</v>
      </c>
      <c r="B21" s="153">
        <f>ROUND('January 01, 2016 Rates'!G53,4)</f>
        <v>7.6E-3</v>
      </c>
      <c r="C21" s="178">
        <f>+B3</f>
        <v>300</v>
      </c>
      <c r="D21" s="205">
        <f>C21*B21</f>
        <v>2.2799999999999998</v>
      </c>
      <c r="E21" s="245"/>
      <c r="F21" s="153">
        <f>ROUND('January 01, 2016 Rates'!F53,4)</f>
        <v>7.1999999999999998E-3</v>
      </c>
      <c r="G21" s="179">
        <f>C21</f>
        <v>300</v>
      </c>
      <c r="H21" s="205">
        <f>G21*F21</f>
        <v>2.16</v>
      </c>
      <c r="I21" s="245"/>
      <c r="J21" s="246">
        <f t="shared" si="2"/>
        <v>-0.11999999999999966</v>
      </c>
      <c r="K21" s="152">
        <f t="shared" si="3"/>
        <v>-5.2631578947368279E-2</v>
      </c>
    </row>
    <row r="22" spans="1:11" ht="15" x14ac:dyDescent="0.25">
      <c r="A22" s="180" t="s">
        <v>196</v>
      </c>
      <c r="B22" s="153">
        <f>ROUND('January 01, 2016 Rates'!G54,4)</f>
        <v>5.5999999999999999E-3</v>
      </c>
      <c r="C22" s="178">
        <f>+B3</f>
        <v>300</v>
      </c>
      <c r="D22" s="205">
        <f>C22*B22</f>
        <v>1.68</v>
      </c>
      <c r="E22" s="245"/>
      <c r="F22" s="153">
        <f>ROUND('January 01, 2016 Rates'!F54,4)</f>
        <v>5.7999999999999996E-3</v>
      </c>
      <c r="G22" s="179">
        <f>C22</f>
        <v>300</v>
      </c>
      <c r="H22" s="205">
        <f>G22*F22</f>
        <v>1.7399999999999998</v>
      </c>
      <c r="I22" s="245"/>
      <c r="J22" s="246">
        <f t="shared" si="2"/>
        <v>5.9999999999999831E-2</v>
      </c>
      <c r="K22" s="152">
        <f t="shared" si="3"/>
        <v>3.5714285714285615E-2</v>
      </c>
    </row>
    <row r="23" spans="1:11" ht="15" x14ac:dyDescent="0.25">
      <c r="A23" s="169" t="s">
        <v>197</v>
      </c>
      <c r="B23" s="170"/>
      <c r="C23" s="171"/>
      <c r="D23" s="175">
        <f>SUM(D20:D22)</f>
        <v>18.025200000000002</v>
      </c>
      <c r="E23" s="250"/>
      <c r="F23" s="251"/>
      <c r="G23" s="183"/>
      <c r="H23" s="175">
        <f>SUM(H20:H22)</f>
        <v>18.395199999999999</v>
      </c>
      <c r="I23" s="250"/>
      <c r="J23" s="249">
        <f t="shared" si="2"/>
        <v>0.36999999999999744</v>
      </c>
      <c r="K23" s="176">
        <f t="shared" si="3"/>
        <v>2.0526818010340935E-2</v>
      </c>
    </row>
    <row r="24" spans="1:11" ht="15" x14ac:dyDescent="0.25">
      <c r="A24" s="168" t="s">
        <v>198</v>
      </c>
      <c r="B24" s="153">
        <f>ROUND('January 01, 2016 Rates'!G55,4)</f>
        <v>4.4000000000000003E-3</v>
      </c>
      <c r="C24" s="178">
        <f>+$B$3+$C$16</f>
        <v>310.8</v>
      </c>
      <c r="D24" s="205">
        <f t="shared" ref="D24:D29" si="8">C24*B24</f>
        <v>1.3675200000000001</v>
      </c>
      <c r="E24" s="245"/>
      <c r="F24" s="153">
        <f>ROUND('January 01, 2016 Rates'!F55,4)</f>
        <v>3.5999999999999999E-3</v>
      </c>
      <c r="G24" s="179">
        <f>+C24</f>
        <v>310.8</v>
      </c>
      <c r="H24" s="205">
        <f t="shared" ref="H24:H29" si="9">G24*F24</f>
        <v>1.1188800000000001</v>
      </c>
      <c r="I24" s="245"/>
      <c r="J24" s="246">
        <f t="shared" si="2"/>
        <v>-0.24863999999999997</v>
      </c>
      <c r="K24" s="152">
        <f t="shared" si="3"/>
        <v>-0.1818181818181818</v>
      </c>
    </row>
    <row r="25" spans="1:11" ht="15" x14ac:dyDescent="0.25">
      <c r="A25" s="168" t="s">
        <v>199</v>
      </c>
      <c r="B25" s="153">
        <f>ROUND('January 01, 2016 Rates'!G56,4)</f>
        <v>1.2999999999999999E-3</v>
      </c>
      <c r="C25" s="178">
        <f>+B3+C16</f>
        <v>310.8</v>
      </c>
      <c r="D25" s="205">
        <f t="shared" si="8"/>
        <v>0.40404000000000001</v>
      </c>
      <c r="E25" s="245"/>
      <c r="F25" s="153">
        <f>ROUND('January 01, 2016 Rates'!F56,4)</f>
        <v>1.2999999999999999E-3</v>
      </c>
      <c r="G25" s="179">
        <f>+C25</f>
        <v>310.8</v>
      </c>
      <c r="H25" s="205">
        <f t="shared" si="9"/>
        <v>0.40404000000000001</v>
      </c>
      <c r="I25" s="245"/>
      <c r="J25" s="246">
        <f t="shared" si="2"/>
        <v>0</v>
      </c>
      <c r="K25" s="152">
        <f t="shared" si="3"/>
        <v>0</v>
      </c>
    </row>
    <row r="26" spans="1:11" ht="15" x14ac:dyDescent="0.25">
      <c r="A26" s="168" t="s">
        <v>200</v>
      </c>
      <c r="B26" s="153">
        <f>ROUND('January 01, 2016 Rates'!G59,2)</f>
        <v>0.25</v>
      </c>
      <c r="C26" s="178">
        <v>1</v>
      </c>
      <c r="D26" s="205">
        <f t="shared" si="8"/>
        <v>0.25</v>
      </c>
      <c r="E26" s="245"/>
      <c r="F26" s="153">
        <f>ROUND('January 01, 2016 Rates'!F59,4)</f>
        <v>0.25</v>
      </c>
      <c r="G26" s="179">
        <f>C26</f>
        <v>1</v>
      </c>
      <c r="H26" s="205">
        <f t="shared" si="9"/>
        <v>0.25</v>
      </c>
      <c r="I26" s="245"/>
      <c r="J26" s="246">
        <f t="shared" si="2"/>
        <v>0</v>
      </c>
      <c r="K26" s="152">
        <f t="shared" si="3"/>
        <v>0</v>
      </c>
    </row>
    <row r="27" spans="1:11" ht="15" x14ac:dyDescent="0.25">
      <c r="A27" s="168" t="s">
        <v>201</v>
      </c>
      <c r="B27" s="153">
        <f>ROUND('January 01, 2016 Rates'!F58,4)</f>
        <v>7.0000000000000001E-3</v>
      </c>
      <c r="C27" s="178">
        <f>+B3</f>
        <v>300</v>
      </c>
      <c r="D27" s="205">
        <f t="shared" si="8"/>
        <v>2.1</v>
      </c>
      <c r="E27" s="245"/>
      <c r="F27" s="153">
        <f>ROUND('January 01, 2016 Rates'!F58,4)</f>
        <v>7.0000000000000001E-3</v>
      </c>
      <c r="G27" s="179">
        <f>C27</f>
        <v>300</v>
      </c>
      <c r="H27" s="205">
        <f t="shared" ref="H27" si="10">G27*F27</f>
        <v>2.1</v>
      </c>
      <c r="I27" s="245"/>
      <c r="J27" s="246">
        <f t="shared" ref="J27" si="11">H27-D27</f>
        <v>0</v>
      </c>
      <c r="K27" s="152">
        <f t="shared" ref="K27" si="12">IF((D27)=0,"",(J27/D27))</f>
        <v>0</v>
      </c>
    </row>
    <row r="28" spans="1:11" ht="15" x14ac:dyDescent="0.25">
      <c r="A28" s="307" t="s">
        <v>263</v>
      </c>
      <c r="B28" s="308"/>
      <c r="C28" s="309"/>
      <c r="D28" s="310"/>
      <c r="E28" s="147"/>
      <c r="F28" s="288">
        <f>ROUND('January 01, 2016 Rates'!F57,4)</f>
        <v>1.1000000000000001E-3</v>
      </c>
      <c r="G28" s="178">
        <f>+$B$3+$C$16</f>
        <v>310.8</v>
      </c>
      <c r="H28" s="148">
        <f t="shared" si="9"/>
        <v>0.34188000000000002</v>
      </c>
      <c r="I28" s="147"/>
      <c r="J28" s="313"/>
      <c r="K28" s="314"/>
    </row>
    <row r="29" spans="1:11" ht="15.75" thickBot="1" x14ac:dyDescent="0.3">
      <c r="A29" s="168" t="s">
        <v>215</v>
      </c>
      <c r="B29" s="153">
        <f>+B16</f>
        <v>9.4E-2</v>
      </c>
      <c r="C29" s="178">
        <f>+B3</f>
        <v>300</v>
      </c>
      <c r="D29" s="205">
        <f t="shared" si="8"/>
        <v>28.2</v>
      </c>
      <c r="E29" s="245"/>
      <c r="F29" s="153">
        <f>+F16</f>
        <v>9.4E-2</v>
      </c>
      <c r="G29" s="178">
        <f>C29</f>
        <v>300</v>
      </c>
      <c r="H29" s="205">
        <f t="shared" si="9"/>
        <v>28.2</v>
      </c>
      <c r="I29" s="245"/>
      <c r="J29" s="246">
        <f t="shared" si="2"/>
        <v>0</v>
      </c>
      <c r="K29" s="152">
        <f t="shared" si="3"/>
        <v>0</v>
      </c>
    </row>
    <row r="30" spans="1:11" ht="15.75" thickBot="1" x14ac:dyDescent="0.3">
      <c r="A30" s="184"/>
      <c r="B30" s="185"/>
      <c r="C30" s="186"/>
      <c r="D30" s="189"/>
      <c r="E30" s="245"/>
      <c r="F30" s="252"/>
      <c r="G30" s="188"/>
      <c r="H30" s="189"/>
      <c r="I30" s="245"/>
      <c r="J30" s="253"/>
      <c r="K30" s="190"/>
    </row>
    <row r="31" spans="1:11" ht="15" x14ac:dyDescent="0.25">
      <c r="A31" s="191" t="s">
        <v>205</v>
      </c>
      <c r="B31" s="192"/>
      <c r="C31" s="193"/>
      <c r="D31" s="254">
        <f>SUM(D23:D29)</f>
        <v>50.346760000000003</v>
      </c>
      <c r="E31" s="255"/>
      <c r="F31" s="197"/>
      <c r="G31" s="197"/>
      <c r="H31" s="254">
        <f>SUM(H23:H29)</f>
        <v>50.81</v>
      </c>
      <c r="I31" s="250"/>
      <c r="J31" s="254">
        <f>H31-D31</f>
        <v>0.46323999999999899</v>
      </c>
      <c r="K31" s="199">
        <f>IF((D31)=0,"",(J31/D31))</f>
        <v>9.2009892990134613E-3</v>
      </c>
    </row>
    <row r="32" spans="1:11" ht="15" x14ac:dyDescent="0.25">
      <c r="A32" s="200" t="s">
        <v>206</v>
      </c>
      <c r="B32" s="192">
        <v>0.13</v>
      </c>
      <c r="C32" s="201"/>
      <c r="D32" s="256">
        <f>D31*B32</f>
        <v>6.5450788000000006</v>
      </c>
      <c r="E32" s="201"/>
      <c r="F32" s="192">
        <v>0.13</v>
      </c>
      <c r="G32" s="203"/>
      <c r="H32" s="256">
        <f>H31*F32</f>
        <v>6.6053000000000006</v>
      </c>
      <c r="I32" s="245"/>
      <c r="J32" s="256">
        <f>H32-D32</f>
        <v>6.0221199999999975E-2</v>
      </c>
      <c r="K32" s="206">
        <f>IF((D32)=0,"",(J32/D32))</f>
        <v>9.2009892990134769E-3</v>
      </c>
    </row>
    <row r="33" spans="1:11" ht="15" x14ac:dyDescent="0.25">
      <c r="A33" s="207" t="s">
        <v>207</v>
      </c>
      <c r="B33" s="203"/>
      <c r="C33" s="201"/>
      <c r="D33" s="256">
        <f>D31+D32</f>
        <v>56.891838800000002</v>
      </c>
      <c r="E33" s="201"/>
      <c r="F33" s="203"/>
      <c r="G33" s="203"/>
      <c r="H33" s="256">
        <f>H31+H32</f>
        <v>57.415300000000002</v>
      </c>
      <c r="I33" s="245"/>
      <c r="J33" s="256">
        <f>H33-D33</f>
        <v>0.52346119999999985</v>
      </c>
      <c r="K33" s="206">
        <f>IF((D33)=0,"",(J33/D33))</f>
        <v>9.2009892990134786E-3</v>
      </c>
    </row>
    <row r="34" spans="1:11" ht="15" x14ac:dyDescent="0.25">
      <c r="A34" s="209" t="s">
        <v>208</v>
      </c>
      <c r="B34" s="203"/>
      <c r="C34" s="201"/>
      <c r="D34" s="256">
        <f>-D33*0.1</f>
        <v>-5.6891838800000007</v>
      </c>
      <c r="E34" s="201"/>
      <c r="F34" s="316"/>
      <c r="G34" s="316"/>
      <c r="H34" s="318"/>
      <c r="I34" s="245"/>
      <c r="J34" s="318"/>
      <c r="K34" s="314"/>
    </row>
    <row r="35" spans="1:11" ht="15.75" thickBot="1" x14ac:dyDescent="0.3">
      <c r="A35" s="210" t="s">
        <v>209</v>
      </c>
      <c r="B35" s="211"/>
      <c r="C35" s="212"/>
      <c r="D35" s="248">
        <f>D33+D34</f>
        <v>51.202654920000001</v>
      </c>
      <c r="E35" s="255"/>
      <c r="F35" s="215"/>
      <c r="G35" s="215"/>
      <c r="H35" s="248">
        <f>H33+H34</f>
        <v>57.415300000000002</v>
      </c>
      <c r="I35" s="250"/>
      <c r="J35" s="248">
        <f>H35-D35</f>
        <v>6.2126450800000015</v>
      </c>
      <c r="K35" s="165">
        <f>IF((D35)=0,"",(J35/D35))</f>
        <v>0.12133443255445946</v>
      </c>
    </row>
    <row r="36" spans="1:11" ht="15.75" thickBot="1" x14ac:dyDescent="0.3">
      <c r="A36" s="184"/>
      <c r="B36" s="216"/>
      <c r="C36" s="217"/>
      <c r="D36" s="257"/>
      <c r="E36" s="258"/>
      <c r="F36" s="216"/>
      <c r="G36" s="221"/>
      <c r="H36" s="259"/>
      <c r="I36" s="258"/>
      <c r="J36" s="260"/>
      <c r="K36" s="224"/>
    </row>
    <row r="37" spans="1:11" ht="15" x14ac:dyDescent="0.25">
      <c r="H37" s="322"/>
      <c r="I37" s="322"/>
      <c r="J37" s="322"/>
      <c r="K37" s="323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R36"/>
  <sheetViews>
    <sheetView workbookViewId="0">
      <selection activeCell="F17" sqref="F17"/>
    </sheetView>
  </sheetViews>
  <sheetFormatPr defaultRowHeight="14.4" x14ac:dyDescent="0.3"/>
  <cols>
    <col min="1" max="1" width="54.109375" bestFit="1" customWidth="1"/>
    <col min="2" max="2" width="12.88671875" customWidth="1"/>
    <col min="3" max="3" width="8.88671875" customWidth="1"/>
    <col min="4" max="4" width="8.6640625" bestFit="1" customWidth="1"/>
    <col min="5" max="5" width="9.109375" style="261"/>
    <col min="6" max="6" width="9.88671875" bestFit="1" customWidth="1"/>
    <col min="7" max="7" width="8" bestFit="1" customWidth="1"/>
    <col min="8" max="8" width="8.6640625" bestFit="1" customWidth="1"/>
    <col min="9" max="9" width="9.109375" style="261"/>
    <col min="10" max="10" width="9.5546875" bestFit="1" customWidth="1"/>
    <col min="11" max="11" width="10" bestFit="1" customWidth="1"/>
  </cols>
  <sheetData>
    <row r="1" spans="1:11" ht="15.75" x14ac:dyDescent="0.25">
      <c r="A1" s="119" t="s">
        <v>174</v>
      </c>
      <c r="B1" s="120" t="s">
        <v>216</v>
      </c>
      <c r="C1" s="120"/>
      <c r="D1" s="120"/>
      <c r="E1" s="120"/>
      <c r="F1" s="231"/>
      <c r="G1" s="231"/>
      <c r="H1" s="231"/>
      <c r="I1" s="237"/>
      <c r="J1" s="231"/>
      <c r="K1" s="233"/>
    </row>
    <row r="2" spans="1:11" ht="15.75" x14ac:dyDescent="0.25">
      <c r="A2" s="119" t="s">
        <v>176</v>
      </c>
      <c r="B2" s="121">
        <v>3.5999999999999997E-2</v>
      </c>
      <c r="C2" s="122"/>
      <c r="D2" s="122"/>
      <c r="E2" s="238"/>
      <c r="F2" s="122"/>
      <c r="G2" s="122"/>
      <c r="H2" s="122"/>
      <c r="I2" s="238"/>
      <c r="J2" s="122"/>
      <c r="K2" s="122"/>
    </row>
    <row r="3" spans="1:11" ht="15" x14ac:dyDescent="0.25">
      <c r="A3" s="119" t="s">
        <v>177</v>
      </c>
      <c r="B3" s="123">
        <v>300</v>
      </c>
      <c r="C3" s="124" t="s">
        <v>178</v>
      </c>
      <c r="D3" s="234"/>
      <c r="E3" s="239"/>
      <c r="F3" s="234"/>
      <c r="G3" s="234"/>
      <c r="H3" s="234"/>
      <c r="I3" s="239"/>
      <c r="J3" s="234"/>
      <c r="K3" s="234"/>
    </row>
    <row r="4" spans="1:11" ht="15" x14ac:dyDescent="0.25">
      <c r="A4" s="230" t="s">
        <v>179</v>
      </c>
      <c r="B4" s="234"/>
      <c r="C4" s="234"/>
      <c r="D4" s="234"/>
      <c r="E4" s="239"/>
      <c r="F4" s="234"/>
      <c r="G4" s="234"/>
      <c r="H4" s="234"/>
      <c r="I4" s="239"/>
      <c r="J4" s="234"/>
      <c r="K4" s="234"/>
    </row>
    <row r="5" spans="1:11" ht="15" x14ac:dyDescent="0.25">
      <c r="A5" s="127" t="s">
        <v>180</v>
      </c>
      <c r="B5" s="128"/>
      <c r="C5" s="129" t="s">
        <v>181</v>
      </c>
      <c r="D5" s="234"/>
      <c r="E5" s="239"/>
      <c r="F5" s="234"/>
      <c r="G5" s="234"/>
      <c r="H5" s="234"/>
      <c r="I5" s="239"/>
      <c r="J5" s="234"/>
      <c r="K5" s="234"/>
    </row>
    <row r="6" spans="1:11" ht="15" x14ac:dyDescent="0.25">
      <c r="A6" s="130"/>
      <c r="B6" s="339" t="s">
        <v>182</v>
      </c>
      <c r="C6" s="340"/>
      <c r="D6" s="341"/>
      <c r="E6" s="242"/>
      <c r="F6" s="339" t="s">
        <v>8</v>
      </c>
      <c r="G6" s="340"/>
      <c r="H6" s="341"/>
      <c r="I6" s="242"/>
      <c r="J6" s="339" t="s">
        <v>183</v>
      </c>
      <c r="K6" s="341"/>
    </row>
    <row r="7" spans="1:11" ht="15" x14ac:dyDescent="0.25">
      <c r="A7" s="130"/>
      <c r="B7" s="132" t="s">
        <v>184</v>
      </c>
      <c r="C7" s="132" t="s">
        <v>185</v>
      </c>
      <c r="D7" s="243" t="s">
        <v>186</v>
      </c>
      <c r="E7" s="244"/>
      <c r="F7" s="132" t="s">
        <v>184</v>
      </c>
      <c r="G7" s="135" t="s">
        <v>185</v>
      </c>
      <c r="H7" s="243" t="s">
        <v>186</v>
      </c>
      <c r="I7" s="244"/>
      <c r="J7" s="138" t="s">
        <v>187</v>
      </c>
      <c r="K7" s="138" t="s">
        <v>188</v>
      </c>
    </row>
    <row r="8" spans="1:11" ht="15" x14ac:dyDescent="0.25">
      <c r="A8" s="130"/>
      <c r="B8" s="139" t="s">
        <v>189</v>
      </c>
      <c r="C8" s="139"/>
      <c r="D8" s="141" t="s">
        <v>189</v>
      </c>
      <c r="E8" s="244"/>
      <c r="F8" s="139" t="s">
        <v>189</v>
      </c>
      <c r="G8" s="141"/>
      <c r="H8" s="141" t="s">
        <v>189</v>
      </c>
      <c r="I8" s="244"/>
      <c r="J8" s="144"/>
      <c r="K8" s="144"/>
    </row>
    <row r="9" spans="1:11" ht="15" x14ac:dyDescent="0.25">
      <c r="A9" s="145" t="s">
        <v>18</v>
      </c>
      <c r="B9" s="146">
        <f>ROUND('January 01, 2016 Rates'!G44,2)</f>
        <v>8.4</v>
      </c>
      <c r="C9" s="147">
        <v>1</v>
      </c>
      <c r="D9" s="205">
        <f>C9*B9</f>
        <v>8.4</v>
      </c>
      <c r="E9" s="245"/>
      <c r="F9" s="146">
        <f>ROUND('January 01, 2016 Rates'!F44,2)</f>
        <v>8.56</v>
      </c>
      <c r="G9" s="150">
        <f>C9</f>
        <v>1</v>
      </c>
      <c r="H9" s="205">
        <f t="shared" ref="H9:H14" si="0">G9*F9</f>
        <v>8.56</v>
      </c>
      <c r="I9" s="245"/>
      <c r="J9" s="246">
        <f t="shared" ref="J9:J29" si="1">H9-D9</f>
        <v>0.16000000000000014</v>
      </c>
      <c r="K9" s="152">
        <f t="shared" ref="K9:K29" si="2">IF((D9)=0,"",(J9/D9))</f>
        <v>1.9047619047619063E-2</v>
      </c>
    </row>
    <row r="10" spans="1:11" ht="15" x14ac:dyDescent="0.25">
      <c r="A10" s="145" t="s">
        <v>26</v>
      </c>
      <c r="B10" s="153">
        <f>ROUND('January 01, 2016 Rates'!G46,4)</f>
        <v>1.5299999999999999E-2</v>
      </c>
      <c r="C10" s="154">
        <f>+B3</f>
        <v>300</v>
      </c>
      <c r="D10" s="205">
        <f>C10*B10</f>
        <v>4.59</v>
      </c>
      <c r="E10" s="245"/>
      <c r="F10" s="153">
        <f>ROUND('January 01, 2016 Rates'!F46,4)</f>
        <v>1.5599999999999999E-2</v>
      </c>
      <c r="G10" s="156">
        <f>C10</f>
        <v>300</v>
      </c>
      <c r="H10" s="205">
        <f t="shared" si="0"/>
        <v>4.68</v>
      </c>
      <c r="I10" s="245"/>
      <c r="J10" s="246">
        <f t="shared" si="1"/>
        <v>8.9999999999999858E-2</v>
      </c>
      <c r="K10" s="152">
        <f t="shared" si="2"/>
        <v>1.960784313725487E-2</v>
      </c>
    </row>
    <row r="11" spans="1:11" ht="15" x14ac:dyDescent="0.25">
      <c r="A11" s="145" t="s">
        <v>264</v>
      </c>
      <c r="B11" s="153">
        <f>ROUND('January 01, 2016 Rates'!G51,4)</f>
        <v>0</v>
      </c>
      <c r="C11" s="154">
        <v>1</v>
      </c>
      <c r="D11" s="205">
        <f>C11*B11</f>
        <v>0</v>
      </c>
      <c r="E11" s="245"/>
      <c r="F11" s="153">
        <f>ROUND('January 01, 2016 Rates'!F51,4)</f>
        <v>0</v>
      </c>
      <c r="G11" s="156">
        <f>C11</f>
        <v>1</v>
      </c>
      <c r="H11" s="205">
        <f t="shared" si="0"/>
        <v>0</v>
      </c>
      <c r="I11" s="245"/>
      <c r="J11" s="246">
        <f t="shared" si="1"/>
        <v>0</v>
      </c>
      <c r="K11" s="152" t="str">
        <f t="shared" si="2"/>
        <v/>
      </c>
    </row>
    <row r="12" spans="1:11" ht="15" hidden="1" x14ac:dyDescent="0.25">
      <c r="A12" s="145" t="s">
        <v>265</v>
      </c>
      <c r="B12" s="153">
        <f>ROUND('January 01, 2016 Rates'!G45,2)</f>
        <v>0</v>
      </c>
      <c r="C12" s="154">
        <v>1</v>
      </c>
      <c r="D12" s="205">
        <f t="shared" ref="D12:D14" si="3">C12*B12</f>
        <v>0</v>
      </c>
      <c r="E12" s="245"/>
      <c r="F12" s="146"/>
      <c r="G12" s="156">
        <f t="shared" ref="G12:G14" si="4">C12</f>
        <v>1</v>
      </c>
      <c r="H12" s="205">
        <f t="shared" si="0"/>
        <v>0</v>
      </c>
      <c r="I12" s="245"/>
      <c r="J12" s="246">
        <f t="shared" ref="J12:J13" si="5">H12-D12</f>
        <v>0</v>
      </c>
      <c r="K12" s="152" t="str">
        <f t="shared" ref="K12:K13" si="6">IF((D12)=0,"",(J12/D12))</f>
        <v/>
      </c>
    </row>
    <row r="13" spans="1:11" ht="15" hidden="1" x14ac:dyDescent="0.25">
      <c r="A13" s="145" t="s">
        <v>266</v>
      </c>
      <c r="B13" s="153">
        <f>ROUND('January 01, 2016 Rates'!G52,4)</f>
        <v>0</v>
      </c>
      <c r="C13" s="154">
        <f>B3</f>
        <v>300</v>
      </c>
      <c r="D13" s="205">
        <f t="shared" si="3"/>
        <v>0</v>
      </c>
      <c r="E13" s="245"/>
      <c r="F13" s="146"/>
      <c r="G13" s="156">
        <f t="shared" si="4"/>
        <v>300</v>
      </c>
      <c r="H13" s="205">
        <f t="shared" si="0"/>
        <v>0</v>
      </c>
      <c r="I13" s="245"/>
      <c r="J13" s="246">
        <f t="shared" si="5"/>
        <v>0</v>
      </c>
      <c r="K13" s="152" t="str">
        <f t="shared" si="6"/>
        <v/>
      </c>
    </row>
    <row r="14" spans="1:11" ht="15" x14ac:dyDescent="0.25">
      <c r="A14" s="168" t="s">
        <v>274</v>
      </c>
      <c r="B14" s="153">
        <v>0</v>
      </c>
      <c r="C14" s="167">
        <f>B3</f>
        <v>300</v>
      </c>
      <c r="D14" s="205">
        <f t="shared" si="3"/>
        <v>0</v>
      </c>
      <c r="E14" s="245"/>
      <c r="F14" s="153">
        <f>ROUND('January 01, 2016 Rates'!F48,4)</f>
        <v>2.9999999999999997E-4</v>
      </c>
      <c r="G14" s="167">
        <f t="shared" si="4"/>
        <v>300</v>
      </c>
      <c r="H14" s="205">
        <f t="shared" si="0"/>
        <v>0.09</v>
      </c>
      <c r="I14" s="245"/>
      <c r="J14" s="246">
        <f t="shared" ref="J14" si="7">H14-D14</f>
        <v>0.09</v>
      </c>
      <c r="K14" s="152" t="str">
        <f t="shared" ref="K14" si="8">IF((D14)=0,"",(J14/D14))</f>
        <v/>
      </c>
    </row>
    <row r="15" spans="1:11" ht="15" x14ac:dyDescent="0.25">
      <c r="A15" s="169" t="s">
        <v>190</v>
      </c>
      <c r="B15" s="170"/>
      <c r="C15" s="171"/>
      <c r="D15" s="175">
        <f>SUM(D9:D14)</f>
        <v>12.99</v>
      </c>
      <c r="E15" s="245"/>
      <c r="F15" s="170"/>
      <c r="G15" s="174"/>
      <c r="H15" s="175">
        <f>SUM(H9:H14)</f>
        <v>13.33</v>
      </c>
      <c r="I15" s="245"/>
      <c r="J15" s="249">
        <f t="shared" si="1"/>
        <v>0.33999999999999986</v>
      </c>
      <c r="K15" s="176">
        <f t="shared" si="2"/>
        <v>2.6173979984603531E-2</v>
      </c>
    </row>
    <row r="16" spans="1:11" ht="15" x14ac:dyDescent="0.25">
      <c r="A16" s="166" t="s">
        <v>191</v>
      </c>
      <c r="B16" s="153">
        <v>9.4E-2</v>
      </c>
      <c r="C16" s="167">
        <f>+B3*B2</f>
        <v>10.799999999999999</v>
      </c>
      <c r="D16" s="205">
        <f>B16*C16</f>
        <v>1.0151999999999999</v>
      </c>
      <c r="E16" s="245"/>
      <c r="F16" s="153">
        <v>9.4E-2</v>
      </c>
      <c r="G16" s="167">
        <f>C16</f>
        <v>10.799999999999999</v>
      </c>
      <c r="H16" s="205">
        <f>F16*G16</f>
        <v>1.0151999999999999</v>
      </c>
      <c r="I16" s="245"/>
      <c r="J16" s="246">
        <f t="shared" si="1"/>
        <v>0</v>
      </c>
      <c r="K16" s="152">
        <f t="shared" si="2"/>
        <v>0</v>
      </c>
    </row>
    <row r="17" spans="1:18" ht="15" x14ac:dyDescent="0.25">
      <c r="A17" s="166" t="s">
        <v>267</v>
      </c>
      <c r="B17" s="153">
        <f>ROUND('January 01, 2016 Rates'!G47+'January 01, 2016 Rates'!G49,4)</f>
        <v>0</v>
      </c>
      <c r="C17" s="167">
        <f>+B3</f>
        <v>300</v>
      </c>
      <c r="D17" s="205">
        <f>C17*B17</f>
        <v>0</v>
      </c>
      <c r="E17" s="245"/>
      <c r="F17" s="153">
        <f>ROUND('January 01, 2016 Rates'!F47+'January 01, 2016 Rates'!F49,4)</f>
        <v>2.5999999999999999E-3</v>
      </c>
      <c r="G17" s="167">
        <f>C17</f>
        <v>300</v>
      </c>
      <c r="H17" s="205">
        <f>G17*F17</f>
        <v>0.77999999999999992</v>
      </c>
      <c r="I17" s="245"/>
      <c r="J17" s="246">
        <f t="shared" si="1"/>
        <v>0.77999999999999992</v>
      </c>
      <c r="K17" s="152" t="str">
        <f>IF((D17)=0,"",(J17/D17))</f>
        <v/>
      </c>
    </row>
    <row r="18" spans="1:18" ht="15" x14ac:dyDescent="0.25">
      <c r="A18" s="168" t="s">
        <v>192</v>
      </c>
      <c r="B18" s="153">
        <f>ROUND('January 01, 2016 Rates'!G50,4)</f>
        <v>2.0000000000000001E-4</v>
      </c>
      <c r="C18" s="167">
        <f>+B3</f>
        <v>300</v>
      </c>
      <c r="D18" s="205">
        <f>C18*B18</f>
        <v>6.0000000000000005E-2</v>
      </c>
      <c r="E18" s="245"/>
      <c r="F18" s="153">
        <f>ROUND('January 01, 2016 Rates'!F50,4)</f>
        <v>2.0000000000000001E-4</v>
      </c>
      <c r="G18" s="167">
        <f>C18</f>
        <v>300</v>
      </c>
      <c r="H18" s="205">
        <f>G18*F18</f>
        <v>6.0000000000000005E-2</v>
      </c>
      <c r="I18" s="245"/>
      <c r="J18" s="246">
        <f t="shared" si="1"/>
        <v>0</v>
      </c>
      <c r="K18" s="152">
        <f t="shared" si="2"/>
        <v>0</v>
      </c>
    </row>
    <row r="19" spans="1:18" ht="15" x14ac:dyDescent="0.25">
      <c r="A19" s="168" t="s">
        <v>193</v>
      </c>
      <c r="B19" s="153">
        <v>0</v>
      </c>
      <c r="C19" s="167">
        <v>1</v>
      </c>
      <c r="D19" s="205">
        <f>C19*B19</f>
        <v>0</v>
      </c>
      <c r="E19" s="245"/>
      <c r="F19" s="153">
        <v>0</v>
      </c>
      <c r="G19" s="167">
        <f>C19</f>
        <v>1</v>
      </c>
      <c r="H19" s="205">
        <f>G19*F19</f>
        <v>0</v>
      </c>
      <c r="I19" s="245"/>
      <c r="J19" s="246">
        <f t="shared" si="1"/>
        <v>0</v>
      </c>
      <c r="K19" s="152" t="str">
        <f t="shared" si="2"/>
        <v/>
      </c>
    </row>
    <row r="20" spans="1:18" ht="15" x14ac:dyDescent="0.25">
      <c r="A20" s="169" t="s">
        <v>194</v>
      </c>
      <c r="B20" s="170"/>
      <c r="C20" s="171"/>
      <c r="D20" s="175">
        <f>SUM(D15:D19)</f>
        <v>14.065200000000001</v>
      </c>
      <c r="E20" s="245"/>
      <c r="F20" s="170"/>
      <c r="G20" s="174"/>
      <c r="H20" s="175">
        <f>SUM(H15:H19)</f>
        <v>15.1852</v>
      </c>
      <c r="I20" s="245"/>
      <c r="J20" s="249">
        <f t="shared" si="1"/>
        <v>1.1199999999999992</v>
      </c>
      <c r="K20" s="176">
        <f t="shared" si="2"/>
        <v>7.9629155646560243E-2</v>
      </c>
    </row>
    <row r="21" spans="1:18" ht="15" x14ac:dyDescent="0.25">
      <c r="A21" s="177" t="s">
        <v>195</v>
      </c>
      <c r="B21" s="153">
        <f>ROUND('January 01, 2016 Rates'!G53,4)</f>
        <v>7.6E-3</v>
      </c>
      <c r="C21" s="178">
        <f>+B3</f>
        <v>300</v>
      </c>
      <c r="D21" s="205">
        <f>C21*B21</f>
        <v>2.2799999999999998</v>
      </c>
      <c r="E21" s="245"/>
      <c r="F21" s="153">
        <f>ROUND('January 01, 2016 Rates'!F53,4)</f>
        <v>7.1999999999999998E-3</v>
      </c>
      <c r="G21" s="179">
        <f>C21</f>
        <v>300</v>
      </c>
      <c r="H21" s="205">
        <f>G21*F21</f>
        <v>2.16</v>
      </c>
      <c r="I21" s="245"/>
      <c r="J21" s="246">
        <f t="shared" si="1"/>
        <v>-0.11999999999999966</v>
      </c>
      <c r="K21" s="152">
        <f t="shared" si="2"/>
        <v>-5.2631578947368279E-2</v>
      </c>
    </row>
    <row r="22" spans="1:18" ht="15" x14ac:dyDescent="0.25">
      <c r="A22" s="180" t="s">
        <v>196</v>
      </c>
      <c r="B22" s="153">
        <f>ROUND('January 01, 2016 Rates'!G54,4)</f>
        <v>5.5999999999999999E-3</v>
      </c>
      <c r="C22" s="178">
        <f>+B3</f>
        <v>300</v>
      </c>
      <c r="D22" s="205">
        <f>C22*B22</f>
        <v>1.68</v>
      </c>
      <c r="E22" s="245"/>
      <c r="F22" s="153">
        <f>ROUND('January 01, 2016 Rates'!F54,4)</f>
        <v>5.7999999999999996E-3</v>
      </c>
      <c r="G22" s="179">
        <f>C22</f>
        <v>300</v>
      </c>
      <c r="H22" s="205">
        <f>G22*F22</f>
        <v>1.7399999999999998</v>
      </c>
      <c r="I22" s="245"/>
      <c r="J22" s="246">
        <f t="shared" si="1"/>
        <v>5.9999999999999831E-2</v>
      </c>
      <c r="K22" s="152">
        <f t="shared" si="2"/>
        <v>3.5714285714285615E-2</v>
      </c>
      <c r="R22" s="289"/>
    </row>
    <row r="23" spans="1:18" ht="15" x14ac:dyDescent="0.25">
      <c r="A23" s="169" t="s">
        <v>197</v>
      </c>
      <c r="B23" s="170"/>
      <c r="C23" s="171"/>
      <c r="D23" s="175">
        <f>SUM(D20:D22)</f>
        <v>18.025200000000002</v>
      </c>
      <c r="E23" s="250"/>
      <c r="F23" s="251"/>
      <c r="G23" s="183"/>
      <c r="H23" s="175">
        <f>SUM(H20:H22)</f>
        <v>19.085199999999997</v>
      </c>
      <c r="I23" s="250"/>
      <c r="J23" s="249">
        <f t="shared" si="1"/>
        <v>1.0599999999999952</v>
      </c>
      <c r="K23" s="176">
        <f t="shared" si="2"/>
        <v>5.8806559705301194E-2</v>
      </c>
    </row>
    <row r="24" spans="1:18" ht="15" x14ac:dyDescent="0.25">
      <c r="A24" s="168" t="s">
        <v>198</v>
      </c>
      <c r="B24" s="153">
        <f>ROUND('January 01, 2016 Rates'!G55,4)</f>
        <v>4.4000000000000003E-3</v>
      </c>
      <c r="C24" s="178">
        <f>+$B$3+$C$16</f>
        <v>310.8</v>
      </c>
      <c r="D24" s="205">
        <f t="shared" ref="D24:D29" si="9">C24*B24</f>
        <v>1.3675200000000001</v>
      </c>
      <c r="E24" s="245"/>
      <c r="F24" s="153">
        <f>ROUND('January 01, 2016 Rates'!F55,4)</f>
        <v>3.5999999999999999E-3</v>
      </c>
      <c r="G24" s="179">
        <f>+C24</f>
        <v>310.8</v>
      </c>
      <c r="H24" s="205">
        <f t="shared" ref="H24:H29" si="10">G24*F24</f>
        <v>1.1188800000000001</v>
      </c>
      <c r="I24" s="245"/>
      <c r="J24" s="246">
        <f t="shared" si="1"/>
        <v>-0.24863999999999997</v>
      </c>
      <c r="K24" s="152">
        <f t="shared" si="2"/>
        <v>-0.1818181818181818</v>
      </c>
    </row>
    <row r="25" spans="1:18" ht="15" x14ac:dyDescent="0.25">
      <c r="A25" s="168" t="s">
        <v>199</v>
      </c>
      <c r="B25" s="153">
        <f>ROUND('January 01, 2016 Rates'!G56,4)</f>
        <v>1.2999999999999999E-3</v>
      </c>
      <c r="C25" s="178">
        <f>+B3+C16</f>
        <v>310.8</v>
      </c>
      <c r="D25" s="205">
        <f t="shared" si="9"/>
        <v>0.40404000000000001</v>
      </c>
      <c r="E25" s="245"/>
      <c r="F25" s="153">
        <f>ROUND('January 01, 2016 Rates'!F56,4)</f>
        <v>1.2999999999999999E-3</v>
      </c>
      <c r="G25" s="179">
        <f>+C25</f>
        <v>310.8</v>
      </c>
      <c r="H25" s="205">
        <f t="shared" si="10"/>
        <v>0.40404000000000001</v>
      </c>
      <c r="I25" s="245"/>
      <c r="J25" s="246">
        <f t="shared" si="1"/>
        <v>0</v>
      </c>
      <c r="K25" s="152">
        <f t="shared" si="2"/>
        <v>0</v>
      </c>
    </row>
    <row r="26" spans="1:18" ht="15" x14ac:dyDescent="0.25">
      <c r="A26" s="168" t="s">
        <v>200</v>
      </c>
      <c r="B26" s="153">
        <f>ROUND('January 01, 2016 Rates'!G59,2)</f>
        <v>0.25</v>
      </c>
      <c r="C26" s="178">
        <v>1</v>
      </c>
      <c r="D26" s="205">
        <f t="shared" si="9"/>
        <v>0.25</v>
      </c>
      <c r="E26" s="245"/>
      <c r="F26" s="153">
        <f>ROUND('January 01, 2016 Rates'!F59,4)</f>
        <v>0.25</v>
      </c>
      <c r="G26" s="179">
        <f>C26</f>
        <v>1</v>
      </c>
      <c r="H26" s="205">
        <f t="shared" si="10"/>
        <v>0.25</v>
      </c>
      <c r="I26" s="245"/>
      <c r="J26" s="246">
        <f t="shared" si="1"/>
        <v>0</v>
      </c>
      <c r="K26" s="152">
        <f t="shared" si="2"/>
        <v>0</v>
      </c>
    </row>
    <row r="27" spans="1:18" ht="15" x14ac:dyDescent="0.25">
      <c r="A27" s="168" t="s">
        <v>201</v>
      </c>
      <c r="B27" s="153">
        <f>ROUND('January 01, 2016 Rates'!F58,4)</f>
        <v>7.0000000000000001E-3</v>
      </c>
      <c r="C27" s="178">
        <f>+B3</f>
        <v>300</v>
      </c>
      <c r="D27" s="205">
        <f t="shared" si="9"/>
        <v>2.1</v>
      </c>
      <c r="E27" s="245"/>
      <c r="F27" s="153">
        <f>ROUND('January 01, 2016 Rates'!F58,4)</f>
        <v>7.0000000000000001E-3</v>
      </c>
      <c r="G27" s="179">
        <f>C27</f>
        <v>300</v>
      </c>
      <c r="H27" s="205">
        <f t="shared" ref="H27" si="11">G27*F27</f>
        <v>2.1</v>
      </c>
      <c r="I27" s="245"/>
      <c r="J27" s="246">
        <f t="shared" ref="J27" si="12">H27-D27</f>
        <v>0</v>
      </c>
      <c r="K27" s="152">
        <f t="shared" ref="K27" si="13">IF((D27)=0,"",(J27/D27))</f>
        <v>0</v>
      </c>
    </row>
    <row r="28" spans="1:18" ht="15" x14ac:dyDescent="0.25">
      <c r="A28" s="307" t="s">
        <v>263</v>
      </c>
      <c r="B28" s="308"/>
      <c r="C28" s="309"/>
      <c r="D28" s="310"/>
      <c r="E28" s="147"/>
      <c r="F28" s="288">
        <f>ROUND('January 01, 2016 Rates'!F57,4)</f>
        <v>1.1000000000000001E-3</v>
      </c>
      <c r="G28" s="178">
        <f>+$B$3+$C$16</f>
        <v>310.8</v>
      </c>
      <c r="H28" s="148">
        <f t="shared" si="10"/>
        <v>0.34188000000000002</v>
      </c>
      <c r="I28" s="147"/>
      <c r="J28" s="313"/>
      <c r="K28" s="314"/>
    </row>
    <row r="29" spans="1:18" ht="15.75" thickBot="1" x14ac:dyDescent="0.3">
      <c r="A29" s="168" t="s">
        <v>215</v>
      </c>
      <c r="B29" s="153">
        <f>+B16</f>
        <v>9.4E-2</v>
      </c>
      <c r="C29" s="178">
        <f>+B3</f>
        <v>300</v>
      </c>
      <c r="D29" s="205">
        <f t="shared" si="9"/>
        <v>28.2</v>
      </c>
      <c r="E29" s="245"/>
      <c r="F29" s="153">
        <f>+F16</f>
        <v>9.4E-2</v>
      </c>
      <c r="G29" s="178">
        <f>C29</f>
        <v>300</v>
      </c>
      <c r="H29" s="205">
        <f t="shared" si="10"/>
        <v>28.2</v>
      </c>
      <c r="I29" s="245"/>
      <c r="J29" s="246">
        <f t="shared" si="1"/>
        <v>0</v>
      </c>
      <c r="K29" s="152">
        <f t="shared" si="2"/>
        <v>0</v>
      </c>
    </row>
    <row r="30" spans="1:18" ht="15.75" thickBot="1" x14ac:dyDescent="0.3">
      <c r="A30" s="184"/>
      <c r="B30" s="185"/>
      <c r="C30" s="186"/>
      <c r="D30" s="189"/>
      <c r="E30" s="245"/>
      <c r="F30" s="252"/>
      <c r="G30" s="188"/>
      <c r="H30" s="189"/>
      <c r="I30" s="245"/>
      <c r="J30" s="253"/>
      <c r="K30" s="190"/>
    </row>
    <row r="31" spans="1:18" ht="15" x14ac:dyDescent="0.25">
      <c r="A31" s="191" t="s">
        <v>205</v>
      </c>
      <c r="B31" s="192"/>
      <c r="C31" s="193"/>
      <c r="D31" s="254">
        <f>SUM(D23:D29)</f>
        <v>50.346760000000003</v>
      </c>
      <c r="E31" s="255"/>
      <c r="F31" s="197"/>
      <c r="G31" s="197"/>
      <c r="H31" s="254">
        <f>SUM(H23:H29)</f>
        <v>51.5</v>
      </c>
      <c r="I31" s="250"/>
      <c r="J31" s="254">
        <f>H31-D31</f>
        <v>1.1532399999999967</v>
      </c>
      <c r="K31" s="199">
        <f>IF((D31)=0,"",(J31/D31))</f>
        <v>2.2905942706144281E-2</v>
      </c>
    </row>
    <row r="32" spans="1:18" ht="15" x14ac:dyDescent="0.25">
      <c r="A32" s="200" t="s">
        <v>206</v>
      </c>
      <c r="B32" s="192">
        <v>0.13</v>
      </c>
      <c r="C32" s="201"/>
      <c r="D32" s="256">
        <f>D31*B32</f>
        <v>6.5450788000000006</v>
      </c>
      <c r="E32" s="201"/>
      <c r="F32" s="192">
        <v>0.13</v>
      </c>
      <c r="G32" s="203"/>
      <c r="H32" s="256">
        <f>H31*F32</f>
        <v>6.6950000000000003</v>
      </c>
      <c r="I32" s="245"/>
      <c r="J32" s="256">
        <f>H32-D32</f>
        <v>0.14992119999999964</v>
      </c>
      <c r="K32" s="206">
        <f>IF((D32)=0,"",(J32/D32))</f>
        <v>2.2905942706144291E-2</v>
      </c>
    </row>
    <row r="33" spans="1:11" ht="15" x14ac:dyDescent="0.25">
      <c r="A33" s="207" t="s">
        <v>207</v>
      </c>
      <c r="B33" s="203"/>
      <c r="C33" s="201"/>
      <c r="D33" s="256">
        <f>D31+D32</f>
        <v>56.891838800000002</v>
      </c>
      <c r="E33" s="201"/>
      <c r="F33" s="203"/>
      <c r="G33" s="203"/>
      <c r="H33" s="256">
        <f>H31+H32</f>
        <v>58.195</v>
      </c>
      <c r="I33" s="245"/>
      <c r="J33" s="256">
        <f>H33-D33</f>
        <v>1.3031611999999981</v>
      </c>
      <c r="K33" s="206">
        <f>IF((D33)=0,"",(J33/D33))</f>
        <v>2.2905942706144315E-2</v>
      </c>
    </row>
    <row r="34" spans="1:11" ht="15" x14ac:dyDescent="0.25">
      <c r="A34" s="209" t="s">
        <v>208</v>
      </c>
      <c r="B34" s="203"/>
      <c r="C34" s="201"/>
      <c r="D34" s="256">
        <f>-D33*0.1</f>
        <v>-5.6891838800000007</v>
      </c>
      <c r="E34" s="201"/>
      <c r="F34" s="316"/>
      <c r="G34" s="316"/>
      <c r="H34" s="318"/>
      <c r="I34" s="245"/>
      <c r="J34" s="318"/>
      <c r="K34" s="314"/>
    </row>
    <row r="35" spans="1:11" ht="15.75" thickBot="1" x14ac:dyDescent="0.3">
      <c r="A35" s="210" t="s">
        <v>209</v>
      </c>
      <c r="B35" s="211"/>
      <c r="C35" s="212"/>
      <c r="D35" s="248">
        <f>D33+D34</f>
        <v>51.202654920000001</v>
      </c>
      <c r="E35" s="255"/>
      <c r="F35" s="215"/>
      <c r="G35" s="215"/>
      <c r="H35" s="248">
        <f>H33+H34</f>
        <v>58.195</v>
      </c>
      <c r="I35" s="250"/>
      <c r="J35" s="248">
        <f>H35-D35</f>
        <v>6.9923450799999998</v>
      </c>
      <c r="K35" s="165">
        <f>IF((D35)=0,"",(J35/D35))</f>
        <v>0.1365621585623826</v>
      </c>
    </row>
    <row r="36" spans="1:11" ht="15.75" thickBot="1" x14ac:dyDescent="0.3">
      <c r="A36" s="184"/>
      <c r="B36" s="216"/>
      <c r="C36" s="217"/>
      <c r="D36" s="257"/>
      <c r="E36" s="258"/>
      <c r="F36" s="216"/>
      <c r="G36" s="221"/>
      <c r="H36" s="259"/>
      <c r="I36" s="258"/>
      <c r="J36" s="260"/>
      <c r="K36" s="224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K46"/>
  <sheetViews>
    <sheetView workbookViewId="0">
      <selection activeCell="F16" sqref="F16"/>
    </sheetView>
  </sheetViews>
  <sheetFormatPr defaultRowHeight="14.4" x14ac:dyDescent="0.3"/>
  <cols>
    <col min="1" max="1" width="54.109375" bestFit="1" customWidth="1"/>
    <col min="2" max="2" width="13.109375" customWidth="1"/>
    <col min="3" max="3" width="9.88671875" bestFit="1" customWidth="1"/>
    <col min="4" max="4" width="12.6640625" bestFit="1" customWidth="1"/>
    <col min="6" max="6" width="11" bestFit="1" customWidth="1"/>
    <col min="7" max="7" width="9.88671875" bestFit="1" customWidth="1"/>
    <col min="8" max="8" width="12.6640625" bestFit="1" customWidth="1"/>
    <col min="10" max="10" width="9.88671875" bestFit="1" customWidth="1"/>
    <col min="11" max="11" width="10" bestFit="1" customWidth="1"/>
  </cols>
  <sheetData>
    <row r="1" spans="1:11" ht="15.75" x14ac:dyDescent="0.25">
      <c r="A1" s="119" t="s">
        <v>174</v>
      </c>
      <c r="B1" s="120" t="s">
        <v>217</v>
      </c>
      <c r="C1" s="120"/>
      <c r="D1" s="120"/>
      <c r="E1" s="120"/>
      <c r="F1" s="231"/>
      <c r="G1" s="231"/>
      <c r="H1" s="231"/>
      <c r="I1" s="231"/>
      <c r="J1" s="231"/>
      <c r="K1" s="233"/>
    </row>
    <row r="2" spans="1:11" ht="15.75" x14ac:dyDescent="0.25">
      <c r="A2" s="119" t="s">
        <v>176</v>
      </c>
      <c r="B2" s="121">
        <v>3.5999999999999997E-2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" x14ac:dyDescent="0.25">
      <c r="A3" s="119" t="s">
        <v>177</v>
      </c>
      <c r="B3" s="123">
        <v>100000</v>
      </c>
      <c r="C3" s="124" t="s">
        <v>178</v>
      </c>
      <c r="D3" s="234"/>
      <c r="E3" s="234"/>
      <c r="F3" s="234"/>
      <c r="G3" s="234"/>
      <c r="H3" s="234"/>
      <c r="I3" s="234"/>
      <c r="J3" s="234"/>
      <c r="K3" s="234"/>
    </row>
    <row r="4" spans="1:11" ht="15" x14ac:dyDescent="0.25">
      <c r="A4" s="230" t="s">
        <v>179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 ht="15" x14ac:dyDescent="0.25">
      <c r="A5" s="127" t="s">
        <v>180</v>
      </c>
      <c r="B5" s="128">
        <v>230</v>
      </c>
      <c r="C5" s="129" t="s">
        <v>181</v>
      </c>
      <c r="D5" s="234"/>
      <c r="E5" s="234"/>
      <c r="F5" s="234"/>
      <c r="G5" s="234"/>
      <c r="H5" s="234"/>
      <c r="I5" s="234"/>
      <c r="J5" s="234"/>
      <c r="K5" s="234"/>
    </row>
    <row r="6" spans="1:11" ht="15" x14ac:dyDescent="0.25">
      <c r="A6" s="130"/>
      <c r="B6" s="339" t="s">
        <v>182</v>
      </c>
      <c r="C6" s="340"/>
      <c r="D6" s="341"/>
      <c r="E6" s="242"/>
      <c r="F6" s="339" t="s">
        <v>8</v>
      </c>
      <c r="G6" s="340"/>
      <c r="H6" s="341"/>
      <c r="I6" s="242"/>
      <c r="J6" s="339" t="s">
        <v>183</v>
      </c>
      <c r="K6" s="341"/>
    </row>
    <row r="7" spans="1:11" ht="15" x14ac:dyDescent="0.25">
      <c r="A7" s="130"/>
      <c r="B7" s="132" t="s">
        <v>184</v>
      </c>
      <c r="C7" s="132" t="s">
        <v>185</v>
      </c>
      <c r="D7" s="243" t="s">
        <v>186</v>
      </c>
      <c r="E7" s="244"/>
      <c r="F7" s="132" t="s">
        <v>184</v>
      </c>
      <c r="G7" s="135" t="s">
        <v>185</v>
      </c>
      <c r="H7" s="132" t="s">
        <v>186</v>
      </c>
      <c r="I7" s="244"/>
      <c r="J7" s="138" t="s">
        <v>187</v>
      </c>
      <c r="K7" s="138" t="s">
        <v>188</v>
      </c>
    </row>
    <row r="8" spans="1:11" ht="15" x14ac:dyDescent="0.25">
      <c r="A8" s="130"/>
      <c r="B8" s="139" t="s">
        <v>189</v>
      </c>
      <c r="C8" s="139"/>
      <c r="D8" s="141" t="s">
        <v>189</v>
      </c>
      <c r="E8" s="244"/>
      <c r="F8" s="139" t="s">
        <v>189</v>
      </c>
      <c r="G8" s="141"/>
      <c r="H8" s="139" t="s">
        <v>189</v>
      </c>
      <c r="I8" s="244"/>
      <c r="J8" s="144"/>
      <c r="K8" s="144"/>
    </row>
    <row r="9" spans="1:11" ht="15" x14ac:dyDescent="0.25">
      <c r="A9" s="145" t="s">
        <v>18</v>
      </c>
      <c r="B9" s="146">
        <f>ROUND('January 01, 2016 Rates'!G61,2)</f>
        <v>71.64</v>
      </c>
      <c r="C9" s="147">
        <v>1</v>
      </c>
      <c r="D9" s="205">
        <f>C9*B9</f>
        <v>71.64</v>
      </c>
      <c r="E9" s="245"/>
      <c r="F9" s="146">
        <f>ROUND('January 01, 2016 Rates'!F61,2)</f>
        <v>73.040000000000006</v>
      </c>
      <c r="G9" s="150">
        <f>C9</f>
        <v>1</v>
      </c>
      <c r="H9" s="205">
        <f>G9*F9</f>
        <v>73.040000000000006</v>
      </c>
      <c r="I9" s="245"/>
      <c r="J9" s="246">
        <f>H9-D9</f>
        <v>1.4000000000000057</v>
      </c>
      <c r="K9" s="152">
        <f t="shared" ref="K9:K36" si="0">IF((D9)=0,"",(J9/D9))</f>
        <v>1.954215522054726E-2</v>
      </c>
    </row>
    <row r="10" spans="1:11" ht="15" x14ac:dyDescent="0.25">
      <c r="A10" s="145" t="s">
        <v>26</v>
      </c>
      <c r="B10" s="153">
        <f>ROUND('January 01, 2016 Rates'!G63,4)</f>
        <v>4.3117999999999999</v>
      </c>
      <c r="C10" s="154">
        <f>+B5</f>
        <v>230</v>
      </c>
      <c r="D10" s="205">
        <f>C10*B10</f>
        <v>991.71399999999994</v>
      </c>
      <c r="E10" s="245"/>
      <c r="F10" s="153">
        <f>ROUND('January 01, 2016 Rates'!F63,4)</f>
        <v>4.3959000000000001</v>
      </c>
      <c r="G10" s="156">
        <f>C10</f>
        <v>230</v>
      </c>
      <c r="H10" s="205">
        <f>G10*F10</f>
        <v>1011.057</v>
      </c>
      <c r="I10" s="245"/>
      <c r="J10" s="246">
        <f t="shared" ref="J10:J36" si="1">H10-D10</f>
        <v>19.343000000000075</v>
      </c>
      <c r="K10" s="152">
        <f t="shared" si="0"/>
        <v>1.9504615241894414E-2</v>
      </c>
    </row>
    <row r="11" spans="1:11" ht="15" x14ac:dyDescent="0.25">
      <c r="A11" s="145" t="s">
        <v>264</v>
      </c>
      <c r="B11" s="153">
        <f>ROUND('January 01, 2016 Rates'!G70,4)</f>
        <v>0</v>
      </c>
      <c r="C11" s="154">
        <f>B5</f>
        <v>230</v>
      </c>
      <c r="D11" s="205">
        <f>C11*B11</f>
        <v>0</v>
      </c>
      <c r="E11" s="245"/>
      <c r="F11" s="153">
        <f>ROUND('January 01, 2016 Rates'!F70,4)</f>
        <v>1.6999999999999999E-3</v>
      </c>
      <c r="G11" s="156">
        <f>C11</f>
        <v>230</v>
      </c>
      <c r="H11" s="205">
        <f t="shared" ref="H11:H13" si="2">G11*F11</f>
        <v>0.39099999999999996</v>
      </c>
      <c r="I11" s="245"/>
      <c r="J11" s="246">
        <f t="shared" si="1"/>
        <v>0.39099999999999996</v>
      </c>
      <c r="K11" s="152" t="str">
        <f t="shared" si="0"/>
        <v/>
      </c>
    </row>
    <row r="12" spans="1:11" ht="15" hidden="1" x14ac:dyDescent="0.25">
      <c r="A12" s="145" t="s">
        <v>265</v>
      </c>
      <c r="B12" s="146">
        <f>ROUND('January 01, 2016 Rates'!G62,2)</f>
        <v>0</v>
      </c>
      <c r="C12" s="154">
        <v>1</v>
      </c>
      <c r="D12" s="205">
        <f t="shared" ref="D12:D14" si="3">C12*B12</f>
        <v>0</v>
      </c>
      <c r="E12" s="245"/>
      <c r="F12" s="146"/>
      <c r="G12" s="156">
        <f t="shared" ref="G12:G13" si="4">C12</f>
        <v>1</v>
      </c>
      <c r="H12" s="205">
        <f t="shared" si="2"/>
        <v>0</v>
      </c>
      <c r="I12" s="245"/>
      <c r="J12" s="246">
        <f t="shared" ref="J12:J13" si="5">H12-D12</f>
        <v>0</v>
      </c>
      <c r="K12" s="152" t="str">
        <f t="shared" ref="K12:K13" si="6">IF((D12)=0,"",(J12/D12))</f>
        <v/>
      </c>
    </row>
    <row r="13" spans="1:11" ht="15" hidden="1" x14ac:dyDescent="0.25">
      <c r="A13" s="145" t="s">
        <v>266</v>
      </c>
      <c r="B13" s="146">
        <f>ROUND('January 01, 2016 Rates'!G71,4)</f>
        <v>0</v>
      </c>
      <c r="C13" s="154">
        <f>B5</f>
        <v>230</v>
      </c>
      <c r="D13" s="205">
        <f t="shared" si="3"/>
        <v>0</v>
      </c>
      <c r="E13" s="245"/>
      <c r="F13" s="146"/>
      <c r="G13" s="156">
        <f t="shared" si="4"/>
        <v>230</v>
      </c>
      <c r="H13" s="205">
        <f t="shared" si="2"/>
        <v>0</v>
      </c>
      <c r="I13" s="245"/>
      <c r="J13" s="246">
        <f t="shared" si="5"/>
        <v>0</v>
      </c>
      <c r="K13" s="152" t="str">
        <f t="shared" si="6"/>
        <v/>
      </c>
    </row>
    <row r="14" spans="1:11" ht="15" x14ac:dyDescent="0.25">
      <c r="A14" s="168" t="s">
        <v>274</v>
      </c>
      <c r="B14" s="153">
        <v>0</v>
      </c>
      <c r="C14" s="167">
        <f>B5</f>
        <v>230</v>
      </c>
      <c r="D14" s="205">
        <f t="shared" si="3"/>
        <v>0</v>
      </c>
      <c r="E14" s="245"/>
      <c r="F14" s="153">
        <f>ROUND('January 01, 2016 Rates'!F66,4)</f>
        <v>3.1699999999999999E-2</v>
      </c>
      <c r="G14" s="167">
        <f>C14</f>
        <v>230</v>
      </c>
      <c r="H14" s="205">
        <f>G14*F14</f>
        <v>7.2909999999999995</v>
      </c>
      <c r="I14" s="245"/>
      <c r="J14" s="246">
        <f t="shared" ref="J14" si="7">H14-D14</f>
        <v>7.2909999999999995</v>
      </c>
      <c r="K14" s="152" t="str">
        <f t="shared" ref="K14" si="8">IF((D14)=0,"",(J14/D14))</f>
        <v/>
      </c>
    </row>
    <row r="15" spans="1:11" ht="15" x14ac:dyDescent="0.25">
      <c r="A15" s="169" t="s">
        <v>190</v>
      </c>
      <c r="B15" s="170"/>
      <c r="C15" s="171"/>
      <c r="D15" s="175">
        <f>SUM(D9:D14)</f>
        <v>1063.354</v>
      </c>
      <c r="E15" s="245"/>
      <c r="F15" s="170"/>
      <c r="G15" s="174"/>
      <c r="H15" s="175">
        <f>SUM(H9:H14)</f>
        <v>1091.779</v>
      </c>
      <c r="I15" s="245"/>
      <c r="J15" s="249">
        <f>H15-D15</f>
        <v>28.424999999999955</v>
      </c>
      <c r="K15" s="176">
        <f>IF((D15)=0,"",(J15/D15))</f>
        <v>2.6731455376102366E-2</v>
      </c>
    </row>
    <row r="16" spans="1:11" ht="15" x14ac:dyDescent="0.25">
      <c r="A16" s="166" t="s">
        <v>267</v>
      </c>
      <c r="B16" s="153">
        <f>ROUND('January 01, 2016 Rates'!G64+'January 01, 2016 Rates'!G65+'January 01, 2016 Rates'!G68,4)</f>
        <v>0</v>
      </c>
      <c r="C16" s="167">
        <f>+B5</f>
        <v>230</v>
      </c>
      <c r="D16" s="205">
        <f>C16*B16</f>
        <v>0</v>
      </c>
      <c r="E16" s="245"/>
      <c r="F16" s="153">
        <f>ROUND('January 01, 2016 Rates'!F64+'January 01, 2016 Rates'!F65+'January 01, 2016 Rates'!F68,4)</f>
        <v>0.82840000000000003</v>
      </c>
      <c r="G16" s="167">
        <f>C16</f>
        <v>230</v>
      </c>
      <c r="H16" s="205">
        <f>G16*F16</f>
        <v>190.53200000000001</v>
      </c>
      <c r="I16" s="245"/>
      <c r="J16" s="246">
        <f t="shared" si="1"/>
        <v>190.53200000000001</v>
      </c>
      <c r="K16" s="152" t="str">
        <f t="shared" si="0"/>
        <v/>
      </c>
    </row>
    <row r="17" spans="1:11" ht="15" x14ac:dyDescent="0.25">
      <c r="A17" s="168" t="s">
        <v>192</v>
      </c>
      <c r="B17" s="153">
        <f>ROUND('January 01, 2016 Rates'!G69,4)</f>
        <v>8.0199999999999994E-2</v>
      </c>
      <c r="C17" s="167">
        <f>+B5</f>
        <v>230</v>
      </c>
      <c r="D17" s="205">
        <f>C17*B17</f>
        <v>18.445999999999998</v>
      </c>
      <c r="E17" s="245"/>
      <c r="F17" s="153">
        <f>ROUND('January 01, 2016 Rates'!F69,4)</f>
        <v>8.0199999999999994E-2</v>
      </c>
      <c r="G17" s="167">
        <f>C17</f>
        <v>230</v>
      </c>
      <c r="H17" s="205">
        <f>G17*F17</f>
        <v>18.445999999999998</v>
      </c>
      <c r="I17" s="245"/>
      <c r="J17" s="246">
        <f t="shared" si="1"/>
        <v>0</v>
      </c>
      <c r="K17" s="152">
        <f t="shared" si="0"/>
        <v>0</v>
      </c>
    </row>
    <row r="18" spans="1:11" ht="15" x14ac:dyDescent="0.25">
      <c r="A18" s="168" t="s">
        <v>193</v>
      </c>
      <c r="B18" s="153">
        <v>0</v>
      </c>
      <c r="C18" s="167">
        <v>1</v>
      </c>
      <c r="D18" s="205">
        <f>C18*B18</f>
        <v>0</v>
      </c>
      <c r="E18" s="245"/>
      <c r="F18" s="153">
        <v>0</v>
      </c>
      <c r="G18" s="167">
        <f>C18</f>
        <v>1</v>
      </c>
      <c r="H18" s="205">
        <f>G18*F18</f>
        <v>0</v>
      </c>
      <c r="I18" s="245"/>
      <c r="J18" s="246">
        <f t="shared" si="1"/>
        <v>0</v>
      </c>
      <c r="K18" s="152" t="str">
        <f t="shared" si="0"/>
        <v/>
      </c>
    </row>
    <row r="19" spans="1:11" ht="15" x14ac:dyDescent="0.25">
      <c r="A19" s="169" t="s">
        <v>194</v>
      </c>
      <c r="B19" s="170"/>
      <c r="C19" s="171"/>
      <c r="D19" s="175">
        <f>SUM(D15:D18)</f>
        <v>1081.8</v>
      </c>
      <c r="E19" s="245"/>
      <c r="F19" s="170"/>
      <c r="G19" s="174"/>
      <c r="H19" s="175">
        <f>SUM(H15:H18)</f>
        <v>1300.7569999999998</v>
      </c>
      <c r="I19" s="245"/>
      <c r="J19" s="249">
        <f t="shared" si="1"/>
        <v>218.95699999999988</v>
      </c>
      <c r="K19" s="176">
        <f t="shared" si="0"/>
        <v>0.20240062858199287</v>
      </c>
    </row>
    <row r="20" spans="1:11" ht="15" x14ac:dyDescent="0.25">
      <c r="A20" s="177" t="s">
        <v>122</v>
      </c>
      <c r="B20" s="153">
        <f>ROUND('January 01, 2016 Rates'!G74,4)</f>
        <v>-0.4</v>
      </c>
      <c r="C20" s="178">
        <f>B5</f>
        <v>230</v>
      </c>
      <c r="D20" s="205">
        <f>C20*B20</f>
        <v>-92</v>
      </c>
      <c r="E20" s="245"/>
      <c r="F20" s="153">
        <f>ROUND('January 01, 2016 Rates'!F74,4)</f>
        <v>-0.4</v>
      </c>
      <c r="G20" s="179">
        <f>C20</f>
        <v>230</v>
      </c>
      <c r="H20" s="205">
        <f>G20*F20</f>
        <v>-92</v>
      </c>
      <c r="I20" s="245"/>
      <c r="J20" s="246">
        <f t="shared" ref="J20" si="9">H20-D20</f>
        <v>0</v>
      </c>
      <c r="K20" s="152">
        <f t="shared" ref="K20" si="10">IF((D20)=0,"",(J20/D20))</f>
        <v>0</v>
      </c>
    </row>
    <row r="21" spans="1:11" ht="15" x14ac:dyDescent="0.25">
      <c r="A21" s="177" t="s">
        <v>195</v>
      </c>
      <c r="B21" s="153">
        <f>ROUND('January 01, 2016 Rates'!G72,4)</f>
        <v>2.9272</v>
      </c>
      <c r="C21" s="178">
        <f>+B5</f>
        <v>230</v>
      </c>
      <c r="D21" s="205">
        <f>C21*B21</f>
        <v>673.25599999999997</v>
      </c>
      <c r="E21" s="245"/>
      <c r="F21" s="153">
        <f>ROUND('January 01, 2016 Rates'!F72,4)</f>
        <v>2.7818999999999998</v>
      </c>
      <c r="G21" s="179">
        <f>C21</f>
        <v>230</v>
      </c>
      <c r="H21" s="205">
        <f>G21*F21</f>
        <v>639.83699999999999</v>
      </c>
      <c r="I21" s="245"/>
      <c r="J21" s="246">
        <f t="shared" si="1"/>
        <v>-33.418999999999983</v>
      </c>
      <c r="K21" s="152">
        <f t="shared" si="0"/>
        <v>-4.963787920196773E-2</v>
      </c>
    </row>
    <row r="22" spans="1:11" ht="15" x14ac:dyDescent="0.25">
      <c r="A22" s="180" t="s">
        <v>196</v>
      </c>
      <c r="B22" s="153">
        <f>ROUND('January 01, 2016 Rates'!G73,4)</f>
        <v>2.1960000000000002</v>
      </c>
      <c r="C22" s="178">
        <f>+B5</f>
        <v>230</v>
      </c>
      <c r="D22" s="205">
        <f>C22*B22</f>
        <v>505.08000000000004</v>
      </c>
      <c r="E22" s="245"/>
      <c r="F22" s="153">
        <f>ROUND('January 01, 2016 Rates'!F73,4)</f>
        <v>2.2757999999999998</v>
      </c>
      <c r="G22" s="179">
        <f>C22</f>
        <v>230</v>
      </c>
      <c r="H22" s="205">
        <f>G22*F22</f>
        <v>523.43399999999997</v>
      </c>
      <c r="I22" s="245"/>
      <c r="J22" s="246">
        <f t="shared" si="1"/>
        <v>18.353999999999928</v>
      </c>
      <c r="K22" s="152">
        <f t="shared" si="0"/>
        <v>3.6338797814207506E-2</v>
      </c>
    </row>
    <row r="23" spans="1:11" ht="15" x14ac:dyDescent="0.25">
      <c r="A23" s="169" t="s">
        <v>197</v>
      </c>
      <c r="B23" s="170"/>
      <c r="C23" s="171"/>
      <c r="D23" s="175">
        <f>SUM(D19:D22)</f>
        <v>2168.136</v>
      </c>
      <c r="E23" s="250"/>
      <c r="F23" s="251"/>
      <c r="G23" s="183"/>
      <c r="H23" s="175">
        <f>SUM(H19:H22)</f>
        <v>2372.0279999999998</v>
      </c>
      <c r="I23" s="250"/>
      <c r="J23" s="249">
        <f t="shared" si="1"/>
        <v>203.89199999999983</v>
      </c>
      <c r="K23" s="176">
        <f t="shared" si="0"/>
        <v>9.4040226258869292E-2</v>
      </c>
    </row>
    <row r="24" spans="1:11" ht="15" x14ac:dyDescent="0.25">
      <c r="A24" s="168" t="s">
        <v>198</v>
      </c>
      <c r="B24" s="153">
        <f>ROUND('January 01, 2016 Rates'!G75,4)</f>
        <v>4.4000000000000003E-3</v>
      </c>
      <c r="C24" s="178">
        <f>$B$3*(1+$B$2)</f>
        <v>103600</v>
      </c>
      <c r="D24" s="205">
        <f t="shared" ref="D24:D30" si="11">C24*B24</f>
        <v>455.84000000000003</v>
      </c>
      <c r="E24" s="245"/>
      <c r="F24" s="153">
        <f>ROUND('January 01, 2016 Rates'!F75,4)</f>
        <v>3.5999999999999999E-3</v>
      </c>
      <c r="G24" s="179">
        <f>+C24</f>
        <v>103600</v>
      </c>
      <c r="H24" s="205">
        <f t="shared" ref="H24:H30" si="12">G24*F24</f>
        <v>372.96</v>
      </c>
      <c r="I24" s="245"/>
      <c r="J24" s="246">
        <f t="shared" si="1"/>
        <v>-82.880000000000052</v>
      </c>
      <c r="K24" s="152">
        <f t="shared" si="0"/>
        <v>-0.18181818181818191</v>
      </c>
    </row>
    <row r="25" spans="1:11" ht="15" x14ac:dyDescent="0.25">
      <c r="A25" s="168" t="s">
        <v>199</v>
      </c>
      <c r="B25" s="153">
        <f>ROUND('January 01, 2016 Rates'!G76,4)</f>
        <v>1.2999999999999999E-3</v>
      </c>
      <c r="C25" s="178">
        <f>C24</f>
        <v>103600</v>
      </c>
      <c r="D25" s="205">
        <f t="shared" si="11"/>
        <v>134.68</v>
      </c>
      <c r="E25" s="245"/>
      <c r="F25" s="153">
        <f>ROUND('January 01, 2016 Rates'!F76,4)</f>
        <v>1.2999999999999999E-3</v>
      </c>
      <c r="G25" s="179">
        <f>+C25</f>
        <v>103600</v>
      </c>
      <c r="H25" s="205">
        <f t="shared" si="12"/>
        <v>134.68</v>
      </c>
      <c r="I25" s="245"/>
      <c r="J25" s="246">
        <f t="shared" si="1"/>
        <v>0</v>
      </c>
      <c r="K25" s="152">
        <f t="shared" si="0"/>
        <v>0</v>
      </c>
    </row>
    <row r="26" spans="1:11" ht="15" x14ac:dyDescent="0.25">
      <c r="A26" s="168" t="s">
        <v>200</v>
      </c>
      <c r="B26" s="153">
        <f>ROUND('January 01, 2016 Rates'!G79,4)</f>
        <v>0.25</v>
      </c>
      <c r="C26" s="178">
        <v>1</v>
      </c>
      <c r="D26" s="205">
        <f t="shared" si="11"/>
        <v>0.25</v>
      </c>
      <c r="E26" s="245"/>
      <c r="F26" s="153">
        <f>ROUND('January 01, 2016 Rates'!F79,4)</f>
        <v>0.25</v>
      </c>
      <c r="G26" s="179">
        <f>C26</f>
        <v>1</v>
      </c>
      <c r="H26" s="205">
        <f t="shared" si="12"/>
        <v>0.25</v>
      </c>
      <c r="I26" s="245"/>
      <c r="J26" s="246">
        <f t="shared" si="1"/>
        <v>0</v>
      </c>
      <c r="K26" s="152">
        <f t="shared" si="0"/>
        <v>0</v>
      </c>
    </row>
    <row r="27" spans="1:11" ht="15" x14ac:dyDescent="0.25">
      <c r="A27" s="168" t="s">
        <v>201</v>
      </c>
      <c r="B27" s="153">
        <f>ROUND('January 01, 2016 Rates'!G78,4)</f>
        <v>7.0000000000000001E-3</v>
      </c>
      <c r="C27" s="178">
        <f>+B3</f>
        <v>100000</v>
      </c>
      <c r="D27" s="205">
        <f t="shared" si="11"/>
        <v>700</v>
      </c>
      <c r="E27" s="245"/>
      <c r="F27" s="153">
        <f>ROUND('January 01, 2016 Rates'!G78,4)</f>
        <v>7.0000000000000001E-3</v>
      </c>
      <c r="G27" s="179">
        <f>C27</f>
        <v>100000</v>
      </c>
      <c r="H27" s="205">
        <f t="shared" ref="H27" si="13">G27*F27</f>
        <v>700</v>
      </c>
      <c r="I27" s="245"/>
      <c r="J27" s="246">
        <f t="shared" ref="J27" si="14">H27-D27</f>
        <v>0</v>
      </c>
      <c r="K27" s="152">
        <f t="shared" ref="K27" si="15">IF((D27)=0,"",(J27/D27))</f>
        <v>0</v>
      </c>
    </row>
    <row r="28" spans="1:11" ht="15" x14ac:dyDescent="0.25">
      <c r="A28" s="307" t="s">
        <v>263</v>
      </c>
      <c r="B28" s="308"/>
      <c r="C28" s="309"/>
      <c r="D28" s="310"/>
      <c r="E28" s="147"/>
      <c r="F28" s="288">
        <f>ROUND('January 01, 2016 Rates'!F77,4)</f>
        <v>1.1000000000000001E-3</v>
      </c>
      <c r="G28" s="178">
        <f>$B$3*(1+$B$2)</f>
        <v>103600</v>
      </c>
      <c r="H28" s="148">
        <f>G28*F28</f>
        <v>113.96000000000001</v>
      </c>
      <c r="I28" s="147"/>
      <c r="J28" s="313"/>
      <c r="K28" s="314"/>
    </row>
    <row r="29" spans="1:11" ht="15" x14ac:dyDescent="0.25">
      <c r="A29" s="168" t="s">
        <v>215</v>
      </c>
      <c r="B29" s="153">
        <v>9.4E-2</v>
      </c>
      <c r="C29" s="178">
        <v>750</v>
      </c>
      <c r="D29" s="205">
        <f t="shared" si="11"/>
        <v>70.5</v>
      </c>
      <c r="E29" s="245"/>
      <c r="F29" s="153">
        <v>9.4E-2</v>
      </c>
      <c r="G29" s="178">
        <f>C29</f>
        <v>750</v>
      </c>
      <c r="H29" s="205">
        <f t="shared" si="12"/>
        <v>70.5</v>
      </c>
      <c r="I29" s="245"/>
      <c r="J29" s="246">
        <f t="shared" si="1"/>
        <v>0</v>
      </c>
      <c r="K29" s="152">
        <f t="shared" si="0"/>
        <v>0</v>
      </c>
    </row>
    <row r="30" spans="1:11" ht="15.75" thickBot="1" x14ac:dyDescent="0.3">
      <c r="A30" s="168" t="s">
        <v>215</v>
      </c>
      <c r="B30" s="153">
        <v>0.11</v>
      </c>
      <c r="C30" s="178">
        <f>+ROUND(C24-C29,0)</f>
        <v>102850</v>
      </c>
      <c r="D30" s="205">
        <f t="shared" si="11"/>
        <v>11313.5</v>
      </c>
      <c r="E30" s="245"/>
      <c r="F30" s="153">
        <v>0.11</v>
      </c>
      <c r="G30" s="178">
        <f>C30</f>
        <v>102850</v>
      </c>
      <c r="H30" s="205">
        <f t="shared" si="12"/>
        <v>11313.5</v>
      </c>
      <c r="I30" s="245"/>
      <c r="J30" s="246">
        <f t="shared" si="1"/>
        <v>0</v>
      </c>
      <c r="K30" s="152">
        <f t="shared" si="0"/>
        <v>0</v>
      </c>
    </row>
    <row r="31" spans="1:11" ht="15.75" thickBot="1" x14ac:dyDescent="0.3">
      <c r="A31" s="184"/>
      <c r="B31" s="185"/>
      <c r="C31" s="186"/>
      <c r="D31" s="189"/>
      <c r="E31" s="245"/>
      <c r="F31" s="252"/>
      <c r="G31" s="188"/>
      <c r="H31" s="189"/>
      <c r="I31" s="245"/>
      <c r="J31" s="253"/>
      <c r="K31" s="190"/>
    </row>
    <row r="32" spans="1:11" ht="15" x14ac:dyDescent="0.25">
      <c r="A32" s="191" t="s">
        <v>205</v>
      </c>
      <c r="B32" s="192"/>
      <c r="C32" s="193"/>
      <c r="D32" s="254">
        <f>SUM(D23:D30)</f>
        <v>14842.905999999999</v>
      </c>
      <c r="E32" s="255"/>
      <c r="F32" s="197"/>
      <c r="G32" s="197"/>
      <c r="H32" s="254">
        <f>SUM(H23:H30)</f>
        <v>15077.878000000001</v>
      </c>
      <c r="I32" s="250"/>
      <c r="J32" s="254">
        <f>H32-D32</f>
        <v>234.97200000000157</v>
      </c>
      <c r="K32" s="199">
        <f>IF((D32)=0,"",(J32/D32))</f>
        <v>1.5830592742418607E-2</v>
      </c>
    </row>
    <row r="33" spans="1:11" ht="15" x14ac:dyDescent="0.25">
      <c r="A33" s="200" t="s">
        <v>206</v>
      </c>
      <c r="B33" s="192">
        <v>0.13</v>
      </c>
      <c r="C33" s="201"/>
      <c r="D33" s="256">
        <f>D32*B33</f>
        <v>1929.5777799999998</v>
      </c>
      <c r="E33" s="201"/>
      <c r="F33" s="192">
        <v>0.13</v>
      </c>
      <c r="G33" s="203"/>
      <c r="H33" s="256">
        <f>H32*F33</f>
        <v>1960.1241400000001</v>
      </c>
      <c r="I33" s="245"/>
      <c r="J33" s="256">
        <f t="shared" si="1"/>
        <v>30.546360000000277</v>
      </c>
      <c r="K33" s="206">
        <f t="shared" si="0"/>
        <v>1.5830592742418645E-2</v>
      </c>
    </row>
    <row r="34" spans="1:11" ht="15" x14ac:dyDescent="0.25">
      <c r="A34" s="207" t="s">
        <v>207</v>
      </c>
      <c r="B34" s="203"/>
      <c r="C34" s="201"/>
      <c r="D34" s="256">
        <f>D32+D33</f>
        <v>16772.483779999999</v>
      </c>
      <c r="E34" s="201"/>
      <c r="F34" s="203"/>
      <c r="G34" s="203"/>
      <c r="H34" s="256">
        <f>H32+H33</f>
        <v>17038.002140000001</v>
      </c>
      <c r="I34" s="245"/>
      <c r="J34" s="256">
        <f t="shared" si="1"/>
        <v>265.51836000000185</v>
      </c>
      <c r="K34" s="206">
        <f t="shared" si="0"/>
        <v>1.583059274241861E-2</v>
      </c>
    </row>
    <row r="35" spans="1:11" ht="15" x14ac:dyDescent="0.25">
      <c r="A35" s="209" t="s">
        <v>208</v>
      </c>
      <c r="B35" s="203"/>
      <c r="C35" s="201"/>
      <c r="D35" s="256">
        <v>0</v>
      </c>
      <c r="E35" s="201"/>
      <c r="F35" s="316"/>
      <c r="G35" s="316"/>
      <c r="H35" s="318"/>
      <c r="I35" s="245"/>
      <c r="J35" s="318"/>
      <c r="K35" s="314"/>
    </row>
    <row r="36" spans="1:11" ht="15.75" thickBot="1" x14ac:dyDescent="0.3">
      <c r="A36" s="210" t="s">
        <v>209</v>
      </c>
      <c r="B36" s="211"/>
      <c r="C36" s="212"/>
      <c r="D36" s="248">
        <f>D34+D35</f>
        <v>16772.483779999999</v>
      </c>
      <c r="E36" s="255"/>
      <c r="F36" s="215"/>
      <c r="G36" s="215"/>
      <c r="H36" s="248">
        <f>H34+H35</f>
        <v>17038.002140000001</v>
      </c>
      <c r="I36" s="250"/>
      <c r="J36" s="248">
        <f t="shared" si="1"/>
        <v>265.51836000000185</v>
      </c>
      <c r="K36" s="165">
        <f t="shared" si="0"/>
        <v>1.583059274241861E-2</v>
      </c>
    </row>
    <row r="37" spans="1:11" ht="15.75" thickBot="1" x14ac:dyDescent="0.3">
      <c r="A37" s="184"/>
      <c r="B37" s="216"/>
      <c r="C37" s="217"/>
      <c r="D37" s="257"/>
      <c r="E37" s="258"/>
      <c r="F37" s="216"/>
      <c r="G37" s="221"/>
      <c r="H37" s="259"/>
      <c r="I37" s="258"/>
      <c r="J37" s="260"/>
      <c r="K37" s="224"/>
    </row>
    <row r="39" spans="1:11" ht="15" x14ac:dyDescent="0.25">
      <c r="H39" s="304"/>
      <c r="I39" s="304"/>
      <c r="J39" s="304"/>
      <c r="K39" s="266"/>
    </row>
    <row r="40" spans="1:11" ht="15" x14ac:dyDescent="0.25">
      <c r="D40" s="265"/>
    </row>
    <row r="42" spans="1:11" x14ac:dyDescent="0.3">
      <c r="B42" s="267"/>
      <c r="C42" s="268"/>
      <c r="D42" s="265"/>
    </row>
    <row r="43" spans="1:11" x14ac:dyDescent="0.3">
      <c r="B43" s="267"/>
      <c r="C43" s="268"/>
      <c r="D43" s="265"/>
    </row>
    <row r="44" spans="1:11" x14ac:dyDescent="0.3">
      <c r="D44" s="265"/>
      <c r="E44" s="265"/>
    </row>
    <row r="45" spans="1:11" x14ac:dyDescent="0.3">
      <c r="C45" s="268"/>
    </row>
    <row r="46" spans="1:11" x14ac:dyDescent="0.3">
      <c r="D46" s="265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January 01, 2016 Rates</vt:lpstr>
      <vt:lpstr>Bill Impact Summary</vt:lpstr>
      <vt:lpstr>Bill Impact- Res RPP</vt:lpstr>
      <vt:lpstr>Bill Impact- Res Non RPP</vt:lpstr>
      <vt:lpstr>Bill Impact- GS &lt;50kW RPP</vt:lpstr>
      <vt:lpstr>Bill Impact- GS &lt;50kW Non RPP</vt:lpstr>
      <vt:lpstr>USL RPP</vt:lpstr>
      <vt:lpstr>USL Non RPP</vt:lpstr>
      <vt:lpstr>Bill Impact-GS50-499 NonRPP Int</vt:lpstr>
      <vt:lpstr>BI GS50-499 NonRPP NonInterval </vt:lpstr>
      <vt:lpstr>BI- GS500-4999 Non RPP Interval</vt:lpstr>
      <vt:lpstr>BI- GS500-4999 Non RPP Non Int</vt:lpstr>
      <vt:lpstr>BI- Large Use Class A</vt:lpstr>
      <vt:lpstr>BI- Large Use Class B</vt:lpstr>
      <vt:lpstr>BI- Street Light Non RPP</vt:lpstr>
      <vt:lpstr>'January 01, 2016 Rates'!Print_Area</vt:lpstr>
      <vt:lpstr>'January 01, 2016 Rates'!Print_Titles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Judy Wasney</cp:lastModifiedBy>
  <cp:lastPrinted>2016-03-09T17:57:50Z</cp:lastPrinted>
  <dcterms:created xsi:type="dcterms:W3CDTF">2014-12-02T22:43:10Z</dcterms:created>
  <dcterms:modified xsi:type="dcterms:W3CDTF">2016-03-14T16:01:51Z</dcterms:modified>
</cp:coreProperties>
</file>