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5545" windowHeight="12000" firstSheet="2" activeTab="6"/>
  </bookViews>
  <sheets>
    <sheet name="Bill Impact - Res 10 Pct" sheetId="1" r:id="rId1"/>
    <sheet name="Bill Impact - Residential" sheetId="2" r:id="rId2"/>
    <sheet name="Bill Impact - GS&lt;50" sheetId="3" r:id="rId3"/>
    <sheet name="Bill Impact - GS&gt;50" sheetId="4" r:id="rId4"/>
    <sheet name="Bill Impact - Sentinel" sheetId="5" r:id="rId5"/>
    <sheet name="Bill Impact - StreetLight" sheetId="6" r:id="rId6"/>
    <sheet name="Bill Impact - USL" sheetId="7" r:id="rId7"/>
  </sheets>
  <externalReferences>
    <externalReference r:id="rId8"/>
  </externalReferences>
  <definedNames>
    <definedName name="_xlnm.Print_Area" localSheetId="2">'Bill Impact - GS&lt;50'!$A$1:$P$77</definedName>
    <definedName name="_xlnm.Print_Area" localSheetId="3">'Bill Impact - GS&gt;50'!$A$1:$P$77</definedName>
    <definedName name="_xlnm.Print_Area" localSheetId="0">'Bill Impact - Res 10 Pct'!$A$1:$P$77</definedName>
    <definedName name="_xlnm.Print_Area" localSheetId="1">'Bill Impact - Residential'!$A$1:$P$77</definedName>
    <definedName name="_xlnm.Print_Area" localSheetId="4">'Bill Impact - Sentinel'!$A$1:$P$77</definedName>
    <definedName name="_xlnm.Print_Area" localSheetId="5">'Bill Impact - StreetLight'!$A$1:$P$77</definedName>
    <definedName name="_xlnm.Print_Area" localSheetId="6">'Bill Impact - USL'!$A$1:$Q$78</definedName>
    <definedName name="RebaseYear">'[1]LDC Info'!$E$28</definedName>
    <definedName name="TestYear">'[1]LDC Info'!$E$24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7" l="1"/>
  <c r="H61" i="7" s="1"/>
  <c r="G60" i="7"/>
  <c r="H60" i="7" s="1"/>
  <c r="G59" i="7"/>
  <c r="H59" i="7" s="1"/>
  <c r="K58" i="7"/>
  <c r="L58" i="7" s="1"/>
  <c r="G58" i="7"/>
  <c r="H58" i="7" s="1"/>
  <c r="G57" i="7"/>
  <c r="H57" i="7" s="1"/>
  <c r="K56" i="7"/>
  <c r="L56" i="7" s="1"/>
  <c r="G56" i="7"/>
  <c r="H56" i="7" s="1"/>
  <c r="L55" i="7"/>
  <c r="N55" i="7" s="1"/>
  <c r="H55" i="7"/>
  <c r="K51" i="7"/>
  <c r="K53" i="7" s="1"/>
  <c r="L53" i="7" s="1"/>
  <c r="K50" i="7"/>
  <c r="L50" i="7"/>
  <c r="G50" i="7"/>
  <c r="H50" i="7" s="1"/>
  <c r="L48" i="7"/>
  <c r="N48" i="7" s="1"/>
  <c r="H48" i="7"/>
  <c r="K47" i="7"/>
  <c r="J47" i="7"/>
  <c r="L47" i="7" s="1"/>
  <c r="G47" i="7"/>
  <c r="H47" i="7" s="1"/>
  <c r="F47" i="7"/>
  <c r="K46" i="7"/>
  <c r="L46" i="7"/>
  <c r="G46" i="7"/>
  <c r="H46" i="7" s="1"/>
  <c r="K45" i="7"/>
  <c r="L45" i="7" s="1"/>
  <c r="G45" i="7"/>
  <c r="H45" i="7" s="1"/>
  <c r="O45" i="7" s="1"/>
  <c r="K44" i="7"/>
  <c r="L44" i="7" s="1"/>
  <c r="N44" i="7" s="1"/>
  <c r="H44" i="7"/>
  <c r="O44" i="7" s="1"/>
  <c r="G44" i="7"/>
  <c r="O43" i="7"/>
  <c r="K43" i="7"/>
  <c r="L43" i="7" s="1"/>
  <c r="N43" i="7" s="1"/>
  <c r="G43" i="7"/>
  <c r="O42" i="7"/>
  <c r="K42" i="7"/>
  <c r="L42" i="7" s="1"/>
  <c r="N42" i="7" s="1"/>
  <c r="G42" i="7"/>
  <c r="K41" i="7"/>
  <c r="L41" i="7" s="1"/>
  <c r="G41" i="7"/>
  <c r="H41" i="7" s="1"/>
  <c r="O41" i="7" s="1"/>
  <c r="K40" i="7"/>
  <c r="L40" i="7" s="1"/>
  <c r="N40" i="7" s="1"/>
  <c r="G40" i="7"/>
  <c r="H40" i="7" s="1"/>
  <c r="O40" i="7" s="1"/>
  <c r="K38" i="7"/>
  <c r="L38" i="7" s="1"/>
  <c r="G38" i="7"/>
  <c r="H38" i="7" s="1"/>
  <c r="O38" i="7" s="1"/>
  <c r="K37" i="7"/>
  <c r="L37" i="7" s="1"/>
  <c r="G37" i="7"/>
  <c r="H37" i="7" s="1"/>
  <c r="K36" i="7"/>
  <c r="L36" i="7" s="1"/>
  <c r="G36" i="7"/>
  <c r="H36" i="7" s="1"/>
  <c r="O36" i="7" s="1"/>
  <c r="K35" i="7"/>
  <c r="L35" i="7" s="1"/>
  <c r="G35" i="7"/>
  <c r="H35" i="7" s="1"/>
  <c r="K34" i="7"/>
  <c r="L34" i="7" s="1"/>
  <c r="G34" i="7"/>
  <c r="H34" i="7" s="1"/>
  <c r="O34" i="7" s="1"/>
  <c r="K33" i="7"/>
  <c r="L33" i="7" s="1"/>
  <c r="G33" i="7"/>
  <c r="H33" i="7" s="1"/>
  <c r="K32" i="7"/>
  <c r="L32" i="7" s="1"/>
  <c r="G32" i="7"/>
  <c r="H32" i="7" s="1"/>
  <c r="O32" i="7" s="1"/>
  <c r="K31" i="7"/>
  <c r="L31" i="7" s="1"/>
  <c r="G31" i="7"/>
  <c r="H31" i="7" s="1"/>
  <c r="K30" i="7"/>
  <c r="L30" i="7" s="1"/>
  <c r="G30" i="7"/>
  <c r="H30" i="7" s="1"/>
  <c r="O30" i="7" s="1"/>
  <c r="K29" i="7"/>
  <c r="H29" i="7"/>
  <c r="G29" i="7"/>
  <c r="L28" i="7"/>
  <c r="N28" i="7" s="1"/>
  <c r="H28" i="7"/>
  <c r="O28" i="7" s="1"/>
  <c r="L27" i="7"/>
  <c r="N27" i="7" s="1"/>
  <c r="H27" i="7"/>
  <c r="O27" i="7" s="1"/>
  <c r="L26" i="7"/>
  <c r="N26" i="7" s="1"/>
  <c r="H26" i="7"/>
  <c r="O26" i="7" s="1"/>
  <c r="L25" i="7"/>
  <c r="N25" i="7" s="1"/>
  <c r="H25" i="7"/>
  <c r="O25" i="7" s="1"/>
  <c r="L24" i="7"/>
  <c r="N24" i="7" s="1"/>
  <c r="H24" i="7"/>
  <c r="O24" i="7" s="1"/>
  <c r="L23" i="7"/>
  <c r="H23" i="7"/>
  <c r="G61" i="6"/>
  <c r="H61" i="6" s="1"/>
  <c r="O61" i="6" s="1"/>
  <c r="G60" i="6"/>
  <c r="K60" i="6" s="1"/>
  <c r="L60" i="6" s="1"/>
  <c r="G59" i="6"/>
  <c r="H59" i="6" s="1"/>
  <c r="G58" i="6"/>
  <c r="K58" i="6" s="1"/>
  <c r="L58" i="6" s="1"/>
  <c r="K57" i="6"/>
  <c r="L57" i="6" s="1"/>
  <c r="G57" i="6"/>
  <c r="H57" i="6" s="1"/>
  <c r="K56" i="6"/>
  <c r="L56" i="6" s="1"/>
  <c r="G56" i="6"/>
  <c r="H56" i="6" s="1"/>
  <c r="L55" i="6"/>
  <c r="N55" i="6" s="1"/>
  <c r="H55" i="6"/>
  <c r="K50" i="6"/>
  <c r="K51" i="6" s="1"/>
  <c r="G50" i="6"/>
  <c r="H50" i="6" s="1"/>
  <c r="L48" i="6"/>
  <c r="N48" i="6" s="1"/>
  <c r="H48" i="6"/>
  <c r="L47" i="6"/>
  <c r="K47" i="6"/>
  <c r="J47" i="6"/>
  <c r="G47" i="6"/>
  <c r="F47" i="6"/>
  <c r="K46" i="6"/>
  <c r="L46" i="6" s="1"/>
  <c r="G46" i="6"/>
  <c r="H46" i="6" s="1"/>
  <c r="K45" i="6"/>
  <c r="L45" i="6" s="1"/>
  <c r="N45" i="6" s="1"/>
  <c r="G45" i="6"/>
  <c r="H45" i="6" s="1"/>
  <c r="O45" i="6" s="1"/>
  <c r="K44" i="6"/>
  <c r="L44" i="6" s="1"/>
  <c r="G44" i="6"/>
  <c r="H44" i="6" s="1"/>
  <c r="O44" i="6" s="1"/>
  <c r="O43" i="6"/>
  <c r="K43" i="6"/>
  <c r="L43" i="6" s="1"/>
  <c r="N43" i="6" s="1"/>
  <c r="G43" i="6"/>
  <c r="O42" i="6"/>
  <c r="K42" i="6"/>
  <c r="L42" i="6" s="1"/>
  <c r="N42" i="6" s="1"/>
  <c r="G42" i="6"/>
  <c r="K41" i="6"/>
  <c r="L41" i="6" s="1"/>
  <c r="H41" i="6"/>
  <c r="G41" i="6"/>
  <c r="K40" i="6"/>
  <c r="L40" i="6" s="1"/>
  <c r="H40" i="6"/>
  <c r="G40" i="6"/>
  <c r="K38" i="6"/>
  <c r="L38" i="6" s="1"/>
  <c r="G38" i="6"/>
  <c r="H38" i="6" s="1"/>
  <c r="K37" i="6"/>
  <c r="L37" i="6" s="1"/>
  <c r="G37" i="6"/>
  <c r="H37" i="6" s="1"/>
  <c r="O37" i="6" s="1"/>
  <c r="L36" i="6"/>
  <c r="K36" i="6"/>
  <c r="G36" i="6"/>
  <c r="H36" i="6" s="1"/>
  <c r="O36" i="6" s="1"/>
  <c r="K35" i="6"/>
  <c r="L35" i="6" s="1"/>
  <c r="H35" i="6"/>
  <c r="O35" i="6" s="1"/>
  <c r="G35" i="6"/>
  <c r="K34" i="6"/>
  <c r="L34" i="6" s="1"/>
  <c r="G34" i="6"/>
  <c r="H34" i="6" s="1"/>
  <c r="O34" i="6" s="1"/>
  <c r="K33" i="6"/>
  <c r="L33" i="6" s="1"/>
  <c r="H33" i="6"/>
  <c r="O33" i="6" s="1"/>
  <c r="G33" i="6"/>
  <c r="K32" i="6"/>
  <c r="L32" i="6" s="1"/>
  <c r="H32" i="6"/>
  <c r="O32" i="6" s="1"/>
  <c r="G32" i="6"/>
  <c r="K31" i="6"/>
  <c r="L31" i="6" s="1"/>
  <c r="G31" i="6"/>
  <c r="H31" i="6" s="1"/>
  <c r="O31" i="6" s="1"/>
  <c r="L30" i="6"/>
  <c r="K30" i="6"/>
  <c r="G30" i="6"/>
  <c r="H30" i="6" s="1"/>
  <c r="K29" i="6"/>
  <c r="G29" i="6"/>
  <c r="H29" i="6" s="1"/>
  <c r="L28" i="6"/>
  <c r="H28" i="6"/>
  <c r="O28" i="6" s="1"/>
  <c r="L27" i="6"/>
  <c r="N27" i="6" s="1"/>
  <c r="H27" i="6"/>
  <c r="O27" i="6" s="1"/>
  <c r="L26" i="6"/>
  <c r="H26" i="6"/>
  <c r="O26" i="6" s="1"/>
  <c r="L25" i="6"/>
  <c r="N25" i="6" s="1"/>
  <c r="H25" i="6"/>
  <c r="O25" i="6" s="1"/>
  <c r="L24" i="6"/>
  <c r="H24" i="6"/>
  <c r="O24" i="6" s="1"/>
  <c r="L23" i="6"/>
  <c r="H23" i="6"/>
  <c r="G61" i="5"/>
  <c r="K61" i="5" s="1"/>
  <c r="L61" i="5" s="1"/>
  <c r="G60" i="5"/>
  <c r="H60" i="5" s="1"/>
  <c r="G59" i="5"/>
  <c r="K59" i="5" s="1"/>
  <c r="L59" i="5" s="1"/>
  <c r="K58" i="5"/>
  <c r="L58" i="5" s="1"/>
  <c r="G58" i="5"/>
  <c r="H58" i="5" s="1"/>
  <c r="G57" i="5"/>
  <c r="K57" i="5" s="1"/>
  <c r="L57" i="5" s="1"/>
  <c r="K56" i="5"/>
  <c r="L56" i="5" s="1"/>
  <c r="G56" i="5"/>
  <c r="H56" i="5" s="1"/>
  <c r="L55" i="5"/>
  <c r="N55" i="5" s="1"/>
  <c r="O55" i="5" s="1"/>
  <c r="H55" i="5"/>
  <c r="L53" i="5"/>
  <c r="N53" i="5" s="1"/>
  <c r="H53" i="5"/>
  <c r="G51" i="5"/>
  <c r="H51" i="5" s="1"/>
  <c r="K50" i="5"/>
  <c r="L50" i="5" s="1"/>
  <c r="G50" i="5"/>
  <c r="H50" i="5" s="1"/>
  <c r="L48" i="5"/>
  <c r="H48" i="5"/>
  <c r="K47" i="5"/>
  <c r="L47" i="5" s="1"/>
  <c r="J47" i="5"/>
  <c r="G47" i="5"/>
  <c r="F47" i="5"/>
  <c r="L46" i="5"/>
  <c r="K46" i="5"/>
  <c r="G46" i="5"/>
  <c r="H46" i="5" s="1"/>
  <c r="K45" i="5"/>
  <c r="L45" i="5" s="1"/>
  <c r="N45" i="5" s="1"/>
  <c r="G45" i="5"/>
  <c r="H45" i="5" s="1"/>
  <c r="O45" i="5" s="1"/>
  <c r="K44" i="5"/>
  <c r="L44" i="5" s="1"/>
  <c r="G44" i="5"/>
  <c r="H44" i="5" s="1"/>
  <c r="O44" i="5" s="1"/>
  <c r="K43" i="5"/>
  <c r="L43" i="5" s="1"/>
  <c r="N43" i="5" s="1"/>
  <c r="G43" i="5"/>
  <c r="K42" i="5"/>
  <c r="L42" i="5" s="1"/>
  <c r="N42" i="5" s="1"/>
  <c r="G42" i="5"/>
  <c r="K41" i="5"/>
  <c r="L41" i="5" s="1"/>
  <c r="N41" i="5" s="1"/>
  <c r="G41" i="5"/>
  <c r="H41" i="5" s="1"/>
  <c r="O41" i="5" s="1"/>
  <c r="K40" i="5"/>
  <c r="L40" i="5" s="1"/>
  <c r="G40" i="5"/>
  <c r="H40" i="5" s="1"/>
  <c r="O40" i="5" s="1"/>
  <c r="K38" i="5"/>
  <c r="L38" i="5" s="1"/>
  <c r="G38" i="5"/>
  <c r="H38" i="5" s="1"/>
  <c r="O38" i="5" s="1"/>
  <c r="L37" i="5"/>
  <c r="K37" i="5"/>
  <c r="G37" i="5"/>
  <c r="H37" i="5" s="1"/>
  <c r="O37" i="5" s="1"/>
  <c r="K36" i="5"/>
  <c r="L36" i="5" s="1"/>
  <c r="H36" i="5"/>
  <c r="O36" i="5" s="1"/>
  <c r="G36" i="5"/>
  <c r="L35" i="5"/>
  <c r="K35" i="5"/>
  <c r="G35" i="5"/>
  <c r="H35" i="5" s="1"/>
  <c r="O35" i="5" s="1"/>
  <c r="K34" i="5"/>
  <c r="L34" i="5" s="1"/>
  <c r="N34" i="5" s="1"/>
  <c r="H34" i="5"/>
  <c r="O34" i="5" s="1"/>
  <c r="G34" i="5"/>
  <c r="L33" i="5"/>
  <c r="K33" i="5"/>
  <c r="G33" i="5"/>
  <c r="H33" i="5" s="1"/>
  <c r="O33" i="5" s="1"/>
  <c r="K32" i="5"/>
  <c r="L32" i="5" s="1"/>
  <c r="H32" i="5"/>
  <c r="O32" i="5" s="1"/>
  <c r="G32" i="5"/>
  <c r="L31" i="5"/>
  <c r="K31" i="5"/>
  <c r="G31" i="5"/>
  <c r="H31" i="5" s="1"/>
  <c r="O31" i="5" s="1"/>
  <c r="K30" i="5"/>
  <c r="L30" i="5" s="1"/>
  <c r="H30" i="5"/>
  <c r="O30" i="5" s="1"/>
  <c r="G30" i="5"/>
  <c r="K29" i="5"/>
  <c r="G29" i="5"/>
  <c r="H29" i="5" s="1"/>
  <c r="O28" i="5"/>
  <c r="L28" i="5"/>
  <c r="H28" i="5"/>
  <c r="O27" i="5"/>
  <c r="L27" i="5"/>
  <c r="N27" i="5" s="1"/>
  <c r="H27" i="5"/>
  <c r="L26" i="5"/>
  <c r="H26" i="5"/>
  <c r="O26" i="5" s="1"/>
  <c r="L25" i="5"/>
  <c r="N25" i="5" s="1"/>
  <c r="H25" i="5"/>
  <c r="O25" i="5" s="1"/>
  <c r="O24" i="5"/>
  <c r="L24" i="5"/>
  <c r="H24" i="5"/>
  <c r="L23" i="5"/>
  <c r="H23" i="5"/>
  <c r="G61" i="4"/>
  <c r="H61" i="4" s="1"/>
  <c r="O61" i="4" s="1"/>
  <c r="G60" i="4"/>
  <c r="H60" i="4" s="1"/>
  <c r="G59" i="4"/>
  <c r="H59" i="4" s="1"/>
  <c r="G58" i="4"/>
  <c r="H57" i="4"/>
  <c r="O57" i="4" s="1"/>
  <c r="G57" i="4"/>
  <c r="K57" i="4" s="1"/>
  <c r="L57" i="4" s="1"/>
  <c r="N57" i="4" s="1"/>
  <c r="K56" i="4"/>
  <c r="L56" i="4" s="1"/>
  <c r="G56" i="4"/>
  <c r="H56" i="4" s="1"/>
  <c r="L55" i="4"/>
  <c r="H55" i="4"/>
  <c r="K50" i="4"/>
  <c r="K51" i="4" s="1"/>
  <c r="H50" i="4"/>
  <c r="G50" i="4"/>
  <c r="G51" i="4" s="1"/>
  <c r="L48" i="4"/>
  <c r="H48" i="4"/>
  <c r="K47" i="4"/>
  <c r="L47" i="4" s="1"/>
  <c r="J47" i="4"/>
  <c r="G47" i="4"/>
  <c r="H47" i="4" s="1"/>
  <c r="F47" i="4"/>
  <c r="K46" i="4"/>
  <c r="L46" i="4"/>
  <c r="H46" i="4"/>
  <c r="G46" i="4"/>
  <c r="K45" i="4"/>
  <c r="L45" i="4" s="1"/>
  <c r="G45" i="4"/>
  <c r="H45" i="4" s="1"/>
  <c r="O45" i="4" s="1"/>
  <c r="L44" i="4"/>
  <c r="K44" i="4"/>
  <c r="G44" i="4"/>
  <c r="H44" i="4" s="1"/>
  <c r="O44" i="4" s="1"/>
  <c r="O43" i="4"/>
  <c r="K43" i="4"/>
  <c r="L43" i="4" s="1"/>
  <c r="N43" i="4" s="1"/>
  <c r="G43" i="4"/>
  <c r="O42" i="4"/>
  <c r="K42" i="4"/>
  <c r="G42" i="4"/>
  <c r="L41" i="4"/>
  <c r="K41" i="4"/>
  <c r="G41" i="4"/>
  <c r="H41" i="4" s="1"/>
  <c r="O41" i="4" s="1"/>
  <c r="L40" i="4"/>
  <c r="K40" i="4"/>
  <c r="G40" i="4"/>
  <c r="H40" i="4" s="1"/>
  <c r="O40" i="4" s="1"/>
  <c r="K38" i="4"/>
  <c r="L38" i="4" s="1"/>
  <c r="G38" i="4"/>
  <c r="H38" i="4" s="1"/>
  <c r="O38" i="4" s="1"/>
  <c r="K37" i="4"/>
  <c r="L37" i="4" s="1"/>
  <c r="N37" i="4" s="1"/>
  <c r="G37" i="4"/>
  <c r="H37" i="4" s="1"/>
  <c r="O37" i="4" s="1"/>
  <c r="K36" i="4"/>
  <c r="L36" i="4" s="1"/>
  <c r="G36" i="4"/>
  <c r="H36" i="4" s="1"/>
  <c r="O36" i="4" s="1"/>
  <c r="K35" i="4"/>
  <c r="L35" i="4" s="1"/>
  <c r="N35" i="4" s="1"/>
  <c r="G35" i="4"/>
  <c r="H35" i="4" s="1"/>
  <c r="O35" i="4" s="1"/>
  <c r="K34" i="4"/>
  <c r="L34" i="4" s="1"/>
  <c r="G34" i="4"/>
  <c r="H34" i="4" s="1"/>
  <c r="O34" i="4" s="1"/>
  <c r="K33" i="4"/>
  <c r="L33" i="4" s="1"/>
  <c r="G33" i="4"/>
  <c r="H33" i="4" s="1"/>
  <c r="O33" i="4" s="1"/>
  <c r="L32" i="4"/>
  <c r="N32" i="4" s="1"/>
  <c r="K32" i="4"/>
  <c r="G32" i="4"/>
  <c r="H32" i="4" s="1"/>
  <c r="O32" i="4" s="1"/>
  <c r="K31" i="4"/>
  <c r="L31" i="4" s="1"/>
  <c r="N31" i="4" s="1"/>
  <c r="H31" i="4"/>
  <c r="O31" i="4" s="1"/>
  <c r="G31" i="4"/>
  <c r="K30" i="4"/>
  <c r="L30" i="4" s="1"/>
  <c r="G30" i="4"/>
  <c r="H30" i="4" s="1"/>
  <c r="O30" i="4" s="1"/>
  <c r="K29" i="4"/>
  <c r="G29" i="4"/>
  <c r="H29" i="4" s="1"/>
  <c r="L28" i="4"/>
  <c r="N28" i="4" s="1"/>
  <c r="H28" i="4"/>
  <c r="O28" i="4" s="1"/>
  <c r="L27" i="4"/>
  <c r="N27" i="4" s="1"/>
  <c r="H27" i="4"/>
  <c r="O27" i="4" s="1"/>
  <c r="L26" i="4"/>
  <c r="N26" i="4" s="1"/>
  <c r="H26" i="4"/>
  <c r="O26" i="4" s="1"/>
  <c r="H25" i="4"/>
  <c r="O25" i="4" s="1"/>
  <c r="L24" i="4"/>
  <c r="H24" i="4"/>
  <c r="O24" i="4" s="1"/>
  <c r="L23" i="4"/>
  <c r="H23" i="4"/>
  <c r="G61" i="3"/>
  <c r="H61" i="3" s="1"/>
  <c r="G60" i="3"/>
  <c r="K60" i="3" s="1"/>
  <c r="L60" i="3" s="1"/>
  <c r="G59" i="3"/>
  <c r="H59" i="3" s="1"/>
  <c r="G58" i="3"/>
  <c r="K58" i="3" s="1"/>
  <c r="L58" i="3" s="1"/>
  <c r="G57" i="3"/>
  <c r="H57" i="3" s="1"/>
  <c r="K56" i="3"/>
  <c r="L56" i="3" s="1"/>
  <c r="G56" i="3"/>
  <c r="H56" i="3" s="1"/>
  <c r="N55" i="3"/>
  <c r="O55" i="3" s="1"/>
  <c r="L55" i="3"/>
  <c r="H55" i="3"/>
  <c r="K50" i="3"/>
  <c r="K51" i="3" s="1"/>
  <c r="L50" i="3"/>
  <c r="G50" i="3"/>
  <c r="H50" i="3" s="1"/>
  <c r="L48" i="3"/>
  <c r="N48" i="3" s="1"/>
  <c r="H48" i="3"/>
  <c r="K47" i="3"/>
  <c r="L47" i="3" s="1"/>
  <c r="J47" i="3"/>
  <c r="G47" i="3"/>
  <c r="H47" i="3" s="1"/>
  <c r="F47" i="3"/>
  <c r="K46" i="3"/>
  <c r="G46" i="3"/>
  <c r="H46" i="3" s="1"/>
  <c r="L45" i="3"/>
  <c r="K45" i="3"/>
  <c r="G45" i="3"/>
  <c r="H45" i="3" s="1"/>
  <c r="O45" i="3" s="1"/>
  <c r="L44" i="3"/>
  <c r="K44" i="3"/>
  <c r="G44" i="3"/>
  <c r="H44" i="3" s="1"/>
  <c r="O44" i="3" s="1"/>
  <c r="L43" i="3"/>
  <c r="N43" i="3" s="1"/>
  <c r="K43" i="3"/>
  <c r="G43" i="3"/>
  <c r="K42" i="3"/>
  <c r="L42" i="3" s="1"/>
  <c r="N42" i="3" s="1"/>
  <c r="G42" i="3"/>
  <c r="K41" i="3"/>
  <c r="L41" i="3" s="1"/>
  <c r="G41" i="3"/>
  <c r="H41" i="3" s="1"/>
  <c r="O41" i="3" s="1"/>
  <c r="L40" i="3"/>
  <c r="N40" i="3" s="1"/>
  <c r="K40" i="3"/>
  <c r="G40" i="3"/>
  <c r="H40" i="3" s="1"/>
  <c r="O40" i="3" s="1"/>
  <c r="K38" i="3"/>
  <c r="L38" i="3" s="1"/>
  <c r="N38" i="3" s="1"/>
  <c r="G38" i="3"/>
  <c r="H38" i="3" s="1"/>
  <c r="O38" i="3" s="1"/>
  <c r="K37" i="3"/>
  <c r="L37" i="3" s="1"/>
  <c r="H37" i="3"/>
  <c r="O37" i="3" s="1"/>
  <c r="G37" i="3"/>
  <c r="K36" i="3"/>
  <c r="L36" i="3" s="1"/>
  <c r="G36" i="3"/>
  <c r="H36" i="3" s="1"/>
  <c r="O36" i="3" s="1"/>
  <c r="K35" i="3"/>
  <c r="L35" i="3" s="1"/>
  <c r="G35" i="3"/>
  <c r="H35" i="3" s="1"/>
  <c r="O35" i="3" s="1"/>
  <c r="L34" i="3"/>
  <c r="N34" i="3" s="1"/>
  <c r="K34" i="3"/>
  <c r="G34" i="3"/>
  <c r="H34" i="3" s="1"/>
  <c r="O34" i="3" s="1"/>
  <c r="K33" i="3"/>
  <c r="L33" i="3" s="1"/>
  <c r="H33" i="3"/>
  <c r="O33" i="3" s="1"/>
  <c r="G33" i="3"/>
  <c r="K32" i="3"/>
  <c r="L32" i="3" s="1"/>
  <c r="G32" i="3"/>
  <c r="H32" i="3" s="1"/>
  <c r="O32" i="3" s="1"/>
  <c r="K31" i="3"/>
  <c r="L31" i="3" s="1"/>
  <c r="G31" i="3"/>
  <c r="H31" i="3" s="1"/>
  <c r="O31" i="3" s="1"/>
  <c r="L30" i="3"/>
  <c r="N30" i="3" s="1"/>
  <c r="K30" i="3"/>
  <c r="G30" i="3"/>
  <c r="H30" i="3" s="1"/>
  <c r="O30" i="3" s="1"/>
  <c r="K29" i="3"/>
  <c r="H29" i="3"/>
  <c r="G29" i="3"/>
  <c r="L28" i="3"/>
  <c r="N28" i="3" s="1"/>
  <c r="H28" i="3"/>
  <c r="O28" i="3" s="1"/>
  <c r="L27" i="3"/>
  <c r="N27" i="3" s="1"/>
  <c r="H27" i="3"/>
  <c r="O27" i="3" s="1"/>
  <c r="L26" i="3"/>
  <c r="H26" i="3"/>
  <c r="O26" i="3" s="1"/>
  <c r="H25" i="3"/>
  <c r="O25" i="3" s="1"/>
  <c r="L24" i="3"/>
  <c r="H24" i="3"/>
  <c r="O24" i="3" s="1"/>
  <c r="L23" i="3"/>
  <c r="H23" i="3"/>
  <c r="G61" i="2"/>
  <c r="H61" i="2" s="1"/>
  <c r="H60" i="2"/>
  <c r="G60" i="2"/>
  <c r="K60" i="2" s="1"/>
  <c r="L60" i="2" s="1"/>
  <c r="G59" i="2"/>
  <c r="H59" i="2" s="1"/>
  <c r="H58" i="2"/>
  <c r="G58" i="2"/>
  <c r="K58" i="2" s="1"/>
  <c r="L58" i="2" s="1"/>
  <c r="N58" i="2" s="1"/>
  <c r="G57" i="2"/>
  <c r="H57" i="2" s="1"/>
  <c r="K56" i="2"/>
  <c r="L56" i="2" s="1"/>
  <c r="H56" i="2"/>
  <c r="G56" i="2"/>
  <c r="L55" i="2"/>
  <c r="H55" i="2"/>
  <c r="K50" i="2"/>
  <c r="K51" i="2" s="1"/>
  <c r="G50" i="2"/>
  <c r="G51" i="2" s="1"/>
  <c r="L48" i="2"/>
  <c r="H48" i="2"/>
  <c r="K47" i="2"/>
  <c r="L47" i="2" s="1"/>
  <c r="N47" i="2" s="1"/>
  <c r="J47" i="2"/>
  <c r="G47" i="2"/>
  <c r="H47" i="2" s="1"/>
  <c r="F47" i="2"/>
  <c r="L46" i="2"/>
  <c r="K46" i="2"/>
  <c r="G46" i="2"/>
  <c r="H46" i="2" s="1"/>
  <c r="K45" i="2"/>
  <c r="L45" i="2" s="1"/>
  <c r="G45" i="2"/>
  <c r="H45" i="2" s="1"/>
  <c r="O45" i="2" s="1"/>
  <c r="K44" i="2"/>
  <c r="L44" i="2" s="1"/>
  <c r="G44" i="2"/>
  <c r="H44" i="2" s="1"/>
  <c r="O44" i="2" s="1"/>
  <c r="O43" i="2"/>
  <c r="L43" i="2"/>
  <c r="N43" i="2" s="1"/>
  <c r="G43" i="2"/>
  <c r="O42" i="2"/>
  <c r="L42" i="2"/>
  <c r="N42" i="2" s="1"/>
  <c r="K42" i="2"/>
  <c r="G42" i="2"/>
  <c r="K41" i="2"/>
  <c r="L41" i="2" s="1"/>
  <c r="G41" i="2"/>
  <c r="H41" i="2" s="1"/>
  <c r="O41" i="2" s="1"/>
  <c r="K40" i="2"/>
  <c r="L40" i="2" s="1"/>
  <c r="G40" i="2"/>
  <c r="H40" i="2" s="1"/>
  <c r="O40" i="2" s="1"/>
  <c r="K38" i="2"/>
  <c r="L38" i="2" s="1"/>
  <c r="H38" i="2"/>
  <c r="O38" i="2" s="1"/>
  <c r="G38" i="2"/>
  <c r="K37" i="2"/>
  <c r="L37" i="2" s="1"/>
  <c r="N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O33" i="2" s="1"/>
  <c r="K32" i="2"/>
  <c r="L32" i="2" s="1"/>
  <c r="G32" i="2"/>
  <c r="H32" i="2" s="1"/>
  <c r="O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H29" i="2"/>
  <c r="G29" i="2"/>
  <c r="L28" i="2"/>
  <c r="N28" i="2" s="1"/>
  <c r="H28" i="2"/>
  <c r="O28" i="2" s="1"/>
  <c r="L27" i="2"/>
  <c r="N27" i="2" s="1"/>
  <c r="H27" i="2"/>
  <c r="O27" i="2" s="1"/>
  <c r="L26" i="2"/>
  <c r="N26" i="2" s="1"/>
  <c r="H26" i="2"/>
  <c r="O26" i="2" s="1"/>
  <c r="H25" i="2"/>
  <c r="O25" i="2" s="1"/>
  <c r="O24" i="2"/>
  <c r="N24" i="2"/>
  <c r="L24" i="2"/>
  <c r="H24" i="2"/>
  <c r="H23" i="2"/>
  <c r="G61" i="1"/>
  <c r="H61" i="1" s="1"/>
  <c r="O61" i="1" s="1"/>
  <c r="G60" i="1"/>
  <c r="K60" i="1" s="1"/>
  <c r="L60" i="1" s="1"/>
  <c r="G59" i="1"/>
  <c r="K59" i="1" s="1"/>
  <c r="L59" i="1" s="1"/>
  <c r="G58" i="1"/>
  <c r="K58" i="1" s="1"/>
  <c r="L58" i="1" s="1"/>
  <c r="G57" i="1"/>
  <c r="H57" i="1" s="1"/>
  <c r="K56" i="1"/>
  <c r="L56" i="1" s="1"/>
  <c r="G56" i="1"/>
  <c r="H56" i="1" s="1"/>
  <c r="N55" i="1"/>
  <c r="O55" i="1" s="1"/>
  <c r="L55" i="1"/>
  <c r="H55" i="1"/>
  <c r="K50" i="1"/>
  <c r="K51" i="1" s="1"/>
  <c r="G50" i="1"/>
  <c r="G51" i="1" s="1"/>
  <c r="L48" i="1"/>
  <c r="H48" i="1"/>
  <c r="K47" i="1"/>
  <c r="L47" i="1" s="1"/>
  <c r="N47" i="1" s="1"/>
  <c r="J47" i="1"/>
  <c r="G47" i="1"/>
  <c r="H47" i="1" s="1"/>
  <c r="F47" i="1"/>
  <c r="K46" i="1"/>
  <c r="L46" i="1" s="1"/>
  <c r="N46" i="1" s="1"/>
  <c r="G46" i="1"/>
  <c r="H46" i="1" s="1"/>
  <c r="K45" i="1"/>
  <c r="L45" i="1" s="1"/>
  <c r="N45" i="1" s="1"/>
  <c r="G45" i="1"/>
  <c r="H45" i="1" s="1"/>
  <c r="O45" i="1" s="1"/>
  <c r="K44" i="1"/>
  <c r="L44" i="1" s="1"/>
  <c r="G44" i="1"/>
  <c r="H44" i="1" s="1"/>
  <c r="O44" i="1" s="1"/>
  <c r="O43" i="1"/>
  <c r="L43" i="1"/>
  <c r="N43" i="1" s="1"/>
  <c r="G43" i="1"/>
  <c r="O42" i="1"/>
  <c r="K42" i="1"/>
  <c r="L42" i="1" s="1"/>
  <c r="N42" i="1" s="1"/>
  <c r="G42" i="1"/>
  <c r="K41" i="1"/>
  <c r="L41" i="1" s="1"/>
  <c r="G41" i="1"/>
  <c r="H41" i="1" s="1"/>
  <c r="O41" i="1" s="1"/>
  <c r="K40" i="1"/>
  <c r="L40" i="1" s="1"/>
  <c r="G40" i="1"/>
  <c r="H40" i="1" s="1"/>
  <c r="O40" i="1" s="1"/>
  <c r="K38" i="1"/>
  <c r="L38" i="1" s="1"/>
  <c r="G38" i="1"/>
  <c r="H38" i="1" s="1"/>
  <c r="O38" i="1" s="1"/>
  <c r="L37" i="1"/>
  <c r="K37" i="1"/>
  <c r="G37" i="1"/>
  <c r="H37" i="1" s="1"/>
  <c r="O37" i="1" s="1"/>
  <c r="K36" i="1"/>
  <c r="L36" i="1" s="1"/>
  <c r="H36" i="1"/>
  <c r="O36" i="1" s="1"/>
  <c r="G36" i="1"/>
  <c r="K35" i="1"/>
  <c r="L35" i="1" s="1"/>
  <c r="N35" i="1" s="1"/>
  <c r="G35" i="1"/>
  <c r="H35" i="1" s="1"/>
  <c r="O35" i="1" s="1"/>
  <c r="K34" i="1"/>
  <c r="L34" i="1" s="1"/>
  <c r="G34" i="1"/>
  <c r="H34" i="1" s="1"/>
  <c r="O34" i="1" s="1"/>
  <c r="L33" i="1"/>
  <c r="K33" i="1"/>
  <c r="G33" i="1"/>
  <c r="H33" i="1" s="1"/>
  <c r="O33" i="1" s="1"/>
  <c r="K32" i="1"/>
  <c r="L32" i="1" s="1"/>
  <c r="H32" i="1"/>
  <c r="O32" i="1" s="1"/>
  <c r="G32" i="1"/>
  <c r="K31" i="1"/>
  <c r="L31" i="1" s="1"/>
  <c r="N31" i="1" s="1"/>
  <c r="G31" i="1"/>
  <c r="H31" i="1" s="1"/>
  <c r="O31" i="1" s="1"/>
  <c r="K30" i="1"/>
  <c r="L30" i="1" s="1"/>
  <c r="G30" i="1"/>
  <c r="H30" i="1" s="1"/>
  <c r="O30" i="1" s="1"/>
  <c r="K29" i="1"/>
  <c r="G29" i="1"/>
  <c r="H29" i="1" s="1"/>
  <c r="L28" i="1"/>
  <c r="H28" i="1"/>
  <c r="O28" i="1" s="1"/>
  <c r="L27" i="1"/>
  <c r="H27" i="1"/>
  <c r="O27" i="1" s="1"/>
  <c r="O26" i="1"/>
  <c r="L26" i="1"/>
  <c r="H26" i="1"/>
  <c r="H25" i="1"/>
  <c r="O25" i="1" s="1"/>
  <c r="O24" i="1"/>
  <c r="L24" i="1"/>
  <c r="N24" i="1" s="1"/>
  <c r="H24" i="1"/>
  <c r="H23" i="1"/>
  <c r="N32" i="7" l="1"/>
  <c r="N36" i="7"/>
  <c r="O55" i="7"/>
  <c r="N30" i="7"/>
  <c r="N34" i="7"/>
  <c r="N38" i="7"/>
  <c r="N45" i="7"/>
  <c r="K60" i="7"/>
  <c r="L60" i="7" s="1"/>
  <c r="H47" i="6"/>
  <c r="G51" i="6"/>
  <c r="G53" i="6" s="1"/>
  <c r="H53" i="6" s="1"/>
  <c r="N56" i="6"/>
  <c r="K61" i="6"/>
  <c r="L61" i="6" s="1"/>
  <c r="N61" i="6" s="1"/>
  <c r="N41" i="6"/>
  <c r="N47" i="6"/>
  <c r="N24" i="6"/>
  <c r="N26" i="6"/>
  <c r="N28" i="6"/>
  <c r="N31" i="6"/>
  <c r="N44" i="6"/>
  <c r="O55" i="6"/>
  <c r="K59" i="6"/>
  <c r="L59" i="6" s="1"/>
  <c r="N59" i="6" s="1"/>
  <c r="N40" i="6"/>
  <c r="N37" i="6"/>
  <c r="N24" i="5"/>
  <c r="N28" i="5"/>
  <c r="N32" i="5"/>
  <c r="N36" i="5"/>
  <c r="N40" i="5"/>
  <c r="H47" i="5"/>
  <c r="N47" i="5" s="1"/>
  <c r="O47" i="5" s="1"/>
  <c r="N31" i="5"/>
  <c r="N35" i="5"/>
  <c r="N44" i="5"/>
  <c r="N48" i="5"/>
  <c r="K60" i="5"/>
  <c r="L60" i="5" s="1"/>
  <c r="N26" i="5"/>
  <c r="N30" i="5"/>
  <c r="N38" i="5"/>
  <c r="N46" i="5"/>
  <c r="N56" i="5"/>
  <c r="N24" i="4"/>
  <c r="N33" i="4"/>
  <c r="N45" i="4"/>
  <c r="K59" i="4"/>
  <c r="L59" i="4" s="1"/>
  <c r="N59" i="4" s="1"/>
  <c r="O59" i="4" s="1"/>
  <c r="K61" i="4"/>
  <c r="L61" i="4" s="1"/>
  <c r="N61" i="4" s="1"/>
  <c r="N47" i="4"/>
  <c r="N48" i="4"/>
  <c r="N26" i="3"/>
  <c r="N33" i="3"/>
  <c r="N37" i="3"/>
  <c r="N24" i="3"/>
  <c r="H58" i="3"/>
  <c r="H60" i="3"/>
  <c r="N60" i="3" s="1"/>
  <c r="O60" i="3" s="1"/>
  <c r="N31" i="3"/>
  <c r="N35" i="3"/>
  <c r="N47" i="3"/>
  <c r="O47" i="3" s="1"/>
  <c r="N56" i="3"/>
  <c r="O56" i="3" s="1"/>
  <c r="N45" i="2"/>
  <c r="N38" i="2"/>
  <c r="H50" i="2"/>
  <c r="N56" i="2"/>
  <c r="O56" i="2" s="1"/>
  <c r="N40" i="2"/>
  <c r="N44" i="2"/>
  <c r="O55" i="2"/>
  <c r="N36" i="2"/>
  <c r="N55" i="2"/>
  <c r="N41" i="2"/>
  <c r="N48" i="2"/>
  <c r="L50" i="2"/>
  <c r="O56" i="1"/>
  <c r="N28" i="1"/>
  <c r="N32" i="1"/>
  <c r="N36" i="1"/>
  <c r="N44" i="1"/>
  <c r="N48" i="1"/>
  <c r="L50" i="1"/>
  <c r="N50" i="1" s="1"/>
  <c r="O50" i="1" s="1"/>
  <c r="N27" i="1"/>
  <c r="H58" i="1"/>
  <c r="H60" i="1"/>
  <c r="N26" i="1"/>
  <c r="N30" i="1"/>
  <c r="N34" i="1"/>
  <c r="N38" i="1"/>
  <c r="H50" i="1"/>
  <c r="N56" i="1"/>
  <c r="H39" i="4"/>
  <c r="H49" i="4" s="1"/>
  <c r="H39" i="3"/>
  <c r="L46" i="3"/>
  <c r="N46" i="3" s="1"/>
  <c r="O46" i="3" s="1"/>
  <c r="K53" i="1"/>
  <c r="L53" i="1" s="1"/>
  <c r="L51" i="1"/>
  <c r="K54" i="1"/>
  <c r="L54" i="1" s="1"/>
  <c r="O46" i="1"/>
  <c r="H51" i="1"/>
  <c r="G53" i="1"/>
  <c r="H53" i="1" s="1"/>
  <c r="G54" i="1"/>
  <c r="H54" i="1" s="1"/>
  <c r="N60" i="1"/>
  <c r="O60" i="1" s="1"/>
  <c r="N40" i="1"/>
  <c r="O47" i="1"/>
  <c r="N33" i="1"/>
  <c r="N37" i="1"/>
  <c r="H39" i="2"/>
  <c r="H39" i="1"/>
  <c r="N41" i="1"/>
  <c r="H59" i="1"/>
  <c r="N59" i="1" s="1"/>
  <c r="K61" i="1"/>
  <c r="L61" i="1" s="1"/>
  <c r="N61" i="1" s="1"/>
  <c r="K57" i="1"/>
  <c r="L57" i="1" s="1"/>
  <c r="N57" i="1" s="1"/>
  <c r="O57" i="1" s="1"/>
  <c r="N30" i="2"/>
  <c r="N32" i="2"/>
  <c r="N34" i="2"/>
  <c r="N35" i="2"/>
  <c r="N32" i="3"/>
  <c r="N36" i="3"/>
  <c r="N41" i="3"/>
  <c r="N50" i="3"/>
  <c r="O50" i="3" s="1"/>
  <c r="N40" i="4"/>
  <c r="K53" i="4"/>
  <c r="L53" i="4" s="1"/>
  <c r="L51" i="4"/>
  <c r="K54" i="4"/>
  <c r="L54" i="4" s="1"/>
  <c r="N31" i="2"/>
  <c r="N33" i="2"/>
  <c r="N46" i="2"/>
  <c r="O46" i="2" s="1"/>
  <c r="K53" i="2"/>
  <c r="L53" i="2" s="1"/>
  <c r="L51" i="2"/>
  <c r="K54" i="2"/>
  <c r="L54" i="2" s="1"/>
  <c r="O58" i="2"/>
  <c r="H49" i="3"/>
  <c r="N41" i="4"/>
  <c r="O56" i="4"/>
  <c r="N56" i="4"/>
  <c r="G54" i="2"/>
  <c r="H54" i="2" s="1"/>
  <c r="H51" i="2"/>
  <c r="G53" i="2"/>
  <c r="H53" i="2" s="1"/>
  <c r="N60" i="2"/>
  <c r="O60" i="2" s="1"/>
  <c r="N23" i="3"/>
  <c r="O23" i="3" s="1"/>
  <c r="O47" i="2"/>
  <c r="K53" i="3"/>
  <c r="L53" i="3" s="1"/>
  <c r="L51" i="3"/>
  <c r="K54" i="3"/>
  <c r="L54" i="3" s="1"/>
  <c r="N23" i="4"/>
  <c r="N30" i="4"/>
  <c r="N34" i="4"/>
  <c r="N36" i="4"/>
  <c r="N38" i="4"/>
  <c r="K57" i="2"/>
  <c r="L57" i="2" s="1"/>
  <c r="N57" i="2" s="1"/>
  <c r="O57" i="2" s="1"/>
  <c r="K59" i="2"/>
  <c r="L59" i="2" s="1"/>
  <c r="N59" i="2" s="1"/>
  <c r="O59" i="2" s="1"/>
  <c r="K61" i="2"/>
  <c r="L61" i="2" s="1"/>
  <c r="N61" i="2" s="1"/>
  <c r="O61" i="2" s="1"/>
  <c r="K57" i="3"/>
  <c r="L57" i="3" s="1"/>
  <c r="N57" i="3" s="1"/>
  <c r="O57" i="3" s="1"/>
  <c r="K59" i="3"/>
  <c r="L59" i="3" s="1"/>
  <c r="N59" i="3" s="1"/>
  <c r="O59" i="3" s="1"/>
  <c r="K61" i="3"/>
  <c r="L61" i="3" s="1"/>
  <c r="N61" i="3" s="1"/>
  <c r="O61" i="3" s="1"/>
  <c r="L42" i="4"/>
  <c r="N42" i="4" s="1"/>
  <c r="N55" i="4"/>
  <c r="O55" i="4" s="1"/>
  <c r="N50" i="5"/>
  <c r="O50" i="5" s="1"/>
  <c r="O56" i="5"/>
  <c r="N58" i="5"/>
  <c r="O58" i="5" s="1"/>
  <c r="G51" i="3"/>
  <c r="O23" i="4"/>
  <c r="N44" i="4"/>
  <c r="O47" i="4"/>
  <c r="H39" i="6"/>
  <c r="N50" i="2"/>
  <c r="O50" i="2" s="1"/>
  <c r="N44" i="3"/>
  <c r="N45" i="3"/>
  <c r="N46" i="4"/>
  <c r="O46" i="4" s="1"/>
  <c r="G54" i="4"/>
  <c r="H54" i="4" s="1"/>
  <c r="H51" i="4"/>
  <c r="G53" i="4"/>
  <c r="H53" i="4" s="1"/>
  <c r="O30" i="6"/>
  <c r="N30" i="6"/>
  <c r="L50" i="4"/>
  <c r="N50" i="4" s="1"/>
  <c r="O50" i="4" s="1"/>
  <c r="H58" i="4"/>
  <c r="K58" i="4"/>
  <c r="L58" i="4" s="1"/>
  <c r="N33" i="5"/>
  <c r="N37" i="5"/>
  <c r="O46" i="5"/>
  <c r="N60" i="5"/>
  <c r="O60" i="5" s="1"/>
  <c r="K60" i="4"/>
  <c r="L60" i="4" s="1"/>
  <c r="O53" i="5"/>
  <c r="N33" i="6"/>
  <c r="N35" i="6"/>
  <c r="O56" i="6"/>
  <c r="H39" i="7"/>
  <c r="N41" i="7"/>
  <c r="N50" i="7"/>
  <c r="O50" i="7" s="1"/>
  <c r="N56" i="7"/>
  <c r="K51" i="5"/>
  <c r="G54" i="5"/>
  <c r="H54" i="5" s="1"/>
  <c r="N32" i="6"/>
  <c r="N34" i="6"/>
  <c r="N36" i="6"/>
  <c r="N38" i="6"/>
  <c r="O38" i="6"/>
  <c r="N46" i="6"/>
  <c r="O46" i="6" s="1"/>
  <c r="O59" i="6"/>
  <c r="N33" i="7"/>
  <c r="O33" i="7"/>
  <c r="N37" i="7"/>
  <c r="O37" i="7"/>
  <c r="N23" i="5"/>
  <c r="O23" i="5" s="1"/>
  <c r="H39" i="5"/>
  <c r="H57" i="5"/>
  <c r="H59" i="5"/>
  <c r="H61" i="5"/>
  <c r="O61" i="5" s="1"/>
  <c r="N60" i="7"/>
  <c r="O60" i="7" s="1"/>
  <c r="N23" i="6"/>
  <c r="O23" i="6" s="1"/>
  <c r="O47" i="6"/>
  <c r="K54" i="6"/>
  <c r="L54" i="6" s="1"/>
  <c r="K53" i="6"/>
  <c r="L53" i="6" s="1"/>
  <c r="L51" i="6"/>
  <c r="N57" i="6"/>
  <c r="O57" i="6" s="1"/>
  <c r="N31" i="7"/>
  <c r="O31" i="7"/>
  <c r="N35" i="7"/>
  <c r="O35" i="7"/>
  <c r="N46" i="7"/>
  <c r="O46" i="7" s="1"/>
  <c r="N47" i="7"/>
  <c r="O47" i="7" s="1"/>
  <c r="O56" i="7"/>
  <c r="N58" i="7"/>
  <c r="O58" i="7" s="1"/>
  <c r="O40" i="6"/>
  <c r="O41" i="6"/>
  <c r="H58" i="6"/>
  <c r="N58" i="6" s="1"/>
  <c r="H60" i="6"/>
  <c r="N60" i="6" s="1"/>
  <c r="K54" i="7"/>
  <c r="L54" i="7" s="1"/>
  <c r="K57" i="7"/>
  <c r="L57" i="7" s="1"/>
  <c r="N57" i="7" s="1"/>
  <c r="O57" i="7" s="1"/>
  <c r="K59" i="7"/>
  <c r="L59" i="7" s="1"/>
  <c r="N59" i="7" s="1"/>
  <c r="O59" i="7" s="1"/>
  <c r="K61" i="7"/>
  <c r="L61" i="7" s="1"/>
  <c r="N61" i="7" s="1"/>
  <c r="O61" i="7" s="1"/>
  <c r="L50" i="6"/>
  <c r="N50" i="6" s="1"/>
  <c r="O50" i="6" s="1"/>
  <c r="H51" i="6"/>
  <c r="G54" i="6"/>
  <c r="H54" i="6" s="1"/>
  <c r="G51" i="7"/>
  <c r="L51" i="7"/>
  <c r="N23" i="7"/>
  <c r="O23" i="7" s="1"/>
  <c r="N51" i="6" l="1"/>
  <c r="N61" i="5"/>
  <c r="N58" i="4"/>
  <c r="N51" i="4"/>
  <c r="N58" i="3"/>
  <c r="O58" i="3" s="1"/>
  <c r="N58" i="1"/>
  <c r="O58" i="1" s="1"/>
  <c r="N51" i="2"/>
  <c r="O51" i="2" s="1"/>
  <c r="K54" i="5"/>
  <c r="L54" i="5" s="1"/>
  <c r="L51" i="5"/>
  <c r="N51" i="5" s="1"/>
  <c r="O51" i="5" s="1"/>
  <c r="O51" i="6"/>
  <c r="N60" i="4"/>
  <c r="O60" i="4" s="1"/>
  <c r="O51" i="4"/>
  <c r="H49" i="6"/>
  <c r="O59" i="1"/>
  <c r="N54" i="1"/>
  <c r="O54" i="1" s="1"/>
  <c r="N53" i="6"/>
  <c r="O53" i="6" s="1"/>
  <c r="G54" i="7"/>
  <c r="H54" i="7" s="1"/>
  <c r="H51" i="7"/>
  <c r="N51" i="7" s="1"/>
  <c r="G53" i="7"/>
  <c r="H53" i="7" s="1"/>
  <c r="N57" i="5"/>
  <c r="O57" i="5" s="1"/>
  <c r="N59" i="5"/>
  <c r="O59" i="5" s="1"/>
  <c r="H52" i="4"/>
  <c r="N54" i="2"/>
  <c r="O54" i="2" s="1"/>
  <c r="N54" i="4"/>
  <c r="O54" i="4" s="1"/>
  <c r="N51" i="1"/>
  <c r="O51" i="1" s="1"/>
  <c r="H49" i="1"/>
  <c r="H49" i="2"/>
  <c r="N53" i="1"/>
  <c r="O53" i="1" s="1"/>
  <c r="O60" i="6"/>
  <c r="O58" i="6"/>
  <c r="N54" i="6"/>
  <c r="O54" i="6" s="1"/>
  <c r="H49" i="5"/>
  <c r="H49" i="7"/>
  <c r="O58" i="4"/>
  <c r="O53" i="4"/>
  <c r="G54" i="3"/>
  <c r="H54" i="3" s="1"/>
  <c r="H51" i="3"/>
  <c r="H52" i="3" s="1"/>
  <c r="G53" i="3"/>
  <c r="H53" i="3" s="1"/>
  <c r="O53" i="2"/>
  <c r="N53" i="2"/>
  <c r="N53" i="4"/>
  <c r="H52" i="1" l="1"/>
  <c r="H69" i="3"/>
  <c r="H63" i="3"/>
  <c r="H52" i="7"/>
  <c r="H63" i="7" s="1"/>
  <c r="H52" i="2"/>
  <c r="N51" i="3"/>
  <c r="O51" i="3" s="1"/>
  <c r="H52" i="6"/>
  <c r="H52" i="5"/>
  <c r="N53" i="7"/>
  <c r="O53" i="7" s="1"/>
  <c r="N54" i="3"/>
  <c r="O54" i="3" s="1"/>
  <c r="H69" i="4"/>
  <c r="O51" i="7"/>
  <c r="H63" i="4"/>
  <c r="N53" i="3"/>
  <c r="O53" i="3" s="1"/>
  <c r="N54" i="7"/>
  <c r="O54" i="7" s="1"/>
  <c r="N54" i="5"/>
  <c r="O54" i="5" s="1"/>
  <c r="H69" i="5" l="1"/>
  <c r="H63" i="5"/>
  <c r="H69" i="1"/>
  <c r="H63" i="1"/>
  <c r="H70" i="3"/>
  <c r="H71" i="3" s="1"/>
  <c r="H70" i="4"/>
  <c r="H64" i="4"/>
  <c r="H69" i="6"/>
  <c r="H63" i="6"/>
  <c r="H69" i="2"/>
  <c r="H63" i="2"/>
  <c r="H69" i="7"/>
  <c r="H64" i="3"/>
  <c r="H64" i="7"/>
  <c r="H72" i="3" l="1"/>
  <c r="H70" i="7"/>
  <c r="H71" i="7" s="1"/>
  <c r="H64" i="2"/>
  <c r="H65" i="2" s="1"/>
  <c r="H70" i="6"/>
  <c r="H71" i="6" s="1"/>
  <c r="H64" i="5"/>
  <c r="H65" i="5" s="1"/>
  <c r="H70" i="2"/>
  <c r="H70" i="5"/>
  <c r="H71" i="5" s="1"/>
  <c r="H64" i="1"/>
  <c r="H65" i="3"/>
  <c r="H71" i="4"/>
  <c r="H70" i="1"/>
  <c r="H71" i="1"/>
  <c r="H65" i="7"/>
  <c r="H64" i="6"/>
  <c r="H65" i="4"/>
  <c r="H66" i="2" l="1"/>
  <c r="H72" i="1"/>
  <c r="H73" i="1" s="1"/>
  <c r="H65" i="6"/>
  <c r="H65" i="1"/>
  <c r="H66" i="7"/>
  <c r="H71" i="2"/>
  <c r="H66" i="4"/>
  <c r="H67" i="4" s="1"/>
  <c r="H72" i="4"/>
  <c r="H66" i="3"/>
  <c r="H66" i="5"/>
  <c r="H72" i="6"/>
  <c r="H73" i="6" s="1"/>
  <c r="H72" i="7"/>
  <c r="H73" i="7" s="1"/>
  <c r="H72" i="5"/>
  <c r="H73" i="5" s="1"/>
  <c r="H73" i="3"/>
  <c r="H67" i="3" l="1"/>
  <c r="H73" i="4"/>
  <c r="H72" i="2"/>
  <c r="H73" i="2" s="1"/>
  <c r="H67" i="7"/>
  <c r="H66" i="1"/>
  <c r="H67" i="1" s="1"/>
  <c r="H67" i="5"/>
  <c r="H66" i="6"/>
  <c r="H67" i="2"/>
  <c r="H67" i="6" l="1"/>
  <c r="L25" i="4" l="1"/>
  <c r="L25" i="3"/>
  <c r="L25" i="1" l="1"/>
  <c r="N25" i="1" s="1"/>
  <c r="L25" i="2"/>
  <c r="N25" i="2" s="1"/>
  <c r="N25" i="4"/>
  <c r="N25" i="3"/>
  <c r="L29" i="6" l="1"/>
  <c r="L29" i="7"/>
  <c r="L29" i="4"/>
  <c r="L29" i="3"/>
  <c r="L29" i="5"/>
  <c r="N29" i="6" l="1"/>
  <c r="O29" i="6" s="1"/>
  <c r="L39" i="6"/>
  <c r="N29" i="7"/>
  <c r="O29" i="7" s="1"/>
  <c r="L39" i="7"/>
  <c r="N29" i="3"/>
  <c r="O29" i="3" s="1"/>
  <c r="L39" i="3"/>
  <c r="N29" i="5"/>
  <c r="O29" i="5" s="1"/>
  <c r="L39" i="5"/>
  <c r="N29" i="4"/>
  <c r="O29" i="4" s="1"/>
  <c r="L39" i="4"/>
  <c r="N39" i="4" l="1"/>
  <c r="O39" i="4" s="1"/>
  <c r="L49" i="4"/>
  <c r="L49" i="3"/>
  <c r="N39" i="3"/>
  <c r="O39" i="3" s="1"/>
  <c r="L49" i="6"/>
  <c r="N39" i="6"/>
  <c r="O39" i="6" s="1"/>
  <c r="L49" i="5"/>
  <c r="N39" i="5"/>
  <c r="O39" i="5" s="1"/>
  <c r="L49" i="7"/>
  <c r="N39" i="7"/>
  <c r="O39" i="7" s="1"/>
  <c r="L52" i="5" l="1"/>
  <c r="N49" i="5"/>
  <c r="O49" i="5" s="1"/>
  <c r="L52" i="3"/>
  <c r="N49" i="3"/>
  <c r="O49" i="3" s="1"/>
  <c r="N49" i="4"/>
  <c r="O49" i="4" s="1"/>
  <c r="L52" i="4"/>
  <c r="N49" i="7"/>
  <c r="O49" i="7" s="1"/>
  <c r="L52" i="7"/>
  <c r="N49" i="6"/>
  <c r="O49" i="6" s="1"/>
  <c r="L52" i="6"/>
  <c r="L69" i="7" l="1"/>
  <c r="L63" i="7"/>
  <c r="N52" i="7"/>
  <c r="O52" i="7" s="1"/>
  <c r="L23" i="2"/>
  <c r="L23" i="1"/>
  <c r="L63" i="3"/>
  <c r="N52" i="3"/>
  <c r="O52" i="3" s="1"/>
  <c r="L69" i="3"/>
  <c r="L69" i="6"/>
  <c r="L63" i="6"/>
  <c r="N52" i="6"/>
  <c r="O52" i="6" s="1"/>
  <c r="N52" i="4"/>
  <c r="O52" i="4" s="1"/>
  <c r="L63" i="4"/>
  <c r="L69" i="4"/>
  <c r="L69" i="5"/>
  <c r="L63" i="5"/>
  <c r="N52" i="5"/>
  <c r="O52" i="5" s="1"/>
  <c r="L70" i="5" l="1"/>
  <c r="N70" i="5" s="1"/>
  <c r="O70" i="5" s="1"/>
  <c r="N69" i="5"/>
  <c r="O69" i="5" s="1"/>
  <c r="L70" i="4"/>
  <c r="N70" i="4" s="1"/>
  <c r="O70" i="4" s="1"/>
  <c r="N69" i="4"/>
  <c r="O69" i="4" s="1"/>
  <c r="N63" i="6"/>
  <c r="O63" i="6" s="1"/>
  <c r="L64" i="6"/>
  <c r="N64" i="6" s="1"/>
  <c r="O64" i="6" s="1"/>
  <c r="N63" i="3"/>
  <c r="O63" i="3" s="1"/>
  <c r="L64" i="3"/>
  <c r="N64" i="3" s="1"/>
  <c r="O64" i="3" s="1"/>
  <c r="N63" i="4"/>
  <c r="O63" i="4" s="1"/>
  <c r="L64" i="4"/>
  <c r="N64" i="4" s="1"/>
  <c r="O64" i="4" s="1"/>
  <c r="N23" i="1"/>
  <c r="O23" i="1" s="1"/>
  <c r="N63" i="7"/>
  <c r="O63" i="7" s="1"/>
  <c r="L64" i="7"/>
  <c r="N64" i="7" s="1"/>
  <c r="O64" i="7" s="1"/>
  <c r="L65" i="7"/>
  <c r="N69" i="6"/>
  <c r="O69" i="6" s="1"/>
  <c r="L70" i="6"/>
  <c r="N70" i="6" s="1"/>
  <c r="O70" i="6" s="1"/>
  <c r="N63" i="5"/>
  <c r="O63" i="5" s="1"/>
  <c r="L64" i="5"/>
  <c r="N64" i="5" s="1"/>
  <c r="O64" i="5" s="1"/>
  <c r="N69" i="3"/>
  <c r="O69" i="3" s="1"/>
  <c r="L70" i="3"/>
  <c r="N70" i="3" s="1"/>
  <c r="O70" i="3" s="1"/>
  <c r="N23" i="2"/>
  <c r="O23" i="2" s="1"/>
  <c r="L70" i="7"/>
  <c r="N70" i="7" s="1"/>
  <c r="O70" i="7" s="1"/>
  <c r="N69" i="7"/>
  <c r="O69" i="7" s="1"/>
  <c r="L71" i="3" l="1"/>
  <c r="L65" i="3"/>
  <c r="L66" i="3" s="1"/>
  <c r="L71" i="4"/>
  <c r="N71" i="4" s="1"/>
  <c r="O71" i="4" s="1"/>
  <c r="L72" i="4"/>
  <c r="N72" i="4" s="1"/>
  <c r="O72" i="4" s="1"/>
  <c r="L71" i="6"/>
  <c r="L65" i="4"/>
  <c r="L71" i="5"/>
  <c r="L66" i="7"/>
  <c r="N66" i="7" s="1"/>
  <c r="O66" i="7" s="1"/>
  <c r="N65" i="7"/>
  <c r="O65" i="7" s="1"/>
  <c r="N65" i="3"/>
  <c r="O65" i="3" s="1"/>
  <c r="L71" i="7"/>
  <c r="L65" i="5"/>
  <c r="N71" i="3"/>
  <c r="O71" i="3" s="1"/>
  <c r="L72" i="3"/>
  <c r="N72" i="3" s="1"/>
  <c r="O72" i="3" s="1"/>
  <c r="L65" i="6"/>
  <c r="L73" i="4" l="1"/>
  <c r="N73" i="4" s="1"/>
  <c r="O73" i="4" s="1"/>
  <c r="N66" i="3"/>
  <c r="O66" i="3" s="1"/>
  <c r="L67" i="3"/>
  <c r="N67" i="3" s="1"/>
  <c r="O67" i="3" s="1"/>
  <c r="N65" i="6"/>
  <c r="O65" i="6" s="1"/>
  <c r="L66" i="6"/>
  <c r="N66" i="6" s="1"/>
  <c r="O66" i="6" s="1"/>
  <c r="L66" i="5"/>
  <c r="N66" i="5" s="1"/>
  <c r="O66" i="5" s="1"/>
  <c r="N65" i="5"/>
  <c r="O65" i="5" s="1"/>
  <c r="N71" i="5"/>
  <c r="O71" i="5" s="1"/>
  <c r="L72" i="5"/>
  <c r="N72" i="5" s="1"/>
  <c r="O72" i="5" s="1"/>
  <c r="N71" i="6"/>
  <c r="O71" i="6" s="1"/>
  <c r="L72" i="6"/>
  <c r="N72" i="6" s="1"/>
  <c r="O72" i="6" s="1"/>
  <c r="L29" i="2"/>
  <c r="L29" i="1"/>
  <c r="L73" i="3"/>
  <c r="N73" i="3" s="1"/>
  <c r="O73" i="3" s="1"/>
  <c r="N71" i="7"/>
  <c r="O71" i="7" s="1"/>
  <c r="L72" i="7"/>
  <c r="N72" i="7" s="1"/>
  <c r="O72" i="7" s="1"/>
  <c r="L67" i="7"/>
  <c r="N67" i="7" s="1"/>
  <c r="O67" i="7" s="1"/>
  <c r="L66" i="4"/>
  <c r="N66" i="4" s="1"/>
  <c r="O66" i="4" s="1"/>
  <c r="N65" i="4"/>
  <c r="O65" i="4" s="1"/>
  <c r="L67" i="6" l="1"/>
  <c r="N67" i="6" s="1"/>
  <c r="O67" i="6" s="1"/>
  <c r="L73" i="6"/>
  <c r="N73" i="6" s="1"/>
  <c r="O73" i="6" s="1"/>
  <c r="L73" i="7"/>
  <c r="N73" i="7" s="1"/>
  <c r="O73" i="7" s="1"/>
  <c r="L67" i="4"/>
  <c r="N67" i="4" s="1"/>
  <c r="O67" i="4" s="1"/>
  <c r="N29" i="1"/>
  <c r="O29" i="1" s="1"/>
  <c r="L39" i="1"/>
  <c r="L67" i="5"/>
  <c r="N67" i="5" s="1"/>
  <c r="O67" i="5" s="1"/>
  <c r="N29" i="2"/>
  <c r="O29" i="2" s="1"/>
  <c r="L39" i="2"/>
  <c r="L73" i="5"/>
  <c r="N73" i="5" s="1"/>
  <c r="O73" i="5" s="1"/>
  <c r="L49" i="1" l="1"/>
  <c r="N39" i="1"/>
  <c r="O39" i="1" s="1"/>
  <c r="N39" i="2"/>
  <c r="O39" i="2" s="1"/>
  <c r="L49" i="2"/>
  <c r="N49" i="2" l="1"/>
  <c r="O49" i="2" s="1"/>
  <c r="L52" i="2"/>
  <c r="L52" i="1"/>
  <c r="N49" i="1"/>
  <c r="O49" i="1" s="1"/>
  <c r="N52" i="1" l="1"/>
  <c r="O52" i="1" s="1"/>
  <c r="L63" i="1"/>
  <c r="L69" i="1"/>
  <c r="L69" i="2"/>
  <c r="L63" i="2"/>
  <c r="N52" i="2"/>
  <c r="O52" i="2" s="1"/>
  <c r="N69" i="1" l="1"/>
  <c r="O69" i="1" s="1"/>
  <c r="L70" i="1"/>
  <c r="N70" i="1" s="1"/>
  <c r="O70" i="1" s="1"/>
  <c r="N69" i="2"/>
  <c r="O69" i="2" s="1"/>
  <c r="L70" i="2"/>
  <c r="N70" i="2" s="1"/>
  <c r="O70" i="2" s="1"/>
  <c r="N63" i="1"/>
  <c r="O63" i="1" s="1"/>
  <c r="L64" i="1"/>
  <c r="N64" i="1" s="1"/>
  <c r="O64" i="1" s="1"/>
  <c r="L65" i="1"/>
  <c r="L64" i="2"/>
  <c r="N64" i="2" s="1"/>
  <c r="O64" i="2" s="1"/>
  <c r="N63" i="2"/>
  <c r="O63" i="2" s="1"/>
  <c r="L65" i="2" l="1"/>
  <c r="N65" i="2" s="1"/>
  <c r="O65" i="2" s="1"/>
  <c r="L71" i="1"/>
  <c r="N65" i="1"/>
  <c r="O65" i="1" s="1"/>
  <c r="L66" i="1"/>
  <c r="N66" i="1" s="1"/>
  <c r="O66" i="1" s="1"/>
  <c r="L66" i="2"/>
  <c r="N66" i="2" s="1"/>
  <c r="O66" i="2" s="1"/>
  <c r="L71" i="2"/>
  <c r="L67" i="1" l="1"/>
  <c r="N67" i="1" s="1"/>
  <c r="O67" i="1" s="1"/>
  <c r="N71" i="2"/>
  <c r="O71" i="2" s="1"/>
  <c r="L72" i="2"/>
  <c r="N72" i="2" s="1"/>
  <c r="O72" i="2" s="1"/>
  <c r="L67" i="2"/>
  <c r="N67" i="2" s="1"/>
  <c r="O67" i="2" s="1"/>
  <c r="L72" i="1"/>
  <c r="N72" i="1" s="1"/>
  <c r="O72" i="1" s="1"/>
  <c r="N71" i="1"/>
  <c r="O71" i="1" s="1"/>
  <c r="L73" i="1" l="1"/>
  <c r="N73" i="1" s="1"/>
  <c r="O73" i="1" s="1"/>
  <c r="L73" i="2"/>
  <c r="N73" i="2" s="1"/>
  <c r="O73" i="2" s="1"/>
</calcChain>
</file>

<file path=xl/sharedStrings.xml><?xml version="1.0" encoding="utf-8"?>
<sst xmlns="http://schemas.openxmlformats.org/spreadsheetml/2006/main" count="701" uniqueCount="77">
  <si>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</si>
  <si>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</si>
  <si>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</si>
  <si>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</si>
  <si>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</si>
  <si>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</si>
  <si>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</si>
  <si>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</si>
  <si>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</si>
  <si>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</si>
  <si>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</si>
  <si>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</si>
  <si>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</si>
  <si>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</si>
  <si>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</si>
  <si>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</si>
  <si>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</si>
  <si>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</si>
  <si>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</si>
  <si>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</si>
  <si>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</si>
  <si>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Stranded Meter Rate Rider</t>
  </si>
  <si>
    <t>Smart Meter Disposition Rider</t>
  </si>
  <si>
    <t>Distribution Volumetric Rate</t>
  </si>
  <si>
    <t>per kWh</t>
  </si>
  <si>
    <t>LRAM &amp; SSM Rate Rider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</si>
  <si>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</si>
  <si>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</si>
  <si>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</si>
  <si>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</si>
  <si>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</si>
  <si>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</si>
  <si>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</si>
  <si>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</si>
  <si>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</si>
  <si>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</si>
  <si>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</si>
  <si>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OEAP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</si>
  <si>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</si>
  <si>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</si>
  <si>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</si>
  <si>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</si>
  <si>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</si>
  <si>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</si>
  <si>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</si>
  <si>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</si>
  <si>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</si>
  <si>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</si>
  <si>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</si>
  <si>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</si>
  <si>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</si>
  <si>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</si>
  <si>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</si>
  <si>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</si>
  <si>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</si>
  <si>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</si>
  <si>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</si>
  <si>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</si>
  <si>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</si>
  <si>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</si>
  <si>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</si>
  <si>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</si>
  <si>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</si>
  <si>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</si>
  <si>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</si>
  <si>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</si>
  <si>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</si>
  <si>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</si>
  <si>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</si>
  <si>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</si>
  <si>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</si>
  <si>
    <t>Rate Rider Calculation for Deferral / Variance Accounts Balances (excluding Global Adj.)</t>
  </si>
  <si>
    <t>Rate Rider Calculation for Deferral / Variance Accounts Balances (excluding Global Adj.) - NON-WMP</t>
  </si>
  <si>
    <t>Rate Rider Calculation for RSVA - Power - Global Adjustment</t>
  </si>
  <si>
    <t>Rate Rider Calculation for Group 2 Accounts</t>
  </si>
  <si>
    <t>Rate Rider Calculation for Accounts 1575 and 1576</t>
  </si>
  <si>
    <t>Rate Rider Calculation for Accounts 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</si>
</sst>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1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00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8" fillId="0" borderId="16" xfId="0" applyNumberFormat="1" applyFont="1" applyFill="1" applyBorder="1" applyAlignment="1" applyProtection="1">
      <alignment vertical="center"/>
    </xf>
    <xf numFmtId="166" fontId="18" fillId="0" borderId="3" xfId="0" applyNumberFormat="1" applyFont="1" applyFill="1" applyBorder="1" applyAlignment="1" applyProtection="1">
      <alignment vertical="center"/>
    </xf>
    <xf numFmtId="166" fontId="18" fillId="0" borderId="7" xfId="0" applyNumberFormat="1" applyFont="1" applyFill="1" applyBorder="1" applyAlignment="1" applyProtection="1">
      <alignment vertical="center"/>
    </xf>
    <xf numFmtId="10" fontId="18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Alignment="1" applyProtection="1">
      <alignment horizontal="left" vertical="top" wrapText="1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8" fillId="0" borderId="16" xfId="4" applyNumberFormat="1" applyFont="1" applyFill="1" applyBorder="1" applyAlignment="1" applyProtection="1">
      <alignment vertical="center"/>
    </xf>
    <xf numFmtId="166" fontId="18" fillId="0" borderId="3" xfId="4" applyNumberFormat="1" applyFont="1" applyFill="1" applyBorder="1" applyAlignment="1" applyProtection="1">
      <alignment vertical="center"/>
    </xf>
    <xf numFmtId="166" fontId="18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0" fontId="10" fillId="0" borderId="0" xfId="4" applyFont="1" applyFill="1" applyAlignment="1" applyProtection="1">
      <alignment horizontal="left" vertical="top" wrapText="1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9" fillId="0" borderId="0" xfId="0" applyFont="1" applyFill="1" applyProtection="1"/>
    <xf numFmtId="0" fontId="11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0" fontId="5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0" fillId="0" borderId="0" xfId="0" applyFont="1" applyFill="1" applyBorder="1" applyAlignment="1" applyProtection="1">
      <alignment horizontal="left" vertical="top" wrapText="1"/>
    </xf>
    <xf numFmtId="0" fontId="16" fillId="0" borderId="0" xfId="4" applyFont="1" applyFill="1" applyBorder="1" applyAlignment="1" applyProtection="1">
      <alignment horizontal="left" vertical="top" wrapText="1" indent="1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2049" name="Option Button 4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2050" name="Option Button 4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2016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4">
    <pageSetUpPr fitToPage="1"/>
  </sheetPr>
  <dimension ref="A1:T92"/>
  <sheetViews>
    <sheetView showGridLines="0" topLeftCell="A43" workbookViewId="0">
      <selection activeCell="U41" sqref="U41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3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206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10.99</v>
      </c>
      <c r="G23" s="15">
        <v>1</v>
      </c>
      <c r="H23" s="16">
        <f>G23*F23</f>
        <v>10.99</v>
      </c>
      <c r="I23" s="28"/>
      <c r="J23" s="148">
        <v>14.59</v>
      </c>
      <c r="K23" s="17">
        <v>1</v>
      </c>
      <c r="L23" s="16">
        <f>K23*J23</f>
        <v>14.59</v>
      </c>
      <c r="M23" s="28"/>
      <c r="N23" s="149">
        <f>L23-H23</f>
        <v>3.5999999999999996</v>
      </c>
      <c r="O23" s="18">
        <f>IF((H23)=0,"",(N23/H23))</f>
        <v>0.32757051865332115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v>0.44513504962976203</v>
      </c>
      <c r="K25" s="17">
        <v>1</v>
      </c>
      <c r="L25" s="16">
        <f t="shared" ref="L25:L38" si="1">K25*J25</f>
        <v>0.44513504962976203</v>
      </c>
      <c r="M25" s="28"/>
      <c r="N25" s="149">
        <f t="shared" ref="N25:N67" si="2">L25-H25</f>
        <v>0.44513504962976203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v>1.4999999999999999E-2</v>
      </c>
      <c r="G29" s="15">
        <f t="shared" ref="G29:G38" si="4">$F$18</f>
        <v>206</v>
      </c>
      <c r="H29" s="16">
        <f t="shared" si="0"/>
        <v>3.09</v>
      </c>
      <c r="I29" s="28"/>
      <c r="J29" s="31">
        <v>1.34507565216603E-2</v>
      </c>
      <c r="K29" s="15">
        <f>$F$18</f>
        <v>206</v>
      </c>
      <c r="L29" s="16">
        <f t="shared" si="1"/>
        <v>2.7708558434620216</v>
      </c>
      <c r="M29" s="28"/>
      <c r="N29" s="149">
        <f t="shared" si="2"/>
        <v>-0.31914415653797823</v>
      </c>
      <c r="O29" s="18">
        <f t="shared" si="3"/>
        <v>-0.10328289855598001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206</v>
      </c>
      <c r="H30" s="16">
        <f t="shared" si="0"/>
        <v>0</v>
      </c>
      <c r="I30" s="28"/>
      <c r="J30" s="31"/>
      <c r="K30" s="15">
        <f t="shared" ref="K30:K38" si="5">$F$18</f>
        <v>206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206</v>
      </c>
      <c r="H31" s="16">
        <f t="shared" si="0"/>
        <v>0</v>
      </c>
      <c r="I31" s="28"/>
      <c r="J31" s="31"/>
      <c r="K31" s="15">
        <f t="shared" si="5"/>
        <v>206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206</v>
      </c>
      <c r="H32" s="16">
        <f>G32*F32</f>
        <v>0</v>
      </c>
      <c r="I32" s="28"/>
      <c r="J32" s="31"/>
      <c r="K32" s="15">
        <f t="shared" si="5"/>
        <v>206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206</v>
      </c>
      <c r="H33" s="16">
        <f>G33*F33</f>
        <v>0</v>
      </c>
      <c r="I33" s="28"/>
      <c r="J33" s="31"/>
      <c r="K33" s="15">
        <f t="shared" si="5"/>
        <v>206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206</v>
      </c>
      <c r="H34" s="16">
        <f>G34*F34</f>
        <v>0</v>
      </c>
      <c r="I34" s="28"/>
      <c r="J34" s="31"/>
      <c r="K34" s="15">
        <f t="shared" si="5"/>
        <v>206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206</v>
      </c>
      <c r="H35" s="16">
        <f t="shared" si="0"/>
        <v>0</v>
      </c>
      <c r="I35" s="28"/>
      <c r="J35" s="31"/>
      <c r="K35" s="15">
        <f t="shared" si="5"/>
        <v>206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206</v>
      </c>
      <c r="H36" s="16">
        <f t="shared" si="0"/>
        <v>0</v>
      </c>
      <c r="I36" s="28"/>
      <c r="J36" s="31"/>
      <c r="K36" s="15">
        <f t="shared" si="5"/>
        <v>206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206</v>
      </c>
      <c r="H37" s="16">
        <f t="shared" si="0"/>
        <v>0</v>
      </c>
      <c r="I37" s="28"/>
      <c r="J37" s="31"/>
      <c r="K37" s="15">
        <f t="shared" si="5"/>
        <v>206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206</v>
      </c>
      <c r="H38" s="16">
        <f t="shared" si="0"/>
        <v>0</v>
      </c>
      <c r="I38" s="28"/>
      <c r="J38" s="31"/>
      <c r="K38" s="15">
        <f t="shared" si="5"/>
        <v>206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14.08</v>
      </c>
      <c r="I39" s="28"/>
      <c r="J39" s="159"/>
      <c r="K39" s="160"/>
      <c r="L39" s="158">
        <f>SUM(L23:L38)</f>
        <v>19.485990893091785</v>
      </c>
      <c r="M39" s="28"/>
      <c r="N39" s="161">
        <f t="shared" si="2"/>
        <v>5.4059908930917846</v>
      </c>
      <c r="O39" s="162">
        <f t="shared" si="3"/>
        <v>0.38394821683890518</v>
      </c>
    </row>
    <row r="40" spans="1:15" ht="51">
      <c r="A40" s="163"/>
      <c r="B40" s="164" t="s">
        <v>71</v>
      </c>
      <c r="C40" s="20"/>
      <c r="D40" s="165" t="s">
        <v>24</v>
      </c>
      <c r="E40" s="20"/>
      <c r="F40" s="166"/>
      <c r="G40" s="21">
        <f t="shared" ref="G40:G46" si="6">$F$18</f>
        <v>206</v>
      </c>
      <c r="H40" s="22">
        <f t="shared" ref="H40:H48" si="7">G40*F40</f>
        <v>0</v>
      </c>
      <c r="I40" s="167"/>
      <c r="J40" s="166">
        <v>-8.4166580262031495E-4</v>
      </c>
      <c r="K40" s="21">
        <f t="shared" ref="K40:K46" si="8">$F$18</f>
        <v>206</v>
      </c>
      <c r="L40" s="22">
        <f t="shared" ref="L40:L48" si="9">K40*J40</f>
        <v>-0.17338315533978488</v>
      </c>
      <c r="M40" s="167"/>
      <c r="N40" s="168">
        <f t="shared" si="2"/>
        <v>-0.17338315533978488</v>
      </c>
      <c r="O40" s="23" t="str">
        <f t="shared" si="3"/>
        <v/>
      </c>
    </row>
    <row r="41" spans="1:15" ht="51">
      <c r="A41" s="169"/>
      <c r="B41" s="164" t="s">
        <v>72</v>
      </c>
      <c r="C41" s="20"/>
      <c r="D41" s="165" t="s">
        <v>24</v>
      </c>
      <c r="E41" s="20"/>
      <c r="F41" s="166"/>
      <c r="G41" s="21">
        <f t="shared" si="6"/>
        <v>206</v>
      </c>
      <c r="H41" s="22">
        <f t="shared" si="7"/>
        <v>0</v>
      </c>
      <c r="I41" s="167"/>
      <c r="J41" s="166">
        <v>-2.6878065725373401E-3</v>
      </c>
      <c r="K41" s="21">
        <f t="shared" si="8"/>
        <v>206</v>
      </c>
      <c r="L41" s="22">
        <f t="shared" si="9"/>
        <v>-0.55368815394269211</v>
      </c>
      <c r="M41" s="167"/>
      <c r="N41" s="168">
        <f t="shared" si="2"/>
        <v>-0.55368815394269211</v>
      </c>
      <c r="O41" s="23" t="str">
        <f t="shared" si="3"/>
        <v/>
      </c>
    </row>
    <row r="42" spans="1:15" ht="38.25">
      <c r="A42" s="169"/>
      <c r="B42" s="164" t="s">
        <v>73</v>
      </c>
      <c r="C42" s="20"/>
      <c r="D42" s="165" t="s">
        <v>24</v>
      </c>
      <c r="E42" s="20"/>
      <c r="F42" s="166"/>
      <c r="G42" s="21">
        <f t="shared" si="6"/>
        <v>206</v>
      </c>
      <c r="H42" s="22"/>
      <c r="I42" s="167"/>
      <c r="J42" s="166"/>
      <c r="K42" s="21">
        <f t="shared" si="8"/>
        <v>206</v>
      </c>
      <c r="L42" s="22">
        <f t="shared" si="9"/>
        <v>0</v>
      </c>
      <c r="M42" s="167"/>
      <c r="N42" s="168">
        <f t="shared" si="2"/>
        <v>0</v>
      </c>
      <c r="O42" s="23" t="str">
        <f t="shared" si="3"/>
        <v/>
      </c>
    </row>
    <row r="43" spans="1:15" ht="25.5">
      <c r="A43" s="169"/>
      <c r="B43" s="164" t="s">
        <v>74</v>
      </c>
      <c r="C43" s="20"/>
      <c r="D43" s="165" t="s">
        <v>19</v>
      </c>
      <c r="E43" s="20"/>
      <c r="F43" s="166"/>
      <c r="G43" s="21">
        <f t="shared" si="6"/>
        <v>206</v>
      </c>
      <c r="H43" s="22"/>
      <c r="I43" s="167"/>
      <c r="J43" s="166">
        <v>5.98030126444987E-2</v>
      </c>
      <c r="K43" s="21">
        <v>1</v>
      </c>
      <c r="L43" s="22">
        <f t="shared" si="9"/>
        <v>5.98030126444987E-2</v>
      </c>
      <c r="M43" s="167"/>
      <c r="N43" s="168">
        <f t="shared" si="2"/>
        <v>5.98030126444987E-2</v>
      </c>
      <c r="O43" s="23" t="str">
        <f t="shared" si="3"/>
        <v/>
      </c>
    </row>
    <row r="44" spans="1:15" ht="25.5">
      <c r="A44" s="163"/>
      <c r="B44" s="164" t="s">
        <v>75</v>
      </c>
      <c r="C44" s="20"/>
      <c r="D44" s="165" t="s">
        <v>24</v>
      </c>
      <c r="E44" s="20"/>
      <c r="F44" s="166"/>
      <c r="G44" s="21">
        <f t="shared" si="6"/>
        <v>206</v>
      </c>
      <c r="H44" s="22">
        <f t="shared" si="7"/>
        <v>0</v>
      </c>
      <c r="I44" s="167"/>
      <c r="J44" s="166">
        <v>-4.0468965554606601E-4</v>
      </c>
      <c r="K44" s="21">
        <f t="shared" si="8"/>
        <v>206</v>
      </c>
      <c r="L44" s="22">
        <f t="shared" si="9"/>
        <v>-8.3366069042489596E-2</v>
      </c>
      <c r="M44" s="167"/>
      <c r="N44" s="168">
        <f t="shared" si="2"/>
        <v>-8.3366069042489596E-2</v>
      </c>
      <c r="O44" s="23" t="str">
        <f t="shared" si="3"/>
        <v/>
      </c>
    </row>
    <row r="45" spans="1:15" ht="25.5">
      <c r="A45" s="163"/>
      <c r="B45" s="164" t="s">
        <v>76</v>
      </c>
      <c r="C45" s="20"/>
      <c r="D45" s="165" t="s">
        <v>24</v>
      </c>
      <c r="E45" s="20"/>
      <c r="F45" s="166"/>
      <c r="G45" s="21">
        <f t="shared" si="6"/>
        <v>206</v>
      </c>
      <c r="H45" s="22">
        <f t="shared" si="7"/>
        <v>0</v>
      </c>
      <c r="I45" s="167"/>
      <c r="J45" s="166">
        <v>2.9506096519263001E-4</v>
      </c>
      <c r="K45" s="21">
        <f t="shared" si="8"/>
        <v>206</v>
      </c>
      <c r="L45" s="22">
        <f t="shared" si="9"/>
        <v>6.0782558829681782E-2</v>
      </c>
      <c r="M45" s="167"/>
      <c r="N45" s="168">
        <f t="shared" si="2"/>
        <v>6.0782558829681782E-2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 t="shared" si="6"/>
        <v>206</v>
      </c>
      <c r="H46" s="22">
        <f t="shared" si="7"/>
        <v>0.22660000000000002</v>
      </c>
      <c r="I46" s="167"/>
      <c r="J46" s="166">
        <v>8.0000000000000004E-4</v>
      </c>
      <c r="K46" s="21">
        <f t="shared" si="8"/>
        <v>206</v>
      </c>
      <c r="L46" s="22">
        <f t="shared" si="9"/>
        <v>0.1648</v>
      </c>
      <c r="M46" s="167"/>
      <c r="N46" s="168">
        <f t="shared" si="2"/>
        <v>-6.1800000000000022E-2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8.0339999999999918</v>
      </c>
      <c r="H47" s="22">
        <f t="shared" si="7"/>
        <v>0.86494043999999914</v>
      </c>
      <c r="I47" s="167"/>
      <c r="J47" s="166">
        <f>0.64*$F$57+0.18*$F$58+0.18*$F$59</f>
        <v>0.10766000000000001</v>
      </c>
      <c r="K47" s="21">
        <f>$F$18*(1+$J$76)-$F$18</f>
        <v>9.4142000000000223</v>
      </c>
      <c r="L47" s="22">
        <f t="shared" si="9"/>
        <v>1.0135327720000025</v>
      </c>
      <c r="M47" s="167"/>
      <c r="N47" s="168">
        <f t="shared" si="2"/>
        <v>0.14859233200000332</v>
      </c>
      <c r="O47" s="24">
        <f t="shared" si="3"/>
        <v>0.17179487179487582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15.96154044</v>
      </c>
      <c r="I49" s="28"/>
      <c r="J49" s="178"/>
      <c r="K49" s="180"/>
      <c r="L49" s="179">
        <f>SUM(L40:L48)+L39</f>
        <v>20.764471858241002</v>
      </c>
      <c r="M49" s="28"/>
      <c r="N49" s="161">
        <f t="shared" si="2"/>
        <v>4.8029314182410019</v>
      </c>
      <c r="O49" s="162">
        <f t="shared" ref="O49:O67" si="10">IF((H49)=0,"",(N49/H49))</f>
        <v>0.30090650938707281</v>
      </c>
    </row>
    <row r="50" spans="2:19">
      <c r="B50" s="181" t="s">
        <v>31</v>
      </c>
      <c r="C50" s="28"/>
      <c r="D50" s="182" t="s">
        <v>24</v>
      </c>
      <c r="E50" s="28"/>
      <c r="F50" s="31">
        <v>6.3E-3</v>
      </c>
      <c r="G50" s="29">
        <f>F18*(1+F76)</f>
        <v>214.03399999999999</v>
      </c>
      <c r="H50" s="16">
        <f>G50*F50</f>
        <v>1.3484141999999999</v>
      </c>
      <c r="I50" s="28"/>
      <c r="J50" s="31">
        <v>5.9083602245513902E-3</v>
      </c>
      <c r="K50" s="30">
        <f>F18*(1+J76)</f>
        <v>215.41420000000002</v>
      </c>
      <c r="L50" s="16">
        <f>K50*J50</f>
        <v>1.2727446910835583</v>
      </c>
      <c r="M50" s="28"/>
      <c r="N50" s="149">
        <f t="shared" si="2"/>
        <v>-7.5669508916441641E-2</v>
      </c>
      <c r="O50" s="18">
        <f t="shared" si="10"/>
        <v>-5.6117407334068156E-2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4.4999999999999997E-3</v>
      </c>
      <c r="G51" s="29">
        <f>G50</f>
        <v>214.03399999999999</v>
      </c>
      <c r="H51" s="16">
        <f>G51*F51</f>
        <v>0.96315299999999993</v>
      </c>
      <c r="I51" s="28"/>
      <c r="J51" s="31">
        <v>4.5291837326333203E-3</v>
      </c>
      <c r="K51" s="30">
        <f>K50</f>
        <v>215.41420000000002</v>
      </c>
      <c r="L51" s="16">
        <f>K51*J51</f>
        <v>0.97565049041822072</v>
      </c>
      <c r="M51" s="28"/>
      <c r="N51" s="149">
        <f t="shared" si="2"/>
        <v>1.2497490418220791E-2</v>
      </c>
      <c r="O51" s="18">
        <f t="shared" si="10"/>
        <v>1.2975602441378256E-2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18.273107639999999</v>
      </c>
      <c r="I52" s="185"/>
      <c r="J52" s="186"/>
      <c r="K52" s="187"/>
      <c r="L52" s="179">
        <f>SUM(L49:L51)</f>
        <v>23.012867039742783</v>
      </c>
      <c r="M52" s="185"/>
      <c r="N52" s="161">
        <f t="shared" si="2"/>
        <v>4.739759399742784</v>
      </c>
      <c r="O52" s="162">
        <f t="shared" si="10"/>
        <v>0.25938441851934413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214.03399999999999</v>
      </c>
      <c r="H53" s="16">
        <f t="shared" ref="H53:H59" si="11">G53*F53</f>
        <v>0.77052239999999994</v>
      </c>
      <c r="I53" s="28"/>
      <c r="J53" s="31">
        <v>3.5999999999999999E-3</v>
      </c>
      <c r="K53" s="30">
        <f>K51</f>
        <v>215.41420000000002</v>
      </c>
      <c r="L53" s="16">
        <f t="shared" ref="L53:L59" si="12">K53*J53</f>
        <v>0.77549112000000009</v>
      </c>
      <c r="M53" s="28"/>
      <c r="N53" s="149">
        <f t="shared" si="2"/>
        <v>4.9687200000001486E-3</v>
      </c>
      <c r="O53" s="18">
        <f t="shared" si="10"/>
        <v>6.4485081809434082E-3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214.03399999999999</v>
      </c>
      <c r="H54" s="16">
        <f t="shared" si="11"/>
        <v>0.2782442</v>
      </c>
      <c r="I54" s="28"/>
      <c r="J54" s="31">
        <v>1.2999999999999999E-3</v>
      </c>
      <c r="K54" s="30">
        <f>K51</f>
        <v>215.41420000000002</v>
      </c>
      <c r="L54" s="16">
        <f t="shared" si="12"/>
        <v>0.28003845999999999</v>
      </c>
      <c r="M54" s="28"/>
      <c r="N54" s="149">
        <f t="shared" si="2"/>
        <v>1.794259999999992E-3</v>
      </c>
      <c r="O54" s="18">
        <f t="shared" si="10"/>
        <v>6.4485081809431861E-3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206</v>
      </c>
      <c r="H56" s="16">
        <f t="shared" si="11"/>
        <v>0.22660000000000002</v>
      </c>
      <c r="I56" s="28"/>
      <c r="J56" s="31">
        <v>1.1000000000000001E-3</v>
      </c>
      <c r="K56" s="30">
        <f>F18</f>
        <v>206</v>
      </c>
      <c r="L56" s="16">
        <f t="shared" si="12"/>
        <v>0.22660000000000002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131.84</v>
      </c>
      <c r="H57" s="16">
        <f t="shared" si="11"/>
        <v>10.942720000000001</v>
      </c>
      <c r="I57" s="28"/>
      <c r="J57" s="31">
        <v>8.3000000000000004E-2</v>
      </c>
      <c r="K57" s="189">
        <f>G57</f>
        <v>131.84</v>
      </c>
      <c r="L57" s="16">
        <f t="shared" si="12"/>
        <v>10.942720000000001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37.08</v>
      </c>
      <c r="H58" s="16">
        <f t="shared" si="11"/>
        <v>4.7462400000000002</v>
      </c>
      <c r="I58" s="28"/>
      <c r="J58" s="31">
        <v>0.128</v>
      </c>
      <c r="K58" s="189">
        <f>G58</f>
        <v>37.08</v>
      </c>
      <c r="L58" s="16">
        <f t="shared" si="12"/>
        <v>4.7462400000000002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37.08</v>
      </c>
      <c r="H59" s="16">
        <f t="shared" si="11"/>
        <v>6.488999999999999</v>
      </c>
      <c r="I59" s="28"/>
      <c r="J59" s="31">
        <v>0.17499999999999999</v>
      </c>
      <c r="K59" s="189">
        <f>G59</f>
        <v>37.08</v>
      </c>
      <c r="L59" s="16">
        <f t="shared" si="12"/>
        <v>6.488999999999999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206</v>
      </c>
      <c r="H60" s="16">
        <f>G60*F60</f>
        <v>20.394000000000002</v>
      </c>
      <c r="I60" s="193"/>
      <c r="J60" s="31">
        <v>9.9000000000000005E-2</v>
      </c>
      <c r="K60" s="192">
        <f>G60</f>
        <v>206</v>
      </c>
      <c r="L60" s="16">
        <f>K60*J60</f>
        <v>20.394000000000002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0.11600000000000001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41.976434239999996</v>
      </c>
      <c r="I63" s="37"/>
      <c r="J63" s="38"/>
      <c r="K63" s="38"/>
      <c r="L63" s="36">
        <f>SUM(L53:L59,L52)</f>
        <v>46.722956619742789</v>
      </c>
      <c r="M63" s="39"/>
      <c r="N63" s="40">
        <f>L63-H63</f>
        <v>4.7465223797427925</v>
      </c>
      <c r="O63" s="41">
        <f>IF((H63)=0,"",(N63/H63))</f>
        <v>0.11307588330644239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5.4569364511999998</v>
      </c>
      <c r="I64" s="46"/>
      <c r="J64" s="47">
        <v>0.13</v>
      </c>
      <c r="K64" s="46"/>
      <c r="L64" s="48">
        <f>L63*J64</f>
        <v>6.0739843605665627</v>
      </c>
      <c r="M64" s="49"/>
      <c r="N64" s="50">
        <f t="shared" si="2"/>
        <v>0.61704790936656284</v>
      </c>
      <c r="O64" s="18">
        <f t="shared" si="10"/>
        <v>0.11307588330644236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47.433370691199997</v>
      </c>
      <c r="I65" s="46"/>
      <c r="J65" s="46"/>
      <c r="K65" s="46"/>
      <c r="L65" s="48">
        <f>L63+L64</f>
        <v>52.796940980309351</v>
      </c>
      <c r="M65" s="49"/>
      <c r="N65" s="50">
        <f t="shared" si="2"/>
        <v>5.3635702891093544</v>
      </c>
      <c r="O65" s="18">
        <f t="shared" si="10"/>
        <v>0.11307588330644237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-4.74</v>
      </c>
      <c r="I66" s="46"/>
      <c r="J66" s="46"/>
      <c r="K66" s="46"/>
      <c r="L66" s="53">
        <f>ROUND(-L65*0.1,2)</f>
        <v>-5.28</v>
      </c>
      <c r="M66" s="49"/>
      <c r="N66" s="54">
        <f t="shared" si="2"/>
        <v>-0.54</v>
      </c>
      <c r="O66" s="55">
        <f t="shared" si="10"/>
        <v>0.11392405063291139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42.693370691199995</v>
      </c>
      <c r="I67" s="210"/>
      <c r="J67" s="210"/>
      <c r="K67" s="210"/>
      <c r="L67" s="211">
        <f>L65+L66</f>
        <v>47.51694098030935</v>
      </c>
      <c r="M67" s="212"/>
      <c r="N67" s="213">
        <f t="shared" si="2"/>
        <v>4.8235702891093553</v>
      </c>
      <c r="O67" s="214">
        <f t="shared" si="10"/>
        <v>0.11298171615443788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40.192474239999996</v>
      </c>
      <c r="I69" s="60"/>
      <c r="J69" s="61"/>
      <c r="K69" s="61"/>
      <c r="L69" s="59">
        <f>SUM(L60:L61,L52,L53:L56)</f>
        <v>44.938996619742781</v>
      </c>
      <c r="M69" s="62"/>
      <c r="N69" s="63">
        <f>L69-H69</f>
        <v>4.7465223797427853</v>
      </c>
      <c r="O69" s="41">
        <f>IF((H69)=0,"",(N69/H69))</f>
        <v>0.11809480430092541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5.2250216511999996</v>
      </c>
      <c r="I70" s="67"/>
      <c r="J70" s="68">
        <v>0.13</v>
      </c>
      <c r="K70" s="69"/>
      <c r="L70" s="70">
        <f>L69*J70</f>
        <v>5.8420695605665616</v>
      </c>
      <c r="M70" s="71"/>
      <c r="N70" s="72">
        <f>L70-H70</f>
        <v>0.61704790936656195</v>
      </c>
      <c r="O70" s="18">
        <f>IF((H70)=0,"",(N70/H70))</f>
        <v>0.11809480430092538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45.417495891199998</v>
      </c>
      <c r="I71" s="67"/>
      <c r="J71" s="67"/>
      <c r="K71" s="67"/>
      <c r="L71" s="70">
        <f>L69+L70</f>
        <v>50.781066180309345</v>
      </c>
      <c r="M71" s="71"/>
      <c r="N71" s="72">
        <f>L71-H71</f>
        <v>5.3635702891093473</v>
      </c>
      <c r="O71" s="18">
        <f>IF((H71)=0,"",(N71/H71))</f>
        <v>0.11809480430092541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-4.54</v>
      </c>
      <c r="I72" s="67"/>
      <c r="J72" s="67"/>
      <c r="K72" s="67"/>
      <c r="L72" s="76">
        <f>ROUND(-L71*0.1,2)</f>
        <v>-5.08</v>
      </c>
      <c r="M72" s="71"/>
      <c r="N72" s="77">
        <f>L72-H72</f>
        <v>-0.54</v>
      </c>
      <c r="O72" s="55">
        <f>IF((H72)=0,"",(N72/H72))</f>
        <v>0.11894273127753305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40.877495891199999</v>
      </c>
      <c r="I73" s="60"/>
      <c r="J73" s="60"/>
      <c r="K73" s="60"/>
      <c r="L73" s="223">
        <f>SUM(L71:L72)</f>
        <v>45.701066180309347</v>
      </c>
      <c r="M73" s="62"/>
      <c r="N73" s="63">
        <f>L73-H73</f>
        <v>4.8235702891093482</v>
      </c>
      <c r="O73" s="41">
        <f>IF((H73)=0,"",(N73/H73))</f>
        <v>0.11800063051679625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7">
    <pageSetUpPr fitToPage="1"/>
  </sheetPr>
  <dimension ref="A1:T92"/>
  <sheetViews>
    <sheetView showGridLines="0" topLeftCell="A43" workbookViewId="0">
      <selection activeCell="J27" sqref="J2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3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800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10.99</v>
      </c>
      <c r="G23" s="15">
        <v>1</v>
      </c>
      <c r="H23" s="16">
        <f>G23*F23</f>
        <v>10.99</v>
      </c>
      <c r="I23" s="28"/>
      <c r="J23" s="148">
        <v>14.59</v>
      </c>
      <c r="K23" s="17">
        <v>1</v>
      </c>
      <c r="L23" s="16">
        <f>K23*J23</f>
        <v>14.59</v>
      </c>
      <c r="M23" s="28"/>
      <c r="N23" s="149">
        <f>L23-H23</f>
        <v>3.5999999999999996</v>
      </c>
      <c r="O23" s="18">
        <f>IF((H23)=0,"",(N23/H23))</f>
        <v>0.32757051865332115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v>0.44513504962976203</v>
      </c>
      <c r="K25" s="17">
        <v>1</v>
      </c>
      <c r="L25" s="16">
        <f t="shared" ref="L25:L38" si="1">K25*J25</f>
        <v>0.44513504962976203</v>
      </c>
      <c r="M25" s="28"/>
      <c r="N25" s="149">
        <f t="shared" ref="N25:N67" si="2">L25-H25</f>
        <v>0.44513504962976203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v>1.4999999999999999E-2</v>
      </c>
      <c r="G29" s="15">
        <f t="shared" ref="G29:G38" si="4">$F$18</f>
        <v>800</v>
      </c>
      <c r="H29" s="16">
        <f t="shared" si="0"/>
        <v>12</v>
      </c>
      <c r="I29" s="28"/>
      <c r="J29" s="31">
        <v>1.34507565216603E-2</v>
      </c>
      <c r="K29" s="15">
        <f>$F$18</f>
        <v>800</v>
      </c>
      <c r="L29" s="16">
        <f t="shared" si="1"/>
        <v>10.760605217328239</v>
      </c>
      <c r="M29" s="28"/>
      <c r="N29" s="149">
        <f t="shared" si="2"/>
        <v>-1.2393947826717611</v>
      </c>
      <c r="O29" s="18">
        <f t="shared" si="3"/>
        <v>-0.10328289855598009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800</v>
      </c>
      <c r="H30" s="16">
        <f t="shared" si="0"/>
        <v>0</v>
      </c>
      <c r="I30" s="28"/>
      <c r="J30" s="31"/>
      <c r="K30" s="15">
        <f t="shared" ref="K30:K38" si="5">$F$18</f>
        <v>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800</v>
      </c>
      <c r="H31" s="16">
        <f t="shared" si="0"/>
        <v>0</v>
      </c>
      <c r="I31" s="28"/>
      <c r="J31" s="31"/>
      <c r="K31" s="15">
        <f t="shared" si="5"/>
        <v>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800</v>
      </c>
      <c r="H32" s="16">
        <f>G32*F32</f>
        <v>0</v>
      </c>
      <c r="I32" s="28"/>
      <c r="J32" s="31"/>
      <c r="K32" s="15">
        <f t="shared" si="5"/>
        <v>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800</v>
      </c>
      <c r="H33" s="16">
        <f>G33*F33</f>
        <v>0</v>
      </c>
      <c r="I33" s="28"/>
      <c r="J33" s="31"/>
      <c r="K33" s="15">
        <f t="shared" si="5"/>
        <v>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800</v>
      </c>
      <c r="H34" s="16">
        <f>G34*F34</f>
        <v>0</v>
      </c>
      <c r="I34" s="28"/>
      <c r="J34" s="31"/>
      <c r="K34" s="15">
        <f t="shared" si="5"/>
        <v>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800</v>
      </c>
      <c r="H35" s="16">
        <f t="shared" si="0"/>
        <v>0</v>
      </c>
      <c r="I35" s="28"/>
      <c r="J35" s="31"/>
      <c r="K35" s="15">
        <f t="shared" si="5"/>
        <v>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800</v>
      </c>
      <c r="H36" s="16">
        <f t="shared" si="0"/>
        <v>0</v>
      </c>
      <c r="I36" s="28"/>
      <c r="J36" s="31"/>
      <c r="K36" s="15">
        <f t="shared" si="5"/>
        <v>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800</v>
      </c>
      <c r="H37" s="16">
        <f t="shared" si="0"/>
        <v>0</v>
      </c>
      <c r="I37" s="28"/>
      <c r="J37" s="31"/>
      <c r="K37" s="15">
        <f t="shared" si="5"/>
        <v>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800</v>
      </c>
      <c r="H38" s="16">
        <f t="shared" si="0"/>
        <v>0</v>
      </c>
      <c r="I38" s="28"/>
      <c r="J38" s="31"/>
      <c r="K38" s="15">
        <f t="shared" si="5"/>
        <v>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22.990000000000002</v>
      </c>
      <c r="I39" s="28"/>
      <c r="J39" s="159"/>
      <c r="K39" s="160"/>
      <c r="L39" s="158">
        <f>SUM(L23:L38)</f>
        <v>27.475740266957999</v>
      </c>
      <c r="M39" s="28"/>
      <c r="N39" s="161">
        <f t="shared" si="2"/>
        <v>4.4857402669579969</v>
      </c>
      <c r="O39" s="162">
        <f t="shared" si="3"/>
        <v>0.19511701900643744</v>
      </c>
    </row>
    <row r="40" spans="1:15" ht="51">
      <c r="A40" s="163"/>
      <c r="B40" s="164" t="s">
        <v>71</v>
      </c>
      <c r="C40" s="20"/>
      <c r="D40" s="165" t="s">
        <v>24</v>
      </c>
      <c r="E40" s="20"/>
      <c r="F40" s="166"/>
      <c r="G40" s="21">
        <f t="shared" ref="G40:G46" si="6">$F$18</f>
        <v>800</v>
      </c>
      <c r="H40" s="22">
        <f t="shared" ref="H40:H48" si="7">G40*F40</f>
        <v>0</v>
      </c>
      <c r="I40" s="167"/>
      <c r="J40" s="166">
        <v>-8.4166580262031495E-4</v>
      </c>
      <c r="K40" s="21">
        <f t="shared" ref="K40:K46" si="8">$F$18</f>
        <v>800</v>
      </c>
      <c r="L40" s="22">
        <f t="shared" ref="L40:L48" si="9">K40*J40</f>
        <v>-0.67333264209625199</v>
      </c>
      <c r="M40" s="167"/>
      <c r="N40" s="168">
        <f t="shared" si="2"/>
        <v>-0.67333264209625199</v>
      </c>
      <c r="O40" s="23" t="str">
        <f t="shared" si="3"/>
        <v/>
      </c>
    </row>
    <row r="41" spans="1:15" ht="51">
      <c r="A41" s="169"/>
      <c r="B41" s="164" t="s">
        <v>72</v>
      </c>
      <c r="C41" s="20"/>
      <c r="D41" s="165" t="s">
        <v>24</v>
      </c>
      <c r="E41" s="20"/>
      <c r="F41" s="166"/>
      <c r="G41" s="21">
        <f t="shared" si="6"/>
        <v>800</v>
      </c>
      <c r="H41" s="22">
        <f t="shared" si="7"/>
        <v>0</v>
      </c>
      <c r="I41" s="167"/>
      <c r="J41" s="166">
        <v>-2.6878065725373401E-3</v>
      </c>
      <c r="K41" s="21">
        <f t="shared" si="8"/>
        <v>800</v>
      </c>
      <c r="L41" s="22">
        <f t="shared" si="9"/>
        <v>-2.1502452580298721</v>
      </c>
      <c r="M41" s="167"/>
      <c r="N41" s="168">
        <f t="shared" si="2"/>
        <v>-2.1502452580298721</v>
      </c>
      <c r="O41" s="23" t="str">
        <f t="shared" si="3"/>
        <v/>
      </c>
    </row>
    <row r="42" spans="1:15" ht="38.25">
      <c r="A42" s="169"/>
      <c r="B42" s="164" t="s">
        <v>73</v>
      </c>
      <c r="C42" s="20"/>
      <c r="D42" s="165" t="s">
        <v>24</v>
      </c>
      <c r="E42" s="20"/>
      <c r="F42" s="166"/>
      <c r="G42" s="21">
        <f t="shared" si="6"/>
        <v>800</v>
      </c>
      <c r="H42" s="22"/>
      <c r="I42" s="167"/>
      <c r="J42" s="166"/>
      <c r="K42" s="21">
        <f t="shared" si="8"/>
        <v>800</v>
      </c>
      <c r="L42" s="22">
        <f t="shared" si="9"/>
        <v>0</v>
      </c>
      <c r="M42" s="167"/>
      <c r="N42" s="168">
        <f t="shared" si="2"/>
        <v>0</v>
      </c>
      <c r="O42" s="23" t="str">
        <f t="shared" si="3"/>
        <v/>
      </c>
    </row>
    <row r="43" spans="1:15" ht="25.5">
      <c r="A43" s="169"/>
      <c r="B43" s="164" t="s">
        <v>74</v>
      </c>
      <c r="C43" s="20"/>
      <c r="D43" s="165" t="s">
        <v>19</v>
      </c>
      <c r="E43" s="20"/>
      <c r="F43" s="166"/>
      <c r="G43" s="21">
        <f t="shared" si="6"/>
        <v>800</v>
      </c>
      <c r="H43" s="22"/>
      <c r="I43" s="167"/>
      <c r="J43" s="166">
        <v>5.98030126444987E-2</v>
      </c>
      <c r="K43" s="21">
        <v>1</v>
      </c>
      <c r="L43" s="22">
        <f t="shared" si="9"/>
        <v>5.98030126444987E-2</v>
      </c>
      <c r="M43" s="167"/>
      <c r="N43" s="168">
        <f t="shared" si="2"/>
        <v>5.98030126444987E-2</v>
      </c>
      <c r="O43" s="23" t="str">
        <f t="shared" si="3"/>
        <v/>
      </c>
    </row>
    <row r="44" spans="1:15" ht="25.5">
      <c r="A44" s="163"/>
      <c r="B44" s="164" t="s">
        <v>75</v>
      </c>
      <c r="C44" s="20"/>
      <c r="D44" s="165" t="s">
        <v>24</v>
      </c>
      <c r="E44" s="20"/>
      <c r="F44" s="166"/>
      <c r="G44" s="21">
        <f t="shared" si="6"/>
        <v>800</v>
      </c>
      <c r="H44" s="22">
        <f t="shared" si="7"/>
        <v>0</v>
      </c>
      <c r="I44" s="167"/>
      <c r="J44" s="166">
        <v>-4.0468965554606601E-4</v>
      </c>
      <c r="K44" s="21">
        <f t="shared" si="8"/>
        <v>800</v>
      </c>
      <c r="L44" s="22">
        <f t="shared" si="9"/>
        <v>-0.32375172443685279</v>
      </c>
      <c r="M44" s="167"/>
      <c r="N44" s="168">
        <f t="shared" si="2"/>
        <v>-0.32375172443685279</v>
      </c>
      <c r="O44" s="23" t="str">
        <f t="shared" si="3"/>
        <v/>
      </c>
    </row>
    <row r="45" spans="1:15" ht="25.5">
      <c r="A45" s="163"/>
      <c r="B45" s="164" t="s">
        <v>76</v>
      </c>
      <c r="C45" s="20"/>
      <c r="D45" s="165" t="s">
        <v>24</v>
      </c>
      <c r="E45" s="20"/>
      <c r="F45" s="166"/>
      <c r="G45" s="21">
        <f t="shared" si="6"/>
        <v>800</v>
      </c>
      <c r="H45" s="22">
        <f t="shared" si="7"/>
        <v>0</v>
      </c>
      <c r="I45" s="167"/>
      <c r="J45" s="166">
        <v>2.9506096519263001E-4</v>
      </c>
      <c r="K45" s="21">
        <f t="shared" si="8"/>
        <v>800</v>
      </c>
      <c r="L45" s="22">
        <f t="shared" si="9"/>
        <v>0.23604877215410403</v>
      </c>
      <c r="M45" s="167"/>
      <c r="N45" s="168">
        <f t="shared" si="2"/>
        <v>0.23604877215410403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 t="shared" si="6"/>
        <v>800</v>
      </c>
      <c r="H46" s="22">
        <f t="shared" si="7"/>
        <v>0.88</v>
      </c>
      <c r="I46" s="167"/>
      <c r="J46" s="166">
        <v>8.0000000000000004E-4</v>
      </c>
      <c r="K46" s="21">
        <f t="shared" si="8"/>
        <v>800</v>
      </c>
      <c r="L46" s="22">
        <f t="shared" si="9"/>
        <v>0.64</v>
      </c>
      <c r="M46" s="167"/>
      <c r="N46" s="168">
        <f t="shared" si="2"/>
        <v>-0.24</v>
      </c>
      <c r="O46" s="24">
        <f>IF((H46)=0,"",(N46/H46))</f>
        <v>-0.27272727272727271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31.199999999999932</v>
      </c>
      <c r="H47" s="22">
        <f t="shared" si="7"/>
        <v>3.3589919999999927</v>
      </c>
      <c r="I47" s="167"/>
      <c r="J47" s="166">
        <f>0.64*$F$57+0.18*$F$58+0.18*$F$59</f>
        <v>0.10766000000000001</v>
      </c>
      <c r="K47" s="21">
        <f>$F$18*(1+$J$76)-$F$18</f>
        <v>36.560000000000059</v>
      </c>
      <c r="L47" s="22">
        <f t="shared" si="9"/>
        <v>3.9360496000000067</v>
      </c>
      <c r="M47" s="167"/>
      <c r="N47" s="168">
        <f t="shared" si="2"/>
        <v>0.57705760000001405</v>
      </c>
      <c r="O47" s="24">
        <f t="shared" si="3"/>
        <v>0.17179487179487635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28.018991999999994</v>
      </c>
      <c r="I49" s="28"/>
      <c r="J49" s="178"/>
      <c r="K49" s="180"/>
      <c r="L49" s="179">
        <f>SUM(L40:L48)+L39</f>
        <v>29.990312027193632</v>
      </c>
      <c r="M49" s="28"/>
      <c r="N49" s="161">
        <f t="shared" si="2"/>
        <v>1.971320027193638</v>
      </c>
      <c r="O49" s="162">
        <f t="shared" ref="O49:O67" si="10">IF((H49)=0,"",(N49/H49))</f>
        <v>7.0356564832654886E-2</v>
      </c>
    </row>
    <row r="50" spans="2:19">
      <c r="B50" s="181" t="s">
        <v>31</v>
      </c>
      <c r="C50" s="28"/>
      <c r="D50" s="182" t="s">
        <v>24</v>
      </c>
      <c r="E50" s="28"/>
      <c r="F50" s="31">
        <v>6.3E-3</v>
      </c>
      <c r="G50" s="29">
        <f>F18*(1+F76)</f>
        <v>831.19999999999993</v>
      </c>
      <c r="H50" s="16">
        <f>G50*F50</f>
        <v>5.2365599999999999</v>
      </c>
      <c r="I50" s="28"/>
      <c r="J50" s="31">
        <v>5.9083602245513902E-3</v>
      </c>
      <c r="K50" s="30">
        <f>F18*(1+J76)</f>
        <v>836.56000000000006</v>
      </c>
      <c r="L50" s="16">
        <f>K50*J50</f>
        <v>4.9426978294507116</v>
      </c>
      <c r="M50" s="28"/>
      <c r="N50" s="149">
        <f t="shared" si="2"/>
        <v>-0.29386217054928832</v>
      </c>
      <c r="O50" s="18">
        <f t="shared" si="10"/>
        <v>-5.6117407334068226E-2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4.4999999999999997E-3</v>
      </c>
      <c r="G51" s="29">
        <f>G50</f>
        <v>831.19999999999993</v>
      </c>
      <c r="H51" s="16">
        <f>G51*F51</f>
        <v>3.7403999999999993</v>
      </c>
      <c r="I51" s="28"/>
      <c r="J51" s="31">
        <v>4.5291837326333203E-3</v>
      </c>
      <c r="K51" s="30">
        <f>K50</f>
        <v>836.56000000000006</v>
      </c>
      <c r="L51" s="16">
        <f>K51*J51</f>
        <v>3.7889339433717306</v>
      </c>
      <c r="M51" s="28"/>
      <c r="N51" s="149">
        <f t="shared" si="2"/>
        <v>4.8533943371731336E-2</v>
      </c>
      <c r="O51" s="18">
        <f t="shared" si="10"/>
        <v>1.2975602441378287E-2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36.995951999999996</v>
      </c>
      <c r="I52" s="185"/>
      <c r="J52" s="186"/>
      <c r="K52" s="187"/>
      <c r="L52" s="179">
        <f>SUM(L49:L51)</f>
        <v>38.721943800016078</v>
      </c>
      <c r="M52" s="185"/>
      <c r="N52" s="161">
        <f t="shared" si="2"/>
        <v>1.7259918000160823</v>
      </c>
      <c r="O52" s="162">
        <f t="shared" si="10"/>
        <v>4.665353117595359E-2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831.19999999999993</v>
      </c>
      <c r="H53" s="16">
        <f t="shared" ref="H53:H59" si="11">G53*F53</f>
        <v>2.9923199999999999</v>
      </c>
      <c r="I53" s="28"/>
      <c r="J53" s="31">
        <v>3.5999999999999999E-3</v>
      </c>
      <c r="K53" s="30">
        <f>K51</f>
        <v>836.56000000000006</v>
      </c>
      <c r="L53" s="16">
        <f t="shared" ref="L53:L59" si="12">K53*J53</f>
        <v>3.0116160000000001</v>
      </c>
      <c r="M53" s="28"/>
      <c r="N53" s="149">
        <f t="shared" si="2"/>
        <v>1.9296000000000202E-2</v>
      </c>
      <c r="O53" s="18">
        <f t="shared" si="10"/>
        <v>6.4485081809432824E-3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831.19999999999993</v>
      </c>
      <c r="H54" s="16">
        <f t="shared" si="11"/>
        <v>1.08056</v>
      </c>
      <c r="I54" s="28"/>
      <c r="J54" s="31">
        <v>1.2999999999999999E-3</v>
      </c>
      <c r="K54" s="30">
        <f>K51</f>
        <v>836.56000000000006</v>
      </c>
      <c r="L54" s="16">
        <f t="shared" si="12"/>
        <v>1.0875280000000001</v>
      </c>
      <c r="M54" s="28"/>
      <c r="N54" s="149">
        <f t="shared" si="2"/>
        <v>6.9680000000000852E-3</v>
      </c>
      <c r="O54" s="18">
        <f t="shared" si="10"/>
        <v>6.4485081809432937E-3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800</v>
      </c>
      <c r="H56" s="16">
        <f t="shared" si="11"/>
        <v>0.88</v>
      </c>
      <c r="I56" s="28"/>
      <c r="J56" s="31">
        <v>1.1000000000000001E-3</v>
      </c>
      <c r="K56" s="30">
        <f>F18</f>
        <v>800</v>
      </c>
      <c r="L56" s="16">
        <f t="shared" si="12"/>
        <v>0.88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512</v>
      </c>
      <c r="H57" s="16">
        <f t="shared" si="11"/>
        <v>42.496000000000002</v>
      </c>
      <c r="I57" s="28"/>
      <c r="J57" s="31">
        <v>8.3000000000000004E-2</v>
      </c>
      <c r="K57" s="189">
        <f>G57</f>
        <v>512</v>
      </c>
      <c r="L57" s="16">
        <f t="shared" si="12"/>
        <v>42.496000000000002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144</v>
      </c>
      <c r="H58" s="16">
        <f t="shared" si="11"/>
        <v>18.432000000000002</v>
      </c>
      <c r="I58" s="28"/>
      <c r="J58" s="31">
        <v>0.128</v>
      </c>
      <c r="K58" s="189">
        <f>G58</f>
        <v>144</v>
      </c>
      <c r="L58" s="16">
        <f t="shared" si="12"/>
        <v>18.432000000000002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144</v>
      </c>
      <c r="H59" s="16">
        <f t="shared" si="11"/>
        <v>25.2</v>
      </c>
      <c r="I59" s="28"/>
      <c r="J59" s="31">
        <v>0.17499999999999999</v>
      </c>
      <c r="K59" s="189">
        <f>G59</f>
        <v>144</v>
      </c>
      <c r="L59" s="16">
        <f t="shared" si="12"/>
        <v>25.2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59.400000000000006</v>
      </c>
      <c r="I60" s="193"/>
      <c r="J60" s="31">
        <v>9.9000000000000005E-2</v>
      </c>
      <c r="K60" s="192">
        <f>G60</f>
        <v>600</v>
      </c>
      <c r="L60" s="16">
        <f>K60*J60</f>
        <v>59.400000000000006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200</v>
      </c>
      <c r="H61" s="16">
        <f>G61*F61</f>
        <v>23.200000000000003</v>
      </c>
      <c r="I61" s="193"/>
      <c r="J61" s="31">
        <v>0.11600000000000001</v>
      </c>
      <c r="K61" s="192">
        <f>G61</f>
        <v>200</v>
      </c>
      <c r="L61" s="16">
        <f>K61*J61</f>
        <v>23.200000000000003</v>
      </c>
      <c r="M61" s="193"/>
      <c r="N61" s="194">
        <f t="shared" si="2"/>
        <v>0</v>
      </c>
      <c r="O61" s="18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128.326832</v>
      </c>
      <c r="I63" s="37"/>
      <c r="J63" s="38"/>
      <c r="K63" s="38"/>
      <c r="L63" s="36">
        <f>SUM(L53:L59,L52)</f>
        <v>130.07908780001608</v>
      </c>
      <c r="M63" s="39"/>
      <c r="N63" s="40">
        <f>L63-H63</f>
        <v>1.7522558000160871</v>
      </c>
      <c r="O63" s="41">
        <f>IF((H63)=0,"",(N63/H63))</f>
        <v>1.365463303898975E-2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16.682488159999998</v>
      </c>
      <c r="I64" s="46"/>
      <c r="J64" s="47">
        <v>0.13</v>
      </c>
      <c r="K64" s="46"/>
      <c r="L64" s="48">
        <f>L63*J64</f>
        <v>16.910281414002093</v>
      </c>
      <c r="M64" s="49"/>
      <c r="N64" s="50">
        <f t="shared" si="2"/>
        <v>0.22779325400209416</v>
      </c>
      <c r="O64" s="18">
        <f t="shared" si="10"/>
        <v>1.3654633038989922E-2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145.00932015999999</v>
      </c>
      <c r="I65" s="46"/>
      <c r="J65" s="46"/>
      <c r="K65" s="46"/>
      <c r="L65" s="48">
        <f>L63+L64</f>
        <v>146.98936921401818</v>
      </c>
      <c r="M65" s="49"/>
      <c r="N65" s="50">
        <f t="shared" si="2"/>
        <v>1.9800490540181954</v>
      </c>
      <c r="O65" s="18">
        <f t="shared" si="10"/>
        <v>1.3654633038989868E-2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-14.5</v>
      </c>
      <c r="I66" s="46"/>
      <c r="J66" s="46"/>
      <c r="K66" s="46"/>
      <c r="L66" s="53">
        <f>ROUND(-L65*0.1,2)</f>
        <v>-14.7</v>
      </c>
      <c r="M66" s="49"/>
      <c r="N66" s="54">
        <f t="shared" si="2"/>
        <v>-0.19999999999999929</v>
      </c>
      <c r="O66" s="55">
        <f t="shared" si="10"/>
        <v>1.3793103448275813E-2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130.50932015999999</v>
      </c>
      <c r="I67" s="210"/>
      <c r="J67" s="210"/>
      <c r="K67" s="210"/>
      <c r="L67" s="211">
        <f>L65+L66</f>
        <v>132.28936921401819</v>
      </c>
      <c r="M67" s="212"/>
      <c r="N67" s="213">
        <f t="shared" si="2"/>
        <v>1.7800490540182068</v>
      </c>
      <c r="O67" s="214">
        <f t="shared" si="10"/>
        <v>1.3639248536701648E-2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124.79883200000002</v>
      </c>
      <c r="I69" s="60"/>
      <c r="J69" s="61"/>
      <c r="K69" s="61"/>
      <c r="L69" s="59">
        <f>SUM(L60:L61,L52,L53:L56)</f>
        <v>126.55108780001609</v>
      </c>
      <c r="M69" s="62"/>
      <c r="N69" s="63">
        <f>L69-H69</f>
        <v>1.7522558000160728</v>
      </c>
      <c r="O69" s="41">
        <f>IF((H69)=0,"",(N69/H69))</f>
        <v>1.4040642624091807E-2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16.223848160000003</v>
      </c>
      <c r="I70" s="67"/>
      <c r="J70" s="68">
        <v>0.13</v>
      </c>
      <c r="K70" s="69"/>
      <c r="L70" s="70">
        <f>L69*J70</f>
        <v>16.451641414002093</v>
      </c>
      <c r="M70" s="71"/>
      <c r="N70" s="72">
        <f>L70-H70</f>
        <v>0.22779325400209061</v>
      </c>
      <c r="O70" s="18">
        <f>IF((H70)=0,"",(N70/H70))</f>
        <v>1.4040642624091876E-2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141.02268016000002</v>
      </c>
      <c r="I71" s="67"/>
      <c r="J71" s="67"/>
      <c r="K71" s="67"/>
      <c r="L71" s="70">
        <f>L69+L70</f>
        <v>143.00272921401819</v>
      </c>
      <c r="M71" s="71"/>
      <c r="N71" s="72">
        <f>L71-H71</f>
        <v>1.980049054018167</v>
      </c>
      <c r="O71" s="18">
        <f>IF((H71)=0,"",(N71/H71))</f>
        <v>1.404064262409184E-2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-14.1</v>
      </c>
      <c r="I72" s="67"/>
      <c r="J72" s="67"/>
      <c r="K72" s="67"/>
      <c r="L72" s="76">
        <f>ROUND(-L71*0.1,2)</f>
        <v>-14.3</v>
      </c>
      <c r="M72" s="71"/>
      <c r="N72" s="77">
        <f>L72-H72</f>
        <v>-0.20000000000000107</v>
      </c>
      <c r="O72" s="55">
        <f>IF((H72)=0,"",(N72/H72))</f>
        <v>1.4184397163120643E-2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126.92268016000003</v>
      </c>
      <c r="I73" s="60"/>
      <c r="J73" s="60"/>
      <c r="K73" s="60"/>
      <c r="L73" s="223">
        <f>SUM(L71:L72)</f>
        <v>128.70272921401818</v>
      </c>
      <c r="M73" s="62"/>
      <c r="N73" s="63">
        <f>L73-H73</f>
        <v>1.7800490540181499</v>
      </c>
      <c r="O73" s="41">
        <f>IF((H73)=0,"",(N73/H73))</f>
        <v>1.4024672751743045E-2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25" right="0.25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8">
    <pageSetUpPr fitToPage="1"/>
  </sheetPr>
  <dimension ref="A1:T92"/>
  <sheetViews>
    <sheetView showGridLines="0" topLeftCell="A43" workbookViewId="0">
      <selection activeCell="J27" sqref="J2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62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22.97</v>
      </c>
      <c r="G23" s="15">
        <v>1</v>
      </c>
      <c r="H23" s="16">
        <f>G23*F23</f>
        <v>22.97</v>
      </c>
      <c r="I23" s="28"/>
      <c r="J23" s="148">
        <v>22.97</v>
      </c>
      <c r="K23" s="17">
        <v>1</v>
      </c>
      <c r="L23" s="16">
        <f>K23*J23</f>
        <v>22.97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v>1.64180047553774</v>
      </c>
      <c r="K25" s="17">
        <v>1</v>
      </c>
      <c r="L25" s="16">
        <f t="shared" ref="L25:L38" si="1">K25*J25</f>
        <v>1.64180047553774</v>
      </c>
      <c r="M25" s="28"/>
      <c r="N25" s="149">
        <f t="shared" ref="N25:N67" si="2">L25-H25</f>
        <v>1.64180047553774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4.47</v>
      </c>
      <c r="K26" s="17">
        <v>1</v>
      </c>
      <c r="L26" s="16">
        <f t="shared" si="1"/>
        <v>4.47</v>
      </c>
      <c r="M26" s="28"/>
      <c r="N26" s="149">
        <f t="shared" si="2"/>
        <v>4.47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v>1.0500000000000001E-2</v>
      </c>
      <c r="G29" s="15">
        <f t="shared" ref="G29:G38" si="4">$F$18</f>
        <v>2000</v>
      </c>
      <c r="H29" s="16">
        <f t="shared" si="0"/>
        <v>21</v>
      </c>
      <c r="I29" s="28"/>
      <c r="J29" s="31">
        <v>1.30560361248359E-2</v>
      </c>
      <c r="K29" s="15">
        <f>$F$18</f>
        <v>2000</v>
      </c>
      <c r="L29" s="16">
        <f t="shared" si="1"/>
        <v>26.112072249671801</v>
      </c>
      <c r="M29" s="28"/>
      <c r="N29" s="149">
        <f t="shared" si="2"/>
        <v>5.112072249671801</v>
      </c>
      <c r="O29" s="18">
        <f t="shared" si="3"/>
        <v>0.24343201188913338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2000</v>
      </c>
      <c r="H30" s="16">
        <f t="shared" si="0"/>
        <v>0</v>
      </c>
      <c r="I30" s="28"/>
      <c r="J30" s="31"/>
      <c r="K30" s="15">
        <f t="shared" ref="K30:K38" si="5">$F$18</f>
        <v>2000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2000</v>
      </c>
      <c r="H31" s="16">
        <f t="shared" si="0"/>
        <v>0</v>
      </c>
      <c r="I31" s="28"/>
      <c r="J31" s="31"/>
      <c r="K31" s="15">
        <f t="shared" si="5"/>
        <v>2000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2000</v>
      </c>
      <c r="H32" s="16">
        <f>G32*F32</f>
        <v>0</v>
      </c>
      <c r="I32" s="28"/>
      <c r="J32" s="31"/>
      <c r="K32" s="15">
        <f t="shared" si="5"/>
        <v>2000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2000</v>
      </c>
      <c r="H33" s="16">
        <f>G33*F33</f>
        <v>0</v>
      </c>
      <c r="I33" s="28"/>
      <c r="J33" s="31"/>
      <c r="K33" s="15">
        <f t="shared" si="5"/>
        <v>2000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2000</v>
      </c>
      <c r="H34" s="16">
        <f>G34*F34</f>
        <v>0</v>
      </c>
      <c r="I34" s="28"/>
      <c r="J34" s="31"/>
      <c r="K34" s="15">
        <f t="shared" si="5"/>
        <v>2000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2000</v>
      </c>
      <c r="H35" s="16">
        <f t="shared" si="0"/>
        <v>0</v>
      </c>
      <c r="I35" s="28"/>
      <c r="J35" s="31"/>
      <c r="K35" s="15">
        <f t="shared" si="5"/>
        <v>2000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2000</v>
      </c>
      <c r="H36" s="16">
        <f t="shared" si="0"/>
        <v>0</v>
      </c>
      <c r="I36" s="28"/>
      <c r="J36" s="31"/>
      <c r="K36" s="15">
        <f t="shared" si="5"/>
        <v>2000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2000</v>
      </c>
      <c r="H37" s="16">
        <f t="shared" si="0"/>
        <v>0</v>
      </c>
      <c r="I37" s="28"/>
      <c r="J37" s="31"/>
      <c r="K37" s="15">
        <f t="shared" si="5"/>
        <v>2000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2000</v>
      </c>
      <c r="H38" s="16">
        <f t="shared" si="0"/>
        <v>0</v>
      </c>
      <c r="I38" s="28"/>
      <c r="J38" s="31"/>
      <c r="K38" s="15">
        <f t="shared" si="5"/>
        <v>2000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43.97</v>
      </c>
      <c r="I39" s="28"/>
      <c r="J39" s="159"/>
      <c r="K39" s="160"/>
      <c r="L39" s="158">
        <f>SUM(L23:L38)</f>
        <v>55.193872725209538</v>
      </c>
      <c r="M39" s="28"/>
      <c r="N39" s="161">
        <f t="shared" si="2"/>
        <v>11.223872725209539</v>
      </c>
      <c r="O39" s="162">
        <f t="shared" si="3"/>
        <v>0.25526205879484964</v>
      </c>
    </row>
    <row r="40" spans="1:15" ht="51">
      <c r="A40" s="163"/>
      <c r="B40" s="164" t="s">
        <v>71</v>
      </c>
      <c r="C40" s="20"/>
      <c r="D40" s="165" t="s">
        <v>24</v>
      </c>
      <c r="E40" s="20"/>
      <c r="F40" s="166"/>
      <c r="G40" s="21">
        <f t="shared" ref="G40:G46" si="6">$F$18</f>
        <v>2000</v>
      </c>
      <c r="H40" s="22">
        <f t="shared" ref="H40:H48" si="7">G40*F40</f>
        <v>0</v>
      </c>
      <c r="I40" s="167"/>
      <c r="J40" s="166">
        <v>-8.3436113445685401E-4</v>
      </c>
      <c r="K40" s="21">
        <f t="shared" ref="K40:K46" si="8">$F$18</f>
        <v>2000</v>
      </c>
      <c r="L40" s="22">
        <f t="shared" ref="L40:L46" si="9">K40*J40</f>
        <v>-1.668722268913708</v>
      </c>
      <c r="M40" s="167"/>
      <c r="N40" s="168">
        <f t="shared" si="2"/>
        <v>-1.668722268913708</v>
      </c>
      <c r="O40" s="24" t="str">
        <f>IF((H40)=0,"",(N40/H40))</f>
        <v/>
      </c>
    </row>
    <row r="41" spans="1:15" ht="51">
      <c r="A41" s="169"/>
      <c r="B41" s="164" t="s">
        <v>72</v>
      </c>
      <c r="C41" s="20"/>
      <c r="D41" s="165" t="s">
        <v>24</v>
      </c>
      <c r="E41" s="20"/>
      <c r="F41" s="166"/>
      <c r="G41" s="21">
        <f t="shared" si="6"/>
        <v>2000</v>
      </c>
      <c r="H41" s="22">
        <f t="shared" si="7"/>
        <v>0</v>
      </c>
      <c r="I41" s="167"/>
      <c r="J41" s="166">
        <v>-2.6878065725373301E-3</v>
      </c>
      <c r="K41" s="21">
        <f t="shared" si="8"/>
        <v>2000</v>
      </c>
      <c r="L41" s="22">
        <f t="shared" si="9"/>
        <v>-5.3756131450746603</v>
      </c>
      <c r="M41" s="167"/>
      <c r="N41" s="168">
        <f t="shared" si="2"/>
        <v>-5.3756131450746603</v>
      </c>
      <c r="O41" s="24" t="str">
        <f>IF((H41)=0,"",(N41/H41))</f>
        <v/>
      </c>
    </row>
    <row r="42" spans="1:15" ht="38.25">
      <c r="A42" s="169"/>
      <c r="B42" s="164" t="s">
        <v>73</v>
      </c>
      <c r="C42" s="20"/>
      <c r="D42" s="165"/>
      <c r="E42" s="20"/>
      <c r="F42" s="166"/>
      <c r="G42" s="21">
        <f t="shared" si="6"/>
        <v>2000</v>
      </c>
      <c r="H42" s="22"/>
      <c r="I42" s="167"/>
      <c r="J42" s="166">
        <v>0</v>
      </c>
      <c r="K42" s="21">
        <f t="shared" si="8"/>
        <v>2000</v>
      </c>
      <c r="L42" s="22">
        <f t="shared" si="9"/>
        <v>0</v>
      </c>
      <c r="M42" s="167"/>
      <c r="N42" s="168">
        <f t="shared" si="2"/>
        <v>0</v>
      </c>
      <c r="O42" s="24"/>
    </row>
    <row r="43" spans="1:15" ht="25.5">
      <c r="A43" s="169"/>
      <c r="B43" s="164" t="s">
        <v>74</v>
      </c>
      <c r="C43" s="20"/>
      <c r="D43" s="165"/>
      <c r="E43" s="20"/>
      <c r="F43" s="166"/>
      <c r="G43" s="21">
        <f t="shared" si="6"/>
        <v>2000</v>
      </c>
      <c r="H43" s="22"/>
      <c r="I43" s="167"/>
      <c r="J43" s="166">
        <v>8.0305657896044999E-5</v>
      </c>
      <c r="K43" s="21">
        <f t="shared" si="8"/>
        <v>2000</v>
      </c>
      <c r="L43" s="22">
        <f t="shared" si="9"/>
        <v>0.16061131579209001</v>
      </c>
      <c r="M43" s="167"/>
      <c r="N43" s="168">
        <f t="shared" si="2"/>
        <v>0.16061131579209001</v>
      </c>
      <c r="O43" s="24"/>
    </row>
    <row r="44" spans="1:15" ht="25.5">
      <c r="A44" s="163"/>
      <c r="B44" s="164" t="s">
        <v>75</v>
      </c>
      <c r="C44" s="20"/>
      <c r="D44" s="165" t="s">
        <v>24</v>
      </c>
      <c r="E44" s="20"/>
      <c r="F44" s="166"/>
      <c r="G44" s="21">
        <f t="shared" si="6"/>
        <v>2000</v>
      </c>
      <c r="H44" s="22">
        <f t="shared" si="7"/>
        <v>0</v>
      </c>
      <c r="I44" s="167"/>
      <c r="J44" s="166">
        <v>-4.0468965554606601E-4</v>
      </c>
      <c r="K44" s="21">
        <f t="shared" si="8"/>
        <v>2000</v>
      </c>
      <c r="L44" s="22">
        <f t="shared" si="9"/>
        <v>-0.80937931109213201</v>
      </c>
      <c r="M44" s="167"/>
      <c r="N44" s="168">
        <f t="shared" si="2"/>
        <v>-0.80937931109213201</v>
      </c>
      <c r="O44" s="24" t="str">
        <f>IF((H44)=0,"",(N44/H44))</f>
        <v/>
      </c>
    </row>
    <row r="45" spans="1:15" ht="25.5">
      <c r="A45" s="163"/>
      <c r="B45" s="164" t="s">
        <v>76</v>
      </c>
      <c r="C45" s="20"/>
      <c r="D45" s="165" t="s">
        <v>24</v>
      </c>
      <c r="E45" s="20"/>
      <c r="F45" s="166"/>
      <c r="G45" s="21">
        <f t="shared" si="6"/>
        <v>2000</v>
      </c>
      <c r="H45" s="22">
        <f t="shared" si="7"/>
        <v>0</v>
      </c>
      <c r="I45" s="167"/>
      <c r="J45" s="166">
        <v>3.30205951759033E-4</v>
      </c>
      <c r="K45" s="21">
        <f t="shared" si="8"/>
        <v>2000</v>
      </c>
      <c r="L45" s="22">
        <f t="shared" si="9"/>
        <v>0.660411903518066</v>
      </c>
      <c r="M45" s="167"/>
      <c r="N45" s="168">
        <f t="shared" si="2"/>
        <v>0.660411903518066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 t="shared" si="6"/>
        <v>2000</v>
      </c>
      <c r="H46" s="22">
        <f t="shared" si="7"/>
        <v>2</v>
      </c>
      <c r="I46" s="167"/>
      <c r="J46" s="166">
        <v>6.9999999999999999E-4</v>
      </c>
      <c r="K46" s="21">
        <f t="shared" si="8"/>
        <v>2000</v>
      </c>
      <c r="L46" s="22">
        <f t="shared" si="9"/>
        <v>1.4</v>
      </c>
      <c r="M46" s="167"/>
      <c r="N46" s="168">
        <f t="shared" si="2"/>
        <v>-0.60000000000000009</v>
      </c>
      <c r="O46" s="24">
        <f>IF((H46)=0,"",(N46/H46))</f>
        <v>-0.30000000000000004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78</v>
      </c>
      <c r="H47" s="22">
        <f t="shared" si="7"/>
        <v>8.3974799999999998</v>
      </c>
      <c r="I47" s="167"/>
      <c r="J47" s="166">
        <f>0.64*$F$57+0.18*$F$58+0.18*$F$59</f>
        <v>0.10766000000000001</v>
      </c>
      <c r="K47" s="21">
        <f>$F$18*(1+$J$76)-$F$18</f>
        <v>91.400000000000091</v>
      </c>
      <c r="L47" s="22">
        <f>K47*J47</f>
        <v>9.8401240000000101</v>
      </c>
      <c r="M47" s="167"/>
      <c r="N47" s="168">
        <f t="shared" si="2"/>
        <v>1.4426440000000103</v>
      </c>
      <c r="O47" s="24">
        <f t="shared" si="3"/>
        <v>0.17179487179487302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>K48*J48</f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55.15748</v>
      </c>
      <c r="I49" s="28"/>
      <c r="J49" s="178"/>
      <c r="K49" s="180"/>
      <c r="L49" s="179">
        <f>SUM(L40:L48)+L39</f>
        <v>60.191305219439201</v>
      </c>
      <c r="M49" s="28"/>
      <c r="N49" s="161">
        <f t="shared" si="2"/>
        <v>5.0338252194392012</v>
      </c>
      <c r="O49" s="162">
        <f t="shared" ref="O49:O67" si="10">IF((H49)=0,"",(N49/H49))</f>
        <v>9.1262784656572435E-2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2078</v>
      </c>
      <c r="H50" s="16">
        <f>G50*F50</f>
        <v>12.052399999999999</v>
      </c>
      <c r="I50" s="28"/>
      <c r="J50" s="31">
        <v>5.4394427051232801E-3</v>
      </c>
      <c r="K50" s="30">
        <f>F18*(1+J76)</f>
        <v>2091.4</v>
      </c>
      <c r="L50" s="16">
        <f>K50*J50</f>
        <v>11.376050473494828</v>
      </c>
      <c r="M50" s="28"/>
      <c r="N50" s="149">
        <f t="shared" si="2"/>
        <v>-0.67634952650517022</v>
      </c>
      <c r="O50" s="18">
        <f t="shared" si="10"/>
        <v>-5.6117414498786156E-2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2078</v>
      </c>
      <c r="H51" s="16">
        <f>G51*F51</f>
        <v>8.3119999999999994</v>
      </c>
      <c r="I51" s="28"/>
      <c r="J51" s="31">
        <v>4.0259412268579802E-3</v>
      </c>
      <c r="K51" s="30">
        <f>K50</f>
        <v>2091.4</v>
      </c>
      <c r="L51" s="16">
        <f>K51*J51</f>
        <v>8.4198534818507795</v>
      </c>
      <c r="M51" s="28"/>
      <c r="N51" s="149">
        <f t="shared" si="2"/>
        <v>0.10785348185078014</v>
      </c>
      <c r="O51" s="18">
        <f t="shared" si="10"/>
        <v>1.2975635448842655E-2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75.521879999999996</v>
      </c>
      <c r="I52" s="185"/>
      <c r="J52" s="186"/>
      <c r="K52" s="187"/>
      <c r="L52" s="179">
        <f>SUM(L49:L51)</f>
        <v>79.987209174784809</v>
      </c>
      <c r="M52" s="185"/>
      <c r="N52" s="161">
        <f t="shared" si="2"/>
        <v>4.4653291747848129</v>
      </c>
      <c r="O52" s="162">
        <f t="shared" si="10"/>
        <v>5.9126297899162641E-2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82">
        <f>G51</f>
        <v>2078</v>
      </c>
      <c r="H53" s="78">
        <f t="shared" ref="H53:H59" si="11">G53*F53</f>
        <v>7.4807999999999995</v>
      </c>
      <c r="I53" s="282"/>
      <c r="J53" s="31">
        <v>3.5999999999999999E-3</v>
      </c>
      <c r="K53" s="83">
        <f>K51</f>
        <v>2091.4</v>
      </c>
      <c r="L53" s="78">
        <f t="shared" ref="L53:L59" si="12">K53*J53</f>
        <v>7.5290400000000002</v>
      </c>
      <c r="M53" s="282"/>
      <c r="N53" s="283">
        <f t="shared" si="2"/>
        <v>4.8240000000000727E-2</v>
      </c>
      <c r="O53" s="79">
        <f t="shared" si="10"/>
        <v>6.4485081809433119E-3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82">
        <f>G51</f>
        <v>2078</v>
      </c>
      <c r="H54" s="78">
        <f t="shared" si="11"/>
        <v>2.7014</v>
      </c>
      <c r="I54" s="282"/>
      <c r="J54" s="31">
        <v>1.2999999999999999E-3</v>
      </c>
      <c r="K54" s="83">
        <f>K51</f>
        <v>2091.4</v>
      </c>
      <c r="L54" s="78">
        <f t="shared" si="12"/>
        <v>2.71882</v>
      </c>
      <c r="M54" s="282"/>
      <c r="N54" s="283">
        <f t="shared" si="2"/>
        <v>1.7419999999999991E-2</v>
      </c>
      <c r="O54" s="79">
        <f t="shared" si="10"/>
        <v>6.4485081809432113E-3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1"/>
        <v>0.25</v>
      </c>
      <c r="I55" s="282"/>
      <c r="J55" s="84">
        <v>0.25</v>
      </c>
      <c r="K55" s="81">
        <v>1</v>
      </c>
      <c r="L55" s="78">
        <f t="shared" si="12"/>
        <v>0.25</v>
      </c>
      <c r="M55" s="282"/>
      <c r="N55" s="283">
        <f t="shared" si="2"/>
        <v>0</v>
      </c>
      <c r="O55" s="79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82">
        <f>F18</f>
        <v>2000</v>
      </c>
      <c r="H56" s="78">
        <f t="shared" si="11"/>
        <v>2.2000000000000002</v>
      </c>
      <c r="I56" s="282"/>
      <c r="J56" s="31">
        <v>1.1000000000000001E-3</v>
      </c>
      <c r="K56" s="83">
        <f>F18</f>
        <v>2000</v>
      </c>
      <c r="L56" s="78">
        <f t="shared" si="12"/>
        <v>2.2000000000000002</v>
      </c>
      <c r="M56" s="282"/>
      <c r="N56" s="283">
        <f t="shared" si="2"/>
        <v>0</v>
      </c>
      <c r="O56" s="79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8.3000000000000004E-2</v>
      </c>
      <c r="G57" s="284">
        <f>0.64*$F$18</f>
        <v>1280</v>
      </c>
      <c r="H57" s="78">
        <f t="shared" si="11"/>
        <v>106.24000000000001</v>
      </c>
      <c r="I57" s="282"/>
      <c r="J57" s="84">
        <v>8.3000000000000004E-2</v>
      </c>
      <c r="K57" s="284">
        <f>G57</f>
        <v>1280</v>
      </c>
      <c r="L57" s="78">
        <f t="shared" si="12"/>
        <v>106.24000000000001</v>
      </c>
      <c r="M57" s="282"/>
      <c r="N57" s="283">
        <f t="shared" si="2"/>
        <v>0</v>
      </c>
      <c r="O57" s="79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0.128</v>
      </c>
      <c r="G58" s="284">
        <f>0.18*$F$18</f>
        <v>360</v>
      </c>
      <c r="H58" s="78">
        <f t="shared" si="11"/>
        <v>46.08</v>
      </c>
      <c r="I58" s="282"/>
      <c r="J58" s="84">
        <v>0.128</v>
      </c>
      <c r="K58" s="284">
        <f>G58</f>
        <v>360</v>
      </c>
      <c r="L58" s="78">
        <f t="shared" si="12"/>
        <v>46.08</v>
      </c>
      <c r="M58" s="282"/>
      <c r="N58" s="283">
        <f t="shared" si="2"/>
        <v>0</v>
      </c>
      <c r="O58" s="79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0.17499999999999999</v>
      </c>
      <c r="G59" s="284">
        <f>0.18*$F$18</f>
        <v>360</v>
      </c>
      <c r="H59" s="78">
        <f t="shared" si="11"/>
        <v>62.999999999999993</v>
      </c>
      <c r="I59" s="282"/>
      <c r="J59" s="84">
        <v>0.17499999999999999</v>
      </c>
      <c r="K59" s="284">
        <f>G59</f>
        <v>360</v>
      </c>
      <c r="L59" s="78">
        <f t="shared" si="12"/>
        <v>62.999999999999993</v>
      </c>
      <c r="M59" s="282"/>
      <c r="N59" s="283">
        <f t="shared" si="2"/>
        <v>0</v>
      </c>
      <c r="O59" s="79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9.9000000000000005E-2</v>
      </c>
      <c r="G60" s="285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59.400000000000006</v>
      </c>
      <c r="I60" s="286"/>
      <c r="J60" s="84">
        <v>9.9000000000000005E-2</v>
      </c>
      <c r="K60" s="285">
        <f>G60</f>
        <v>600</v>
      </c>
      <c r="L60" s="78">
        <f>K60*J60</f>
        <v>59.400000000000006</v>
      </c>
      <c r="M60" s="286"/>
      <c r="N60" s="287">
        <f t="shared" si="2"/>
        <v>0</v>
      </c>
      <c r="O60" s="79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0.11600000000000001</v>
      </c>
      <c r="G61" s="285">
        <f>IF(AND($T$1=1, F18&gt;=600), F18-600, IF(AND($T$1=1, AND(F18&lt;600, F18&gt;=0)), 0, IF(AND($T$1=2, F18&gt;=1000), F18-1000, IF(AND($T$1=2, AND(F18&lt;1000, F18&gt;=0)), 0))))</f>
        <v>1400</v>
      </c>
      <c r="H61" s="78">
        <f>G61*F61</f>
        <v>162.4</v>
      </c>
      <c r="I61" s="286"/>
      <c r="J61" s="84">
        <v>0.11600000000000001</v>
      </c>
      <c r="K61" s="285">
        <f>G61</f>
        <v>1400</v>
      </c>
      <c r="L61" s="78">
        <f>K61*J61</f>
        <v>162.4</v>
      </c>
      <c r="M61" s="286"/>
      <c r="N61" s="287">
        <f t="shared" si="2"/>
        <v>0</v>
      </c>
      <c r="O61" s="79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303.47408000000001</v>
      </c>
      <c r="I63" s="37"/>
      <c r="J63" s="38"/>
      <c r="K63" s="38"/>
      <c r="L63" s="36">
        <f>SUM(L53:L59,L52)</f>
        <v>308.00506917478481</v>
      </c>
      <c r="M63" s="39"/>
      <c r="N63" s="40">
        <f>L63-H63</f>
        <v>4.5309891747847928</v>
      </c>
      <c r="O63" s="41">
        <f>IF((H63)=0,"",(N63/H63))</f>
        <v>1.4930399244590485E-2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39.451630400000006</v>
      </c>
      <c r="I64" s="46"/>
      <c r="J64" s="47">
        <v>0.13</v>
      </c>
      <c r="K64" s="46"/>
      <c r="L64" s="48">
        <f>L63*J64</f>
        <v>40.04065899272203</v>
      </c>
      <c r="M64" s="49"/>
      <c r="N64" s="50">
        <f t="shared" si="2"/>
        <v>0.58902859272202335</v>
      </c>
      <c r="O64" s="18">
        <f t="shared" si="10"/>
        <v>1.4930399244590491E-2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342.92571040000001</v>
      </c>
      <c r="I65" s="46"/>
      <c r="J65" s="46"/>
      <c r="K65" s="46"/>
      <c r="L65" s="48">
        <f>L63+L64</f>
        <v>348.04572816750681</v>
      </c>
      <c r="M65" s="49"/>
      <c r="N65" s="50">
        <f t="shared" si="2"/>
        <v>5.1200177675067948</v>
      </c>
      <c r="O65" s="18">
        <f t="shared" si="10"/>
        <v>1.4930399244590425E-2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-34.29</v>
      </c>
      <c r="I66" s="46"/>
      <c r="J66" s="46"/>
      <c r="K66" s="46"/>
      <c r="L66" s="53">
        <f>ROUND(-L65*0.1,2)</f>
        <v>-34.799999999999997</v>
      </c>
      <c r="M66" s="49"/>
      <c r="N66" s="54">
        <f t="shared" si="2"/>
        <v>-0.50999999999999801</v>
      </c>
      <c r="O66" s="55">
        <f t="shared" si="10"/>
        <v>1.4873140857392768E-2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308.63571039999999</v>
      </c>
      <c r="I67" s="210"/>
      <c r="J67" s="210"/>
      <c r="K67" s="210"/>
      <c r="L67" s="211">
        <f>L65+L66</f>
        <v>313.2457281675068</v>
      </c>
      <c r="M67" s="212"/>
      <c r="N67" s="213">
        <f t="shared" si="2"/>
        <v>4.6100177675068039</v>
      </c>
      <c r="O67" s="214">
        <f t="shared" si="10"/>
        <v>1.4936760757632679E-2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309.95407999999998</v>
      </c>
      <c r="I69" s="60"/>
      <c r="J69" s="61"/>
      <c r="K69" s="61"/>
      <c r="L69" s="59">
        <f>SUM(L60:L61,L52,L53:L56)</f>
        <v>314.48506917478483</v>
      </c>
      <c r="M69" s="62"/>
      <c r="N69" s="63">
        <f>L69-H69</f>
        <v>4.5309891747848496</v>
      </c>
      <c r="O69" s="41">
        <f>IF((H69)=0,"",(N69/H69))</f>
        <v>1.461825950084235E-2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40.294030399999997</v>
      </c>
      <c r="I70" s="67"/>
      <c r="J70" s="68">
        <v>0.13</v>
      </c>
      <c r="K70" s="69"/>
      <c r="L70" s="70">
        <f>L69*J70</f>
        <v>40.883058992722027</v>
      </c>
      <c r="M70" s="71"/>
      <c r="N70" s="72">
        <f>L70-H70</f>
        <v>0.58902859272203045</v>
      </c>
      <c r="O70" s="18">
        <f>IF((H70)=0,"",(N70/H70))</f>
        <v>1.461825950084235E-2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350.24811039999997</v>
      </c>
      <c r="I71" s="67"/>
      <c r="J71" s="67"/>
      <c r="K71" s="67"/>
      <c r="L71" s="70">
        <f>L69+L70</f>
        <v>355.36812816750682</v>
      </c>
      <c r="M71" s="71"/>
      <c r="N71" s="72">
        <f>L71-H71</f>
        <v>5.1200177675068517</v>
      </c>
      <c r="O71" s="18">
        <f>IF((H71)=0,"",(N71/H71))</f>
        <v>1.461825950084227E-2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-35.020000000000003</v>
      </c>
      <c r="I72" s="67"/>
      <c r="J72" s="67"/>
      <c r="K72" s="67"/>
      <c r="L72" s="76">
        <f>ROUND(-L71*0.1,2)</f>
        <v>-35.54</v>
      </c>
      <c r="M72" s="71"/>
      <c r="N72" s="77">
        <f>L72-H72</f>
        <v>-0.51999999999999602</v>
      </c>
      <c r="O72" s="55">
        <f>IF((H72)=0,"",(N72/H72))</f>
        <v>1.4848657909765733E-2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315.22811039999999</v>
      </c>
      <c r="I73" s="60"/>
      <c r="J73" s="60"/>
      <c r="K73" s="60"/>
      <c r="L73" s="223">
        <f>SUM(L71:L72)</f>
        <v>319.8281281675068</v>
      </c>
      <c r="M73" s="62"/>
      <c r="N73" s="63">
        <f>L73-H73</f>
        <v>4.600017767506813</v>
      </c>
      <c r="O73" s="41">
        <f>IF((H73)=0,"",(N73/H73))</f>
        <v>1.4592663584696642E-2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9">
    <pageSetUpPr fitToPage="1"/>
  </sheetPr>
  <dimension ref="A1:T92"/>
  <sheetViews>
    <sheetView showGridLines="0" topLeftCell="A46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64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378.72</v>
      </c>
      <c r="G23" s="15">
        <v>1</v>
      </c>
      <c r="H23" s="16">
        <f>G23*F23</f>
        <v>378.72</v>
      </c>
      <c r="I23" s="28"/>
      <c r="J23" s="148">
        <v>86.14</v>
      </c>
      <c r="K23" s="17">
        <v>1</v>
      </c>
      <c r="L23" s="16">
        <f>K23*J23</f>
        <v>86.14</v>
      </c>
      <c r="M23" s="28"/>
      <c r="N23" s="149">
        <f>L23-H23</f>
        <v>-292.58000000000004</v>
      </c>
      <c r="O23" s="18">
        <f>IF((H23)=0,"",(N23/H23))</f>
        <v>-0.77254964089564859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v>0.64890000000000003</v>
      </c>
      <c r="G29" s="15">
        <f t="shared" ref="G29:G38" si="4">$F$18</f>
        <v>100</v>
      </c>
      <c r="H29" s="16">
        <f t="shared" si="0"/>
        <v>64.89</v>
      </c>
      <c r="I29" s="28"/>
      <c r="J29" s="31">
        <v>3.56561198604967</v>
      </c>
      <c r="K29" s="15">
        <f>$F$18</f>
        <v>100</v>
      </c>
      <c r="L29" s="16">
        <f t="shared" si="1"/>
        <v>356.56119860496699</v>
      </c>
      <c r="M29" s="28"/>
      <c r="N29" s="149">
        <f t="shared" si="2"/>
        <v>291.671198604967</v>
      </c>
      <c r="O29" s="18">
        <f t="shared" si="3"/>
        <v>4.4948558885031131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100</v>
      </c>
      <c r="H30" s="16">
        <f t="shared" si="0"/>
        <v>0</v>
      </c>
      <c r="I30" s="28"/>
      <c r="J30" s="31"/>
      <c r="K30" s="15">
        <f t="shared" ref="K30:K38" si="5">$F$18</f>
        <v>100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100</v>
      </c>
      <c r="H31" s="16">
        <f t="shared" si="0"/>
        <v>0</v>
      </c>
      <c r="I31" s="28"/>
      <c r="J31" s="31"/>
      <c r="K31" s="15">
        <f t="shared" si="5"/>
        <v>100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</v>
      </c>
      <c r="H32" s="16">
        <f>G32*F32</f>
        <v>0</v>
      </c>
      <c r="I32" s="28"/>
      <c r="J32" s="31"/>
      <c r="K32" s="15">
        <f t="shared" si="5"/>
        <v>100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</v>
      </c>
      <c r="H33" s="16">
        <f>G33*F33</f>
        <v>0</v>
      </c>
      <c r="I33" s="28"/>
      <c r="J33" s="31"/>
      <c r="K33" s="15">
        <f t="shared" si="5"/>
        <v>100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</v>
      </c>
      <c r="H34" s="16">
        <f>G34*F34</f>
        <v>0</v>
      </c>
      <c r="I34" s="28"/>
      <c r="J34" s="31"/>
      <c r="K34" s="15">
        <f t="shared" si="5"/>
        <v>100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</v>
      </c>
      <c r="H35" s="16">
        <f t="shared" si="0"/>
        <v>0</v>
      </c>
      <c r="I35" s="28"/>
      <c r="J35" s="31"/>
      <c r="K35" s="15">
        <f t="shared" si="5"/>
        <v>100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</v>
      </c>
      <c r="H36" s="16">
        <f t="shared" si="0"/>
        <v>0</v>
      </c>
      <c r="I36" s="28"/>
      <c r="J36" s="31"/>
      <c r="K36" s="15">
        <f t="shared" si="5"/>
        <v>100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</v>
      </c>
      <c r="H37" s="16">
        <f t="shared" si="0"/>
        <v>0</v>
      </c>
      <c r="I37" s="28"/>
      <c r="J37" s="31"/>
      <c r="K37" s="15">
        <f t="shared" si="5"/>
        <v>100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</v>
      </c>
      <c r="H38" s="16">
        <f t="shared" si="0"/>
        <v>0</v>
      </c>
      <c r="I38" s="28"/>
      <c r="J38" s="31"/>
      <c r="K38" s="15">
        <f t="shared" si="5"/>
        <v>100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443.61</v>
      </c>
      <c r="I39" s="28"/>
      <c r="J39" s="159"/>
      <c r="K39" s="160"/>
      <c r="L39" s="158">
        <f>SUM(L23:L38)</f>
        <v>442.70119860496698</v>
      </c>
      <c r="M39" s="28"/>
      <c r="N39" s="161">
        <f t="shared" si="2"/>
        <v>-0.90880139503303781</v>
      </c>
      <c r="O39" s="162">
        <f t="shared" si="3"/>
        <v>-2.0486494782196926E-3</v>
      </c>
    </row>
    <row r="40" spans="1:15" ht="51">
      <c r="A40" s="163"/>
      <c r="B40" s="164" t="s">
        <v>71</v>
      </c>
      <c r="C40" s="20"/>
      <c r="D40" s="242" t="s">
        <v>65</v>
      </c>
      <c r="E40" s="20"/>
      <c r="F40" s="166"/>
      <c r="G40" s="21">
        <f t="shared" ref="G40:G46" si="6">$F$18</f>
        <v>100</v>
      </c>
      <c r="H40" s="22">
        <f t="shared" ref="H40:H48" si="7">G40*F40</f>
        <v>0</v>
      </c>
      <c r="I40" s="167"/>
      <c r="J40" s="166">
        <v>-0.29147197963987098</v>
      </c>
      <c r="K40" s="21">
        <f t="shared" ref="K40:K46" si="8">$F$18</f>
        <v>100</v>
      </c>
      <c r="L40" s="22">
        <f t="shared" ref="L40:L48" si="9">K40*J40</f>
        <v>-29.147197963987097</v>
      </c>
      <c r="M40" s="167"/>
      <c r="N40" s="168">
        <f t="shared" si="2"/>
        <v>-29.147197963987097</v>
      </c>
      <c r="O40" s="24" t="str">
        <f t="shared" si="3"/>
        <v/>
      </c>
    </row>
    <row r="41" spans="1:15" ht="51">
      <c r="A41" s="169"/>
      <c r="B41" s="164" t="s">
        <v>72</v>
      </c>
      <c r="C41" s="20"/>
      <c r="D41" s="242" t="s">
        <v>65</v>
      </c>
      <c r="E41" s="20"/>
      <c r="F41" s="166"/>
      <c r="G41" s="21">
        <f t="shared" si="6"/>
        <v>100</v>
      </c>
      <c r="H41" s="22">
        <f t="shared" si="7"/>
        <v>0</v>
      </c>
      <c r="I41" s="167"/>
      <c r="J41" s="166">
        <v>-0.94429000206206104</v>
      </c>
      <c r="K41" s="21">
        <f t="shared" si="8"/>
        <v>100</v>
      </c>
      <c r="L41" s="22">
        <f t="shared" si="9"/>
        <v>-94.429000206206098</v>
      </c>
      <c r="M41" s="167"/>
      <c r="N41" s="168">
        <f t="shared" si="2"/>
        <v>-94.429000206206098</v>
      </c>
      <c r="O41" s="24" t="str">
        <f t="shared" si="3"/>
        <v/>
      </c>
    </row>
    <row r="42" spans="1:15" ht="38.25">
      <c r="A42" s="169"/>
      <c r="B42" s="164" t="s">
        <v>73</v>
      </c>
      <c r="C42" s="20"/>
      <c r="D42" s="242" t="s">
        <v>24</v>
      </c>
      <c r="E42" s="20"/>
      <c r="F42" s="166"/>
      <c r="G42" s="21">
        <f t="shared" si="6"/>
        <v>100</v>
      </c>
      <c r="H42" s="22"/>
      <c r="I42" s="167"/>
      <c r="J42" s="166">
        <v>1.74265666790991</v>
      </c>
      <c r="K42" s="21">
        <f t="shared" si="8"/>
        <v>100</v>
      </c>
      <c r="L42" s="22">
        <f t="shared" si="9"/>
        <v>174.26566679099099</v>
      </c>
      <c r="M42" s="167"/>
      <c r="N42" s="168">
        <f t="shared" si="2"/>
        <v>174.26566679099099</v>
      </c>
      <c r="O42" s="24" t="str">
        <f t="shared" si="3"/>
        <v/>
      </c>
    </row>
    <row r="43" spans="1:15" ht="25.5">
      <c r="A43" s="169"/>
      <c r="B43" s="164" t="s">
        <v>74</v>
      </c>
      <c r="C43" s="20"/>
      <c r="D43" s="242" t="s">
        <v>24</v>
      </c>
      <c r="E43" s="20"/>
      <c r="F43" s="166"/>
      <c r="G43" s="21">
        <f t="shared" si="6"/>
        <v>100</v>
      </c>
      <c r="H43" s="22"/>
      <c r="I43" s="167"/>
      <c r="J43" s="166">
        <v>2.8213276444467101E-2</v>
      </c>
      <c r="K43" s="21">
        <f t="shared" si="8"/>
        <v>100</v>
      </c>
      <c r="L43" s="22">
        <f t="shared" si="9"/>
        <v>2.8213276444467099</v>
      </c>
      <c r="M43" s="167"/>
      <c r="N43" s="168">
        <f t="shared" si="2"/>
        <v>2.8213276444467099</v>
      </c>
      <c r="O43" s="24" t="str">
        <f t="shared" si="3"/>
        <v/>
      </c>
    </row>
    <row r="44" spans="1:15" ht="25.5">
      <c r="A44" s="163"/>
      <c r="B44" s="164" t="s">
        <v>75</v>
      </c>
      <c r="C44" s="20"/>
      <c r="D44" s="242" t="s">
        <v>65</v>
      </c>
      <c r="E44" s="20"/>
      <c r="F44" s="166"/>
      <c r="G44" s="21">
        <f t="shared" si="6"/>
        <v>100</v>
      </c>
      <c r="H44" s="22">
        <f t="shared" si="7"/>
        <v>0</v>
      </c>
      <c r="I44" s="167"/>
      <c r="J44" s="166">
        <v>-0.14217704487169899</v>
      </c>
      <c r="K44" s="21">
        <f t="shared" si="8"/>
        <v>100</v>
      </c>
      <c r="L44" s="22">
        <f t="shared" si="9"/>
        <v>-14.217704487169899</v>
      </c>
      <c r="M44" s="167"/>
      <c r="N44" s="168">
        <f t="shared" si="2"/>
        <v>-14.217704487169899</v>
      </c>
      <c r="O44" s="24" t="str">
        <f t="shared" si="3"/>
        <v/>
      </c>
    </row>
    <row r="45" spans="1:15" ht="25.5">
      <c r="A45" s="163"/>
      <c r="B45" s="164" t="s">
        <v>76</v>
      </c>
      <c r="C45" s="20"/>
      <c r="D45" s="242" t="s">
        <v>65</v>
      </c>
      <c r="E45" s="20"/>
      <c r="F45" s="166"/>
      <c r="G45" s="21">
        <f t="shared" si="6"/>
        <v>100</v>
      </c>
      <c r="H45" s="22">
        <f t="shared" si="7"/>
        <v>0</v>
      </c>
      <c r="I45" s="167"/>
      <c r="J45" s="166">
        <v>0.109362769653037</v>
      </c>
      <c r="K45" s="21">
        <f t="shared" si="8"/>
        <v>100</v>
      </c>
      <c r="L45" s="22">
        <f t="shared" si="9"/>
        <v>10.9362769653037</v>
      </c>
      <c r="M45" s="167"/>
      <c r="N45" s="168">
        <f t="shared" si="2"/>
        <v>10.9362769653037</v>
      </c>
      <c r="O45" s="24" t="str">
        <f t="shared" si="3"/>
        <v/>
      </c>
    </row>
    <row r="46" spans="1:15">
      <c r="A46" s="163"/>
      <c r="B46" s="164" t="s">
        <v>27</v>
      </c>
      <c r="C46" s="20"/>
      <c r="D46" s="242" t="s">
        <v>65</v>
      </c>
      <c r="E46" s="20"/>
      <c r="F46" s="166">
        <v>0.39539999999999997</v>
      </c>
      <c r="G46" s="21">
        <f t="shared" si="6"/>
        <v>100</v>
      </c>
      <c r="H46" s="22">
        <f t="shared" si="7"/>
        <v>39.54</v>
      </c>
      <c r="I46" s="167"/>
      <c r="J46" s="166">
        <v>0.2787</v>
      </c>
      <c r="K46" s="21">
        <f t="shared" si="8"/>
        <v>100</v>
      </c>
      <c r="L46" s="22">
        <f t="shared" si="9"/>
        <v>27.87</v>
      </c>
      <c r="M46" s="167"/>
      <c r="N46" s="168">
        <f t="shared" si="2"/>
        <v>-11.669999999999998</v>
      </c>
      <c r="O46" s="24">
        <f t="shared" si="3"/>
        <v>-0.29514415781487097</v>
      </c>
    </row>
    <row r="47" spans="1:15">
      <c r="A47" s="19"/>
      <c r="B47" s="145" t="s">
        <v>28</v>
      </c>
      <c r="C47" s="20"/>
      <c r="D47" s="242" t="s">
        <v>65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3.8999999999999915</v>
      </c>
      <c r="H47" s="22">
        <f t="shared" si="7"/>
        <v>0.41987399999999908</v>
      </c>
      <c r="I47" s="167"/>
      <c r="J47" s="166">
        <f>0.64*$F$57+0.18*$F$58+0.18*$F$59</f>
        <v>0.10766000000000001</v>
      </c>
      <c r="K47" s="21">
        <f>$F$18*(1+$J$76)-$F$18</f>
        <v>4.5700000000000074</v>
      </c>
      <c r="L47" s="22">
        <f t="shared" si="9"/>
        <v>0.49200620000000084</v>
      </c>
      <c r="M47" s="167"/>
      <c r="N47" s="168">
        <f t="shared" si="2"/>
        <v>7.2132200000001756E-2</v>
      </c>
      <c r="O47" s="24">
        <f t="shared" si="3"/>
        <v>0.17179487179487635</v>
      </c>
    </row>
    <row r="48" spans="1:15">
      <c r="A48" s="19"/>
      <c r="B48" s="145" t="s">
        <v>29</v>
      </c>
      <c r="C48" s="20"/>
      <c r="D48" s="242" t="s">
        <v>65</v>
      </c>
      <c r="E48" s="20"/>
      <c r="F48" s="166">
        <v>0.79</v>
      </c>
      <c r="G48" s="21">
        <v>1</v>
      </c>
      <c r="H48" s="22">
        <f t="shared" si="7"/>
        <v>0.79</v>
      </c>
      <c r="I48" s="167"/>
      <c r="J48" s="166">
        <v>0.79</v>
      </c>
      <c r="K48" s="21">
        <v>1</v>
      </c>
      <c r="L48" s="22">
        <f t="shared" si="9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484.35987399999999</v>
      </c>
      <c r="I49" s="28"/>
      <c r="J49" s="178"/>
      <c r="K49" s="180"/>
      <c r="L49" s="179">
        <f>SUM(L40:L48)+L39</f>
        <v>522.08257354834529</v>
      </c>
      <c r="M49" s="28"/>
      <c r="N49" s="161">
        <f t="shared" si="2"/>
        <v>37.722699548345304</v>
      </c>
      <c r="O49" s="162">
        <f t="shared" ref="O49:O67" si="10">IF((H49)=0,"",(N49/H49))</f>
        <v>7.7881553723307198E-2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103.89999999999999</v>
      </c>
      <c r="H50" s="16">
        <f>G50*F50</f>
        <v>246.06636999999998</v>
      </c>
      <c r="I50" s="28"/>
      <c r="J50" s="31">
        <v>2.2210744805895501</v>
      </c>
      <c r="K50" s="30">
        <f>F18*(1+J76)</f>
        <v>104.57000000000001</v>
      </c>
      <c r="L50" s="16">
        <f>K50*J50</f>
        <v>232.25775843524929</v>
      </c>
      <c r="M50" s="28"/>
      <c r="N50" s="149">
        <f t="shared" si="2"/>
        <v>-13.808611564750692</v>
      </c>
      <c r="O50" s="18">
        <f t="shared" si="10"/>
        <v>-5.6117427037066028E-2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103.89999999999999</v>
      </c>
      <c r="H51" s="16">
        <f>G51*F51</f>
        <v>165.81401</v>
      </c>
      <c r="I51" s="28"/>
      <c r="J51" s="31">
        <v>1.60624982830355</v>
      </c>
      <c r="K51" s="30">
        <f>K50</f>
        <v>104.57000000000001</v>
      </c>
      <c r="L51" s="16">
        <f>K51*J51</f>
        <v>167.96554454570224</v>
      </c>
      <c r="M51" s="28"/>
      <c r="N51" s="149">
        <f t="shared" si="2"/>
        <v>2.1515345457022477</v>
      </c>
      <c r="O51" s="18">
        <f t="shared" si="10"/>
        <v>1.2975589612133786E-2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896.24025400000005</v>
      </c>
      <c r="I52" s="185"/>
      <c r="J52" s="186"/>
      <c r="K52" s="187"/>
      <c r="L52" s="179">
        <f>SUM(L49:L51)</f>
        <v>922.30587652929671</v>
      </c>
      <c r="M52" s="185"/>
      <c r="N52" s="161">
        <f t="shared" si="2"/>
        <v>26.065622529296661</v>
      </c>
      <c r="O52" s="162">
        <f t="shared" si="10"/>
        <v>2.9083298159130286E-2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103.89999999999999</v>
      </c>
      <c r="H53" s="16">
        <f t="shared" ref="H53:H59" si="11">G53*F53</f>
        <v>0.37403999999999998</v>
      </c>
      <c r="I53" s="28"/>
      <c r="J53" s="31">
        <v>3.5999999999999999E-3</v>
      </c>
      <c r="K53" s="30">
        <f>K51</f>
        <v>104.57000000000001</v>
      </c>
      <c r="L53" s="16">
        <f t="shared" ref="L53:L59" si="12">K53*J53</f>
        <v>0.37645200000000001</v>
      </c>
      <c r="M53" s="28"/>
      <c r="N53" s="149">
        <f t="shared" si="2"/>
        <v>2.4120000000000252E-3</v>
      </c>
      <c r="O53" s="18">
        <f t="shared" si="10"/>
        <v>6.4485081809432824E-3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103.89999999999999</v>
      </c>
      <c r="H54" s="16">
        <f t="shared" si="11"/>
        <v>0.13507</v>
      </c>
      <c r="I54" s="28"/>
      <c r="J54" s="31">
        <v>1.2999999999999999E-3</v>
      </c>
      <c r="K54" s="30">
        <f>K51</f>
        <v>104.57000000000001</v>
      </c>
      <c r="L54" s="16">
        <f t="shared" si="12"/>
        <v>0.13594100000000001</v>
      </c>
      <c r="M54" s="28"/>
      <c r="N54" s="149">
        <f t="shared" si="2"/>
        <v>8.7100000000001065E-4</v>
      </c>
      <c r="O54" s="18">
        <f t="shared" si="10"/>
        <v>6.4485081809432937E-3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100</v>
      </c>
      <c r="H56" s="16">
        <f t="shared" si="11"/>
        <v>0.11</v>
      </c>
      <c r="I56" s="28"/>
      <c r="J56" s="31">
        <v>1.1000000000000001E-3</v>
      </c>
      <c r="K56" s="30">
        <f>F18</f>
        <v>100</v>
      </c>
      <c r="L56" s="16">
        <f t="shared" si="12"/>
        <v>0.11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64</v>
      </c>
      <c r="H57" s="16">
        <f t="shared" si="11"/>
        <v>5.3120000000000003</v>
      </c>
      <c r="I57" s="28"/>
      <c r="J57" s="31">
        <v>8.3000000000000004E-2</v>
      </c>
      <c r="K57" s="189">
        <f>G57</f>
        <v>64</v>
      </c>
      <c r="L57" s="16">
        <f t="shared" si="12"/>
        <v>5.3120000000000003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18</v>
      </c>
      <c r="H58" s="16">
        <f t="shared" si="11"/>
        <v>2.3040000000000003</v>
      </c>
      <c r="I58" s="28"/>
      <c r="J58" s="31">
        <v>0.128</v>
      </c>
      <c r="K58" s="189">
        <f>G58</f>
        <v>18</v>
      </c>
      <c r="L58" s="16">
        <f t="shared" si="12"/>
        <v>2.3040000000000003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18</v>
      </c>
      <c r="H59" s="16">
        <f t="shared" si="11"/>
        <v>3.15</v>
      </c>
      <c r="I59" s="28"/>
      <c r="J59" s="31">
        <v>0.17499999999999999</v>
      </c>
      <c r="K59" s="189">
        <f>G59</f>
        <v>18</v>
      </c>
      <c r="L59" s="16">
        <f t="shared" si="12"/>
        <v>3.15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100</v>
      </c>
      <c r="H60" s="16">
        <f>G60*F60</f>
        <v>9.9</v>
      </c>
      <c r="I60" s="193"/>
      <c r="J60" s="31">
        <v>9.9000000000000005E-2</v>
      </c>
      <c r="K60" s="192">
        <f>G60</f>
        <v>100</v>
      </c>
      <c r="L60" s="16">
        <f>K60*J60</f>
        <v>9.9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0.11600000000000001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907.8753640000001</v>
      </c>
      <c r="I63" s="37"/>
      <c r="J63" s="38"/>
      <c r="K63" s="38"/>
      <c r="L63" s="36">
        <f>SUM(L53:L59,L52)</f>
        <v>933.94426952929666</v>
      </c>
      <c r="M63" s="39"/>
      <c r="N63" s="40">
        <f>L63-H63</f>
        <v>26.068905529296558</v>
      </c>
      <c r="O63" s="41">
        <f>IF((H63)=0,"",(N63/H63))</f>
        <v>2.8714189813940756E-2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118.02379732000001</v>
      </c>
      <c r="I64" s="46"/>
      <c r="J64" s="47">
        <v>0.13</v>
      </c>
      <c r="K64" s="46"/>
      <c r="L64" s="48">
        <f>L63*J64</f>
        <v>121.41275503880857</v>
      </c>
      <c r="M64" s="49"/>
      <c r="N64" s="50">
        <f t="shared" si="2"/>
        <v>3.3889577188085553</v>
      </c>
      <c r="O64" s="18">
        <f t="shared" si="10"/>
        <v>2.8714189813940777E-2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1025.8991613200001</v>
      </c>
      <c r="I65" s="46"/>
      <c r="J65" s="46"/>
      <c r="K65" s="46"/>
      <c r="L65" s="48">
        <f>L63+L64</f>
        <v>1055.3570245681053</v>
      </c>
      <c r="M65" s="49"/>
      <c r="N65" s="50">
        <f t="shared" si="2"/>
        <v>29.457863248105241</v>
      </c>
      <c r="O65" s="18">
        <f t="shared" si="10"/>
        <v>2.8714189813940885E-2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-102.59</v>
      </c>
      <c r="I66" s="46"/>
      <c r="J66" s="46"/>
      <c r="K66" s="46"/>
      <c r="L66" s="53">
        <f>ROUND(-L65*0.1,2)</f>
        <v>-105.54</v>
      </c>
      <c r="M66" s="49"/>
      <c r="N66" s="54">
        <f t="shared" si="2"/>
        <v>-2.9500000000000028</v>
      </c>
      <c r="O66" s="55">
        <f t="shared" si="10"/>
        <v>2.8755239302076251E-2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923.30916132000004</v>
      </c>
      <c r="I67" s="210"/>
      <c r="J67" s="210"/>
      <c r="K67" s="210"/>
      <c r="L67" s="211">
        <f>L65+L66</f>
        <v>949.81702456810535</v>
      </c>
      <c r="M67" s="212"/>
      <c r="N67" s="213">
        <f t="shared" si="2"/>
        <v>26.507863248105309</v>
      </c>
      <c r="O67" s="214">
        <f t="shared" si="10"/>
        <v>2.8709628755560702E-2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907.00936400000012</v>
      </c>
      <c r="I69" s="60"/>
      <c r="J69" s="61"/>
      <c r="K69" s="61"/>
      <c r="L69" s="59">
        <f>SUM(L60:L61,L52,L53:L56)</f>
        <v>933.07826952929668</v>
      </c>
      <c r="M69" s="62"/>
      <c r="N69" s="63">
        <f>L69-H69</f>
        <v>26.068905529296558</v>
      </c>
      <c r="O69" s="41">
        <f>IF((H69)=0,"",(N69/H69))</f>
        <v>2.8741605725358922E-2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117.91121732000002</v>
      </c>
      <c r="I70" s="67"/>
      <c r="J70" s="68">
        <v>0.13</v>
      </c>
      <c r="K70" s="69"/>
      <c r="L70" s="70">
        <f>L69*J70</f>
        <v>121.30017503880858</v>
      </c>
      <c r="M70" s="71"/>
      <c r="N70" s="72">
        <f>L70-H70</f>
        <v>3.3889577188085553</v>
      </c>
      <c r="O70" s="18">
        <f>IF((H70)=0,"",(N70/H70))</f>
        <v>2.8741605725358946E-2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1024.9205813200001</v>
      </c>
      <c r="I71" s="67"/>
      <c r="J71" s="67"/>
      <c r="K71" s="67"/>
      <c r="L71" s="70">
        <f>L69+L70</f>
        <v>1054.3784445681054</v>
      </c>
      <c r="M71" s="71"/>
      <c r="N71" s="72">
        <f>L71-H71</f>
        <v>29.457863248105241</v>
      </c>
      <c r="O71" s="18">
        <f>IF((H71)=0,"",(N71/H71))</f>
        <v>2.8741605725359051E-2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-102.49</v>
      </c>
      <c r="I72" s="67"/>
      <c r="J72" s="67"/>
      <c r="K72" s="67"/>
      <c r="L72" s="76">
        <f>ROUND(-L71*0.1,2)</f>
        <v>-105.44</v>
      </c>
      <c r="M72" s="71"/>
      <c r="N72" s="77">
        <f>L72-H72</f>
        <v>-2.9500000000000028</v>
      </c>
      <c r="O72" s="55">
        <f>IF((H72)=0,"",(N72/H72))</f>
        <v>2.8783295931310401E-2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922.4305813200001</v>
      </c>
      <c r="I73" s="60"/>
      <c r="J73" s="60"/>
      <c r="K73" s="60"/>
      <c r="L73" s="223">
        <f>SUM(L71:L72)</f>
        <v>948.9384445681053</v>
      </c>
      <c r="M73" s="62"/>
      <c r="N73" s="63">
        <f>L73-H73</f>
        <v>26.507863248105195</v>
      </c>
      <c r="O73" s="41">
        <f>IF((H73)=0,"",(N73/H73))</f>
        <v>2.8736973583608195E-2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0">
    <pageSetUpPr fitToPage="1"/>
  </sheetPr>
  <dimension ref="A1:T92"/>
  <sheetViews>
    <sheetView showGridLines="0" topLeftCell="A49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3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8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89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1"/>
      <c r="N5" s="3"/>
      <c r="O5" s="4"/>
    </row>
    <row r="6" spans="1:20" s="2" customFormat="1" ht="12.75" customHeight="1">
      <c r="B6" s="9"/>
      <c r="G6" s="90"/>
      <c r="K6" s="91"/>
      <c r="N6" s="3"/>
      <c r="O6" s="11"/>
    </row>
    <row r="7" spans="1:20" s="2" customFormat="1" ht="12.75" customHeight="1">
      <c r="B7" s="9"/>
      <c r="G7" s="90"/>
      <c r="K7" s="91"/>
      <c r="N7" s="3"/>
      <c r="O7" s="4"/>
    </row>
    <row r="8" spans="1:20" s="2" customFormat="1" ht="12.75" customHeight="1">
      <c r="B8" s="9"/>
      <c r="G8" s="90"/>
      <c r="K8" s="91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66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68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68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68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</v>
      </c>
      <c r="G18" s="235" t="s">
        <v>67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69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70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2.6</v>
      </c>
      <c r="G23" s="25">
        <v>1</v>
      </c>
      <c r="H23" s="16">
        <f>G23*F23</f>
        <v>2.6</v>
      </c>
      <c r="I23" s="28"/>
      <c r="J23" s="148">
        <v>3</v>
      </c>
      <c r="K23" s="94">
        <v>1</v>
      </c>
      <c r="L23" s="16">
        <f>K23*J23</f>
        <v>3</v>
      </c>
      <c r="M23" s="28"/>
      <c r="N23" s="149">
        <f>L23-H23</f>
        <v>0.39999999999999991</v>
      </c>
      <c r="O23" s="18">
        <f>IF((H23)=0,"",(N23/H23))</f>
        <v>0.1538461538461538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94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94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94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94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94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v>7.8817000000000004</v>
      </c>
      <c r="G29" s="25">
        <f t="shared" ref="G29:G38" si="4">$F$18</f>
        <v>1</v>
      </c>
      <c r="H29" s="16">
        <f t="shared" si="0"/>
        <v>7.8817000000000004</v>
      </c>
      <c r="I29" s="28"/>
      <c r="J29" s="148">
        <v>9.3166669700141505</v>
      </c>
      <c r="K29" s="95">
        <f>$F$18</f>
        <v>1</v>
      </c>
      <c r="L29" s="16">
        <f t="shared" si="1"/>
        <v>9.3166669700141505</v>
      </c>
      <c r="M29" s="28"/>
      <c r="N29" s="149">
        <f t="shared" si="2"/>
        <v>1.4349669700141501</v>
      </c>
      <c r="O29" s="18">
        <f t="shared" si="3"/>
        <v>0.18206312978344139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</v>
      </c>
      <c r="H30" s="16">
        <f t="shared" si="0"/>
        <v>0</v>
      </c>
      <c r="I30" s="28"/>
      <c r="J30" s="31"/>
      <c r="K30" s="95">
        <f t="shared" ref="K30:K38" si="5">$F$18</f>
        <v>1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</v>
      </c>
      <c r="H31" s="16">
        <f t="shared" si="0"/>
        <v>0</v>
      </c>
      <c r="I31" s="28"/>
      <c r="J31" s="31"/>
      <c r="K31" s="95">
        <f t="shared" si="5"/>
        <v>1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</v>
      </c>
      <c r="H32" s="16">
        <f>G32*F32</f>
        <v>0</v>
      </c>
      <c r="I32" s="28"/>
      <c r="J32" s="31"/>
      <c r="K32" s="95">
        <f t="shared" si="5"/>
        <v>1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</v>
      </c>
      <c r="H33" s="16">
        <f>G33*F33</f>
        <v>0</v>
      </c>
      <c r="I33" s="28"/>
      <c r="J33" s="31"/>
      <c r="K33" s="95">
        <f t="shared" si="5"/>
        <v>1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</v>
      </c>
      <c r="H34" s="16">
        <f>G34*F34</f>
        <v>0</v>
      </c>
      <c r="I34" s="28"/>
      <c r="J34" s="31"/>
      <c r="K34" s="95">
        <f t="shared" si="5"/>
        <v>1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</v>
      </c>
      <c r="H35" s="16">
        <f t="shared" si="0"/>
        <v>0</v>
      </c>
      <c r="I35" s="28"/>
      <c r="J35" s="31"/>
      <c r="K35" s="95">
        <f t="shared" si="5"/>
        <v>1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</v>
      </c>
      <c r="H36" s="16">
        <f t="shared" si="0"/>
        <v>0</v>
      </c>
      <c r="I36" s="28"/>
      <c r="J36" s="31"/>
      <c r="K36" s="95">
        <f t="shared" si="5"/>
        <v>1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</v>
      </c>
      <c r="H37" s="16">
        <f t="shared" si="0"/>
        <v>0</v>
      </c>
      <c r="I37" s="28"/>
      <c r="J37" s="31"/>
      <c r="K37" s="95">
        <f t="shared" si="5"/>
        <v>1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</v>
      </c>
      <c r="H38" s="16">
        <f t="shared" si="0"/>
        <v>0</v>
      </c>
      <c r="I38" s="28"/>
      <c r="J38" s="31"/>
      <c r="K38" s="95">
        <f t="shared" si="5"/>
        <v>1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10.4817</v>
      </c>
      <c r="I39" s="28"/>
      <c r="J39" s="159"/>
      <c r="K39" s="271"/>
      <c r="L39" s="158">
        <f>SUM(L23:L38)</f>
        <v>12.31666697001415</v>
      </c>
      <c r="M39" s="28"/>
      <c r="N39" s="161">
        <f t="shared" si="2"/>
        <v>1.8349669700141504</v>
      </c>
      <c r="O39" s="162">
        <f t="shared" si="3"/>
        <v>0.17506387036589011</v>
      </c>
    </row>
    <row r="40" spans="1:15" ht="51">
      <c r="A40" s="163"/>
      <c r="B40" s="164" t="s">
        <v>71</v>
      </c>
      <c r="C40" s="20"/>
      <c r="D40" s="242" t="s">
        <v>65</v>
      </c>
      <c r="E40" s="20"/>
      <c r="F40" s="166"/>
      <c r="G40" s="21">
        <f t="shared" ref="G40:G46" si="6">$F$18</f>
        <v>1</v>
      </c>
      <c r="H40" s="22">
        <f t="shared" ref="H40:H48" si="7">G40*F40</f>
        <v>0</v>
      </c>
      <c r="I40" s="167"/>
      <c r="J40" s="166">
        <v>-0.29785756804883301</v>
      </c>
      <c r="K40" s="96">
        <f t="shared" ref="K40:K46" si="8">$F$18</f>
        <v>1</v>
      </c>
      <c r="L40" s="22">
        <f t="shared" ref="L40:L48" si="9">K40*J40</f>
        <v>-0.29785756804883301</v>
      </c>
      <c r="M40" s="167"/>
      <c r="N40" s="168">
        <f t="shared" si="2"/>
        <v>-0.29785756804883301</v>
      </c>
      <c r="O40" s="24" t="str">
        <f>IF((H40)=0,"",(N40/H40))</f>
        <v/>
      </c>
    </row>
    <row r="41" spans="1:15" ht="51">
      <c r="A41" s="169"/>
      <c r="B41" s="164" t="s">
        <v>72</v>
      </c>
      <c r="C41" s="20"/>
      <c r="D41" s="242" t="s">
        <v>65</v>
      </c>
      <c r="E41" s="20"/>
      <c r="F41" s="166"/>
      <c r="G41" s="21">
        <f t="shared" si="6"/>
        <v>1</v>
      </c>
      <c r="H41" s="22">
        <f t="shared" si="7"/>
        <v>0</v>
      </c>
      <c r="I41" s="167"/>
      <c r="J41" s="166">
        <v>-0.96497757312572097</v>
      </c>
      <c r="K41" s="96">
        <f t="shared" si="8"/>
        <v>1</v>
      </c>
      <c r="L41" s="22">
        <f t="shared" si="9"/>
        <v>-0.96497757312572097</v>
      </c>
      <c r="M41" s="167"/>
      <c r="N41" s="168">
        <f t="shared" si="2"/>
        <v>-0.96497757312572097</v>
      </c>
      <c r="O41" s="24" t="str">
        <f>IF((H41)=0,"",(N41/H41))</f>
        <v/>
      </c>
    </row>
    <row r="42" spans="1:15" ht="38.25">
      <c r="A42" s="169"/>
      <c r="B42" s="164" t="s">
        <v>73</v>
      </c>
      <c r="C42" s="20"/>
      <c r="D42" s="242" t="s">
        <v>65</v>
      </c>
      <c r="E42" s="20"/>
      <c r="F42" s="166"/>
      <c r="G42" s="21">
        <f t="shared" si="6"/>
        <v>1</v>
      </c>
      <c r="H42" s="22"/>
      <c r="I42" s="167"/>
      <c r="J42" s="166">
        <v>0</v>
      </c>
      <c r="K42" s="96">
        <f t="shared" si="8"/>
        <v>1</v>
      </c>
      <c r="L42" s="22">
        <f t="shared" si="9"/>
        <v>0</v>
      </c>
      <c r="M42" s="167"/>
      <c r="N42" s="168">
        <f t="shared" si="2"/>
        <v>0</v>
      </c>
      <c r="O42" s="24"/>
    </row>
    <row r="43" spans="1:15" ht="25.5">
      <c r="A43" s="169"/>
      <c r="B43" s="164" t="s">
        <v>74</v>
      </c>
      <c r="C43" s="20"/>
      <c r="D43" s="242" t="s">
        <v>65</v>
      </c>
      <c r="E43" s="20"/>
      <c r="F43" s="166"/>
      <c r="G43" s="21">
        <f t="shared" si="6"/>
        <v>1</v>
      </c>
      <c r="H43" s="22"/>
      <c r="I43" s="167"/>
      <c r="J43" s="166">
        <v>2.8831374867736501E-2</v>
      </c>
      <c r="K43" s="96">
        <f t="shared" si="8"/>
        <v>1</v>
      </c>
      <c r="L43" s="22">
        <f t="shared" si="9"/>
        <v>2.8831374867736501E-2</v>
      </c>
      <c r="M43" s="167"/>
      <c r="N43" s="168">
        <f t="shared" si="2"/>
        <v>2.8831374867736501E-2</v>
      </c>
      <c r="O43" s="24"/>
    </row>
    <row r="44" spans="1:15" ht="25.5">
      <c r="A44" s="163"/>
      <c r="B44" s="164" t="s">
        <v>75</v>
      </c>
      <c r="C44" s="20"/>
      <c r="D44" s="242" t="s">
        <v>65</v>
      </c>
      <c r="E44" s="20"/>
      <c r="F44" s="166"/>
      <c r="G44" s="21">
        <f t="shared" si="6"/>
        <v>1</v>
      </c>
      <c r="H44" s="22">
        <f t="shared" si="7"/>
        <v>0</v>
      </c>
      <c r="I44" s="167"/>
      <c r="J44" s="166">
        <v>-0.145291869462642</v>
      </c>
      <c r="K44" s="96">
        <f t="shared" si="8"/>
        <v>1</v>
      </c>
      <c r="L44" s="22">
        <f t="shared" si="9"/>
        <v>-0.145291869462642</v>
      </c>
      <c r="M44" s="167"/>
      <c r="N44" s="168">
        <f t="shared" si="2"/>
        <v>-0.145291869462642</v>
      </c>
      <c r="O44" s="24" t="str">
        <f>IF((H44)=0,"",(N44/H44))</f>
        <v/>
      </c>
    </row>
    <row r="45" spans="1:15" ht="25.5">
      <c r="A45" s="163"/>
      <c r="B45" s="164" t="s">
        <v>76</v>
      </c>
      <c r="C45" s="20"/>
      <c r="D45" s="242" t="s">
        <v>65</v>
      </c>
      <c r="E45" s="20"/>
      <c r="F45" s="166"/>
      <c r="G45" s="21">
        <f t="shared" si="6"/>
        <v>1</v>
      </c>
      <c r="H45" s="22">
        <f t="shared" si="7"/>
        <v>0</v>
      </c>
      <c r="I45" s="167"/>
      <c r="J45" s="166">
        <v>0.11175891074687599</v>
      </c>
      <c r="K45" s="96">
        <f t="shared" si="8"/>
        <v>1</v>
      </c>
      <c r="L45" s="22">
        <f t="shared" si="9"/>
        <v>0.11175891074687599</v>
      </c>
      <c r="M45" s="167"/>
      <c r="N45" s="168">
        <f t="shared" si="2"/>
        <v>0.11175891074687599</v>
      </c>
      <c r="O45" s="24" t="str">
        <f>IF((H45)=0,"",(N45/H45))</f>
        <v/>
      </c>
    </row>
    <row r="46" spans="1:15">
      <c r="A46" s="163"/>
      <c r="B46" s="164" t="s">
        <v>27</v>
      </c>
      <c r="C46" s="20"/>
      <c r="D46" s="242" t="s">
        <v>65</v>
      </c>
      <c r="E46" s="20"/>
      <c r="F46" s="166">
        <v>0.31209999999999999</v>
      </c>
      <c r="G46" s="21">
        <f t="shared" si="6"/>
        <v>1</v>
      </c>
      <c r="H46" s="22">
        <f t="shared" si="7"/>
        <v>0.31209999999999999</v>
      </c>
      <c r="I46" s="167"/>
      <c r="J46" s="166">
        <v>0.22</v>
      </c>
      <c r="K46" s="96">
        <f t="shared" si="8"/>
        <v>1</v>
      </c>
      <c r="L46" s="22">
        <f t="shared" si="9"/>
        <v>0.22</v>
      </c>
      <c r="M46" s="167"/>
      <c r="N46" s="168">
        <f t="shared" si="2"/>
        <v>-9.2099999999999987E-2</v>
      </c>
      <c r="O46" s="24">
        <f>IF((H46)=0,"",(N46/H46))</f>
        <v>-0.29509772508811277</v>
      </c>
    </row>
    <row r="47" spans="1:15">
      <c r="A47" s="19"/>
      <c r="B47" s="145" t="s">
        <v>28</v>
      </c>
      <c r="C47" s="20"/>
      <c r="D47" s="242" t="s">
        <v>65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3.8999999999999924E-2</v>
      </c>
      <c r="H47" s="22">
        <f t="shared" si="7"/>
        <v>4.1987399999999916E-3</v>
      </c>
      <c r="I47" s="167"/>
      <c r="J47" s="166">
        <f>0.64*$F$57+0.18*$F$58+0.18*$F$59</f>
        <v>0.10766000000000001</v>
      </c>
      <c r="K47" s="96">
        <f>$F$18*(1+$J$76)-$F$18</f>
        <v>4.5700000000000074E-2</v>
      </c>
      <c r="L47" s="22">
        <f t="shared" si="9"/>
        <v>4.920062000000008E-3</v>
      </c>
      <c r="M47" s="167"/>
      <c r="N47" s="168">
        <f t="shared" si="2"/>
        <v>7.2132200000001642E-4</v>
      </c>
      <c r="O47" s="24">
        <f t="shared" si="3"/>
        <v>0.17179487179487604</v>
      </c>
    </row>
    <row r="48" spans="1:15">
      <c r="A48" s="19"/>
      <c r="B48" s="145" t="s">
        <v>29</v>
      </c>
      <c r="C48" s="20"/>
      <c r="D48" s="242" t="s">
        <v>65</v>
      </c>
      <c r="E48" s="20"/>
      <c r="F48" s="166">
        <v>0.79</v>
      </c>
      <c r="G48" s="21">
        <v>1</v>
      </c>
      <c r="H48" s="22">
        <f t="shared" si="7"/>
        <v>0.79</v>
      </c>
      <c r="I48" s="167"/>
      <c r="J48" s="166">
        <v>0.79</v>
      </c>
      <c r="K48" s="96">
        <v>1</v>
      </c>
      <c r="L48" s="22">
        <f t="shared" si="9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11.58799874</v>
      </c>
      <c r="I49" s="28"/>
      <c r="J49" s="178"/>
      <c r="K49" s="272"/>
      <c r="L49" s="179">
        <f>SUM(L40:L48)+L39</f>
        <v>12.064050306991566</v>
      </c>
      <c r="M49" s="28"/>
      <c r="N49" s="161">
        <f t="shared" si="2"/>
        <v>0.47605156699156659</v>
      </c>
      <c r="O49" s="162">
        <f t="shared" ref="O49:O67" si="10">IF((H49)=0,"",(N49/H49))</f>
        <v>4.108143068296248E-2</v>
      </c>
    </row>
    <row r="50" spans="2:19">
      <c r="B50" s="181" t="s">
        <v>31</v>
      </c>
      <c r="C50" s="28"/>
      <c r="D50" s="146" t="s">
        <v>65</v>
      </c>
      <c r="E50" s="28"/>
      <c r="F50" s="31">
        <v>1.7950999999999999</v>
      </c>
      <c r="G50" s="100">
        <f>F18*(1+F76)</f>
        <v>1.0389999999999999</v>
      </c>
      <c r="H50" s="16">
        <f>G50*F50</f>
        <v>1.8651088999999998</v>
      </c>
      <c r="I50" s="28"/>
      <c r="J50" s="31">
        <v>1.6835044305615201</v>
      </c>
      <c r="K50" s="101">
        <f>F18*(1+J76)</f>
        <v>1.0457000000000001</v>
      </c>
      <c r="L50" s="16">
        <f>K50*J50</f>
        <v>1.7604405830381817</v>
      </c>
      <c r="M50" s="28"/>
      <c r="N50" s="149">
        <f t="shared" si="2"/>
        <v>-0.10466831696181811</v>
      </c>
      <c r="O50" s="18">
        <f t="shared" si="10"/>
        <v>-5.6119145086819387E-2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1.2596000000000001</v>
      </c>
      <c r="G51" s="100">
        <f>G50</f>
        <v>1.0389999999999999</v>
      </c>
      <c r="H51" s="16">
        <f>G51*F51</f>
        <v>1.3087244</v>
      </c>
      <c r="I51" s="28"/>
      <c r="J51" s="31">
        <v>1.2677724745637999</v>
      </c>
      <c r="K51" s="101">
        <f>K50</f>
        <v>1.0457000000000001</v>
      </c>
      <c r="L51" s="16">
        <f>K51*J51</f>
        <v>1.3257096766513656</v>
      </c>
      <c r="M51" s="28"/>
      <c r="N51" s="149">
        <f t="shared" si="2"/>
        <v>1.6985276651365622E-2</v>
      </c>
      <c r="O51" s="18">
        <f t="shared" si="10"/>
        <v>1.2978497727531955E-2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14.761832039999998</v>
      </c>
      <c r="I52" s="185"/>
      <c r="J52" s="186"/>
      <c r="K52" s="273"/>
      <c r="L52" s="179">
        <f>SUM(L49:L51)</f>
        <v>15.150200566681114</v>
      </c>
      <c r="M52" s="185"/>
      <c r="N52" s="161">
        <f t="shared" si="2"/>
        <v>0.38836852668111632</v>
      </c>
      <c r="O52" s="162">
        <f t="shared" si="10"/>
        <v>2.6308965284847961E-2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v>10</v>
      </c>
      <c r="H53" s="97">
        <f t="shared" ref="H53:H59" si="11">G53*F53</f>
        <v>3.5999999999999997E-2</v>
      </c>
      <c r="I53" s="19"/>
      <c r="J53" s="31">
        <v>3.5999999999999999E-3</v>
      </c>
      <c r="K53" s="101">
        <v>10</v>
      </c>
      <c r="L53" s="98">
        <f>K53*J53</f>
        <v>3.5999999999999997E-2</v>
      </c>
      <c r="M53" s="28"/>
      <c r="N53" s="274">
        <f t="shared" si="2"/>
        <v>0</v>
      </c>
      <c r="O53" s="18">
        <f>IF((H53)=0,"",(N53/H53))</f>
        <v>0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1.0389999999999999</v>
      </c>
      <c r="H54" s="99">
        <f t="shared" si="11"/>
        <v>1.3506999999999998E-3</v>
      </c>
      <c r="I54" s="19"/>
      <c r="J54" s="31">
        <v>1.2999999999999999E-3</v>
      </c>
      <c r="K54" s="101">
        <f>K51</f>
        <v>1.0457000000000001</v>
      </c>
      <c r="L54" s="16">
        <f t="shared" ref="L54:L59" si="12">K54*J54</f>
        <v>1.3594100000000001E-3</v>
      </c>
      <c r="M54" s="28"/>
      <c r="N54" s="149">
        <f t="shared" si="2"/>
        <v>8.7100000000003147E-6</v>
      </c>
      <c r="O54" s="18">
        <f t="shared" si="10"/>
        <v>6.4485081809434481E-3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94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</v>
      </c>
      <c r="H56" s="99">
        <f t="shared" si="11"/>
        <v>1.1000000000000001E-3</v>
      </c>
      <c r="I56" s="19"/>
      <c r="J56" s="31">
        <v>1.1000000000000001E-3</v>
      </c>
      <c r="K56" s="101">
        <f>F18</f>
        <v>1</v>
      </c>
      <c r="L56" s="16">
        <f t="shared" si="12"/>
        <v>1.1000000000000001E-3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0.64</v>
      </c>
      <c r="H57" s="99">
        <f t="shared" si="11"/>
        <v>5.3120000000000001E-2</v>
      </c>
      <c r="I57" s="19"/>
      <c r="J57" s="102">
        <v>8.3000000000000004E-2</v>
      </c>
      <c r="K57" s="275">
        <f>G57</f>
        <v>0.64</v>
      </c>
      <c r="L57" s="16">
        <f t="shared" si="12"/>
        <v>5.3120000000000001E-2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0.18</v>
      </c>
      <c r="H58" s="99">
        <f t="shared" si="11"/>
        <v>2.3039999999999998E-2</v>
      </c>
      <c r="I58" s="19"/>
      <c r="J58" s="102">
        <v>0.128</v>
      </c>
      <c r="K58" s="275">
        <f>G58</f>
        <v>0.18</v>
      </c>
      <c r="L58" s="16">
        <f t="shared" si="12"/>
        <v>2.3039999999999998E-2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0.18</v>
      </c>
      <c r="H59" s="99">
        <f t="shared" si="11"/>
        <v>3.15E-2</v>
      </c>
      <c r="I59" s="19"/>
      <c r="J59" s="102">
        <v>0.17499999999999999</v>
      </c>
      <c r="K59" s="275">
        <f>G59</f>
        <v>0.18</v>
      </c>
      <c r="L59" s="16">
        <f t="shared" si="12"/>
        <v>3.15E-2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1</v>
      </c>
      <c r="H60" s="99">
        <f>G60*F60</f>
        <v>9.9000000000000005E-2</v>
      </c>
      <c r="I60" s="250"/>
      <c r="J60" s="102">
        <v>9.9000000000000005E-2</v>
      </c>
      <c r="K60" s="276">
        <f>G60</f>
        <v>1</v>
      </c>
      <c r="L60" s="16">
        <f>K60*J60</f>
        <v>9.9000000000000005E-2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0"/>
      <c r="J61" s="102">
        <v>0.11600000000000001</v>
      </c>
      <c r="K61" s="276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77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15.157942739999998</v>
      </c>
      <c r="I63" s="37"/>
      <c r="J63" s="38"/>
      <c r="K63" s="104"/>
      <c r="L63" s="36">
        <f>SUM(L53:L59,L52)</f>
        <v>15.546319976681115</v>
      </c>
      <c r="M63" s="39"/>
      <c r="N63" s="40">
        <f>L63-H63</f>
        <v>0.38837723668111757</v>
      </c>
      <c r="O63" s="41">
        <f>IF((H63)=0,"",(N63/H63))</f>
        <v>2.5622028222618661E-2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1.9705325561999998</v>
      </c>
      <c r="I64" s="46"/>
      <c r="J64" s="47">
        <v>0.13</v>
      </c>
      <c r="K64" s="106"/>
      <c r="L64" s="48">
        <f>L63*J64</f>
        <v>2.021021596968545</v>
      </c>
      <c r="M64" s="49"/>
      <c r="N64" s="50">
        <f t="shared" si="2"/>
        <v>5.0489040768545213E-2</v>
      </c>
      <c r="O64" s="18">
        <f t="shared" si="10"/>
        <v>2.5622028222618623E-2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17.128475296199998</v>
      </c>
      <c r="I65" s="46"/>
      <c r="J65" s="46"/>
      <c r="K65" s="106"/>
      <c r="L65" s="48">
        <f>L63+L64</f>
        <v>17.56734157364966</v>
      </c>
      <c r="M65" s="49"/>
      <c r="N65" s="50">
        <f t="shared" si="2"/>
        <v>0.43886627744966233</v>
      </c>
      <c r="O65" s="18">
        <f t="shared" si="10"/>
        <v>2.562202822261863E-2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-1.71</v>
      </c>
      <c r="I66" s="46"/>
      <c r="J66" s="46"/>
      <c r="K66" s="106"/>
      <c r="L66" s="53">
        <f>ROUND(-L65*0.1,2)</f>
        <v>-1.76</v>
      </c>
      <c r="M66" s="49"/>
      <c r="N66" s="54">
        <f t="shared" si="2"/>
        <v>-5.0000000000000044E-2</v>
      </c>
      <c r="O66" s="55">
        <f t="shared" si="10"/>
        <v>2.9239766081871371E-2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15.418475296199997</v>
      </c>
      <c r="I67" s="210"/>
      <c r="J67" s="210"/>
      <c r="K67" s="278"/>
      <c r="L67" s="211">
        <f>L65+L66</f>
        <v>15.80734157364966</v>
      </c>
      <c r="M67" s="212"/>
      <c r="N67" s="213">
        <f t="shared" si="2"/>
        <v>0.3888662774496634</v>
      </c>
      <c r="O67" s="214">
        <f t="shared" si="10"/>
        <v>2.5220799721065969E-2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79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15.149282739999997</v>
      </c>
      <c r="I69" s="60"/>
      <c r="J69" s="61"/>
      <c r="K69" s="108"/>
      <c r="L69" s="59">
        <f>SUM(L60:L61,L52,L53:L56)</f>
        <v>15.537659976681113</v>
      </c>
      <c r="M69" s="62"/>
      <c r="N69" s="63">
        <f>L69-H69</f>
        <v>0.38837723668111579</v>
      </c>
      <c r="O69" s="41">
        <f>IF((H69)=0,"",(N69/H69))</f>
        <v>2.5636674907099654E-2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1.9694067561999997</v>
      </c>
      <c r="I70" s="67"/>
      <c r="J70" s="68">
        <v>0.13</v>
      </c>
      <c r="K70" s="109"/>
      <c r="L70" s="70">
        <f>L69*J70</f>
        <v>2.0198957969685445</v>
      </c>
      <c r="M70" s="71"/>
      <c r="N70" s="72">
        <f>L70-H70</f>
        <v>5.0489040768544768E-2</v>
      </c>
      <c r="O70" s="18">
        <f>IF((H70)=0,"",(N70/H70))</f>
        <v>2.5636674907099508E-2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17.118689496199998</v>
      </c>
      <c r="I71" s="67"/>
      <c r="J71" s="67"/>
      <c r="K71" s="111"/>
      <c r="L71" s="70">
        <f>L69+L70</f>
        <v>17.557555773649657</v>
      </c>
      <c r="M71" s="71"/>
      <c r="N71" s="72">
        <f>L71-H71</f>
        <v>0.43886627744965878</v>
      </c>
      <c r="O71" s="18">
        <f>IF((H71)=0,"",(N71/H71))</f>
        <v>2.5636674907099529E-2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-1.71</v>
      </c>
      <c r="I72" s="67"/>
      <c r="J72" s="67"/>
      <c r="K72" s="111"/>
      <c r="L72" s="76">
        <f>ROUND(-L71*0.1,2)</f>
        <v>-1.76</v>
      </c>
      <c r="M72" s="71"/>
      <c r="N72" s="77">
        <f>L72-H72</f>
        <v>-5.0000000000000044E-2</v>
      </c>
      <c r="O72" s="55">
        <f>IF((H72)=0,"",(N72/H72))</f>
        <v>2.9239766081871371E-2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15.408689496199997</v>
      </c>
      <c r="I73" s="60"/>
      <c r="J73" s="60"/>
      <c r="K73" s="280"/>
      <c r="L73" s="223">
        <f>SUM(L71:L72)</f>
        <v>15.797555773649657</v>
      </c>
      <c r="M73" s="62"/>
      <c r="N73" s="63">
        <f>L73-H73</f>
        <v>0.38886627744965985</v>
      </c>
      <c r="O73" s="41">
        <f>IF((H73)=0,"",(N73/H73))</f>
        <v>2.5236817027532409E-2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81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1">
    <pageSetUpPr fitToPage="1"/>
  </sheetPr>
  <dimension ref="A1:T92"/>
  <sheetViews>
    <sheetView showGridLines="0" topLeftCell="A52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5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1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68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115</v>
      </c>
      <c r="G18" s="235" t="s">
        <v>67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2.2200000000000002</v>
      </c>
      <c r="G23" s="25">
        <v>2300</v>
      </c>
      <c r="H23" s="16">
        <f>G23*F23</f>
        <v>5106</v>
      </c>
      <c r="I23" s="28"/>
      <c r="J23" s="148">
        <v>2.41</v>
      </c>
      <c r="K23" s="112">
        <v>2300</v>
      </c>
      <c r="L23" s="16">
        <f>K23*J23</f>
        <v>5543</v>
      </c>
      <c r="M23" s="28"/>
      <c r="N23" s="149">
        <f>L23-H23</f>
        <v>437</v>
      </c>
      <c r="O23" s="18">
        <f>IF((H23)=0,"",(N23/H23))</f>
        <v>8.5585585585585586E-2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12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12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12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12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12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v>12.1768</v>
      </c>
      <c r="G29" s="25">
        <f t="shared" ref="G29:G38" si="4">$F$18</f>
        <v>115</v>
      </c>
      <c r="H29" s="16">
        <f t="shared" si="0"/>
        <v>1400.3320000000001</v>
      </c>
      <c r="I29" s="28"/>
      <c r="J29" s="148">
        <v>13.2070748336296</v>
      </c>
      <c r="K29" s="25">
        <f>$F$18</f>
        <v>115</v>
      </c>
      <c r="L29" s="16">
        <f t="shared" si="1"/>
        <v>1518.813605867404</v>
      </c>
      <c r="M29" s="28"/>
      <c r="N29" s="149">
        <f t="shared" si="2"/>
        <v>118.48160586740391</v>
      </c>
      <c r="O29" s="18">
        <f t="shared" si="3"/>
        <v>8.4609653901648971E-2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115</v>
      </c>
      <c r="H30" s="16">
        <f t="shared" si="0"/>
        <v>0</v>
      </c>
      <c r="I30" s="28"/>
      <c r="J30" s="31"/>
      <c r="K30" s="25">
        <f t="shared" ref="K30:K38" si="5">$F$18</f>
        <v>115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115</v>
      </c>
      <c r="H31" s="16">
        <f t="shared" si="0"/>
        <v>0</v>
      </c>
      <c r="I31" s="28"/>
      <c r="J31" s="31"/>
      <c r="K31" s="25">
        <f t="shared" si="5"/>
        <v>115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115</v>
      </c>
      <c r="H32" s="16">
        <f>G32*F32</f>
        <v>0</v>
      </c>
      <c r="I32" s="28"/>
      <c r="J32" s="31"/>
      <c r="K32" s="25">
        <f t="shared" si="5"/>
        <v>115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115</v>
      </c>
      <c r="H33" s="16">
        <f>G33*F33</f>
        <v>0</v>
      </c>
      <c r="I33" s="28"/>
      <c r="J33" s="31"/>
      <c r="K33" s="25">
        <f t="shared" si="5"/>
        <v>115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115</v>
      </c>
      <c r="H34" s="16">
        <f>G34*F34</f>
        <v>0</v>
      </c>
      <c r="I34" s="28"/>
      <c r="J34" s="31"/>
      <c r="K34" s="25">
        <f t="shared" si="5"/>
        <v>115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115</v>
      </c>
      <c r="H35" s="16">
        <f t="shared" si="0"/>
        <v>0</v>
      </c>
      <c r="I35" s="28"/>
      <c r="J35" s="31"/>
      <c r="K35" s="25">
        <f t="shared" si="5"/>
        <v>115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115</v>
      </c>
      <c r="H36" s="16">
        <f t="shared" si="0"/>
        <v>0</v>
      </c>
      <c r="I36" s="28"/>
      <c r="J36" s="31"/>
      <c r="K36" s="25">
        <f t="shared" si="5"/>
        <v>115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115</v>
      </c>
      <c r="H37" s="16">
        <f t="shared" si="0"/>
        <v>0</v>
      </c>
      <c r="I37" s="28"/>
      <c r="J37" s="31"/>
      <c r="K37" s="25">
        <f t="shared" si="5"/>
        <v>115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115</v>
      </c>
      <c r="H38" s="16">
        <f t="shared" si="0"/>
        <v>0</v>
      </c>
      <c r="I38" s="28"/>
      <c r="J38" s="31"/>
      <c r="K38" s="25">
        <f t="shared" si="5"/>
        <v>115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6506.3320000000003</v>
      </c>
      <c r="I39" s="28"/>
      <c r="J39" s="159"/>
      <c r="K39" s="261"/>
      <c r="L39" s="158">
        <f>SUM(L23:L38)</f>
        <v>7061.8136058674045</v>
      </c>
      <c r="M39" s="28"/>
      <c r="N39" s="161">
        <f t="shared" si="2"/>
        <v>555.48160586740414</v>
      </c>
      <c r="O39" s="162">
        <f t="shared" si="3"/>
        <v>8.5375539684634003E-2</v>
      </c>
    </row>
    <row r="40" spans="1:15" ht="51">
      <c r="A40" s="163"/>
      <c r="B40" s="164" t="s">
        <v>71</v>
      </c>
      <c r="C40" s="20"/>
      <c r="D40" s="146" t="s">
        <v>65</v>
      </c>
      <c r="E40" s="14"/>
      <c r="F40" s="172"/>
      <c r="G40" s="25">
        <f t="shared" ref="G40:G46" si="6">$F$18</f>
        <v>115</v>
      </c>
      <c r="H40" s="26">
        <f t="shared" ref="H40:H48" si="7">G40*F40</f>
        <v>0</v>
      </c>
      <c r="I40" s="173"/>
      <c r="J40" s="172">
        <v>-0.29480743664353898</v>
      </c>
      <c r="K40" s="25">
        <f t="shared" ref="K40:K46" si="8">$F$18</f>
        <v>115</v>
      </c>
      <c r="L40" s="26">
        <f t="shared" ref="L40:L48" si="9">K40*J40</f>
        <v>-33.902855214006983</v>
      </c>
      <c r="M40" s="173"/>
      <c r="N40" s="174">
        <f t="shared" si="2"/>
        <v>-33.902855214006983</v>
      </c>
      <c r="O40" s="27" t="str">
        <f t="shared" si="3"/>
        <v/>
      </c>
    </row>
    <row r="41" spans="1:15" ht="51">
      <c r="A41" s="169"/>
      <c r="B41" s="164" t="s">
        <v>72</v>
      </c>
      <c r="C41" s="20"/>
      <c r="D41" s="242" t="s">
        <v>65</v>
      </c>
      <c r="E41" s="20"/>
      <c r="F41" s="166"/>
      <c r="G41" s="21">
        <f t="shared" si="6"/>
        <v>115</v>
      </c>
      <c r="H41" s="22">
        <f t="shared" si="7"/>
        <v>0</v>
      </c>
      <c r="I41" s="167"/>
      <c r="J41" s="166">
        <v>-0.95509597629245702</v>
      </c>
      <c r="K41" s="21">
        <f t="shared" si="8"/>
        <v>115</v>
      </c>
      <c r="L41" s="22">
        <f t="shared" si="9"/>
        <v>-109.83603727363256</v>
      </c>
      <c r="M41" s="167"/>
      <c r="N41" s="168">
        <f t="shared" si="2"/>
        <v>-109.83603727363256</v>
      </c>
      <c r="O41" s="24" t="str">
        <f t="shared" si="3"/>
        <v/>
      </c>
    </row>
    <row r="42" spans="1:15" ht="38.25">
      <c r="A42" s="169"/>
      <c r="B42" s="164" t="s">
        <v>73</v>
      </c>
      <c r="C42" s="20"/>
      <c r="D42" s="242" t="s">
        <v>65</v>
      </c>
      <c r="E42" s="20"/>
      <c r="F42" s="166"/>
      <c r="G42" s="21">
        <f t="shared" si="6"/>
        <v>115</v>
      </c>
      <c r="H42" s="22"/>
      <c r="I42" s="167"/>
      <c r="J42" s="166">
        <v>1.7625987439720801</v>
      </c>
      <c r="K42" s="21">
        <f t="shared" si="8"/>
        <v>115</v>
      </c>
      <c r="L42" s="22">
        <f t="shared" si="9"/>
        <v>202.6988555567892</v>
      </c>
      <c r="M42" s="167"/>
      <c r="N42" s="168">
        <f t="shared" si="2"/>
        <v>202.6988555567892</v>
      </c>
      <c r="O42" s="24" t="str">
        <f t="shared" si="3"/>
        <v/>
      </c>
    </row>
    <row r="43" spans="1:15" ht="25.5">
      <c r="A43" s="169"/>
      <c r="B43" s="164" t="s">
        <v>74</v>
      </c>
      <c r="C43" s="20"/>
      <c r="D43" s="242" t="s">
        <v>65</v>
      </c>
      <c r="E43" s="20"/>
      <c r="F43" s="166"/>
      <c r="G43" s="21">
        <f t="shared" si="6"/>
        <v>115</v>
      </c>
      <c r="H43" s="22"/>
      <c r="I43" s="167"/>
      <c r="J43" s="166">
        <v>2.8536134822241099E-2</v>
      </c>
      <c r="K43" s="21">
        <f t="shared" si="8"/>
        <v>115</v>
      </c>
      <c r="L43" s="22">
        <f t="shared" si="9"/>
        <v>3.2816555045577265</v>
      </c>
      <c r="M43" s="167"/>
      <c r="N43" s="168">
        <f t="shared" si="2"/>
        <v>3.2816555045577265</v>
      </c>
      <c r="O43" s="24" t="str">
        <f t="shared" si="3"/>
        <v/>
      </c>
    </row>
    <row r="44" spans="1:15" ht="25.5">
      <c r="A44" s="163"/>
      <c r="B44" s="164" t="s">
        <v>75</v>
      </c>
      <c r="C44" s="20"/>
      <c r="D44" s="242" t="s">
        <v>65</v>
      </c>
      <c r="E44" s="20"/>
      <c r="F44" s="166"/>
      <c r="G44" s="21">
        <f t="shared" si="6"/>
        <v>115</v>
      </c>
      <c r="H44" s="22">
        <f t="shared" si="7"/>
        <v>0</v>
      </c>
      <c r="I44" s="167"/>
      <c r="J44" s="166">
        <v>-0.14380404661870799</v>
      </c>
      <c r="K44" s="21">
        <f t="shared" si="8"/>
        <v>115</v>
      </c>
      <c r="L44" s="22">
        <f t="shared" si="9"/>
        <v>-16.537465361151419</v>
      </c>
      <c r="M44" s="167"/>
      <c r="N44" s="168">
        <f t="shared" si="2"/>
        <v>-16.537465361151419</v>
      </c>
      <c r="O44" s="24" t="str">
        <f t="shared" si="3"/>
        <v/>
      </c>
    </row>
    <row r="45" spans="1:15" ht="25.5">
      <c r="A45" s="163"/>
      <c r="B45" s="164" t="s">
        <v>76</v>
      </c>
      <c r="C45" s="20"/>
      <c r="D45" s="146" t="s">
        <v>65</v>
      </c>
      <c r="E45" s="14"/>
      <c r="F45" s="172"/>
      <c r="G45" s="25">
        <f t="shared" si="6"/>
        <v>115</v>
      </c>
      <c r="H45" s="26">
        <f t="shared" si="7"/>
        <v>0</v>
      </c>
      <c r="I45" s="173"/>
      <c r="J45" s="172">
        <v>6.0178622037680901E-2</v>
      </c>
      <c r="K45" s="25">
        <f t="shared" si="8"/>
        <v>115</v>
      </c>
      <c r="L45" s="22">
        <f t="shared" si="9"/>
        <v>6.9205415343333039</v>
      </c>
      <c r="M45" s="167"/>
      <c r="N45" s="168">
        <f t="shared" si="2"/>
        <v>6.9205415343333039</v>
      </c>
      <c r="O45" s="24" t="str">
        <f t="shared" si="3"/>
        <v/>
      </c>
    </row>
    <row r="46" spans="1:15">
      <c r="A46" s="163" t="s">
        <v>63</v>
      </c>
      <c r="B46" s="151" t="s">
        <v>27</v>
      </c>
      <c r="C46" s="20"/>
      <c r="D46" s="146" t="s">
        <v>65</v>
      </c>
      <c r="E46" s="14"/>
      <c r="F46" s="172">
        <v>0.30570000000000003</v>
      </c>
      <c r="G46" s="25">
        <f t="shared" si="6"/>
        <v>115</v>
      </c>
      <c r="H46" s="26">
        <f t="shared" si="7"/>
        <v>35.155500000000004</v>
      </c>
      <c r="I46" s="173"/>
      <c r="J46" s="172">
        <v>0.22</v>
      </c>
      <c r="K46" s="25">
        <f t="shared" si="8"/>
        <v>115</v>
      </c>
      <c r="L46" s="26">
        <f t="shared" si="9"/>
        <v>25.3</v>
      </c>
      <c r="M46" s="173"/>
      <c r="N46" s="174">
        <f t="shared" si="2"/>
        <v>-9.8555000000000028</v>
      </c>
      <c r="O46" s="27">
        <f t="shared" si="3"/>
        <v>-0.28034020281321564</v>
      </c>
    </row>
    <row r="47" spans="1:15">
      <c r="A47" s="19"/>
      <c r="B47" s="170" t="s">
        <v>28</v>
      </c>
      <c r="C47" s="20"/>
      <c r="D47" s="146" t="s">
        <v>65</v>
      </c>
      <c r="E47" s="14"/>
      <c r="F47" s="172">
        <f>IF(ISBLANK(D16)=1, 0, IF(D16="TOU", 0.64*$F$57+0.18*$F$58+0.18*$F$59, IF(AND(D16="non-TOU", G61&gt;0), F61,F60)))</f>
        <v>0.10766000000000001</v>
      </c>
      <c r="G47" s="25">
        <f>$F$18*(1+$F$76)-$F$18</f>
        <v>4.4849999999999852</v>
      </c>
      <c r="H47" s="26">
        <f t="shared" si="7"/>
        <v>0.48285509999999843</v>
      </c>
      <c r="I47" s="173"/>
      <c r="J47" s="172">
        <f>0.64*$F$57+0.18*$F$58+0.18*$F$59</f>
        <v>0.10766000000000001</v>
      </c>
      <c r="K47" s="25">
        <f>$F$18*(1+$J$76)-$F$18</f>
        <v>5.2555000000000121</v>
      </c>
      <c r="L47" s="26">
        <f t="shared" si="9"/>
        <v>0.56580713000000138</v>
      </c>
      <c r="M47" s="173"/>
      <c r="N47" s="174">
        <f t="shared" si="2"/>
        <v>8.2952030000002952E-2</v>
      </c>
      <c r="O47" s="27">
        <f t="shared" si="3"/>
        <v>0.17179487179487846</v>
      </c>
    </row>
    <row r="48" spans="1:15">
      <c r="A48" s="19"/>
      <c r="B48" s="170" t="s">
        <v>29</v>
      </c>
      <c r="C48" s="20"/>
      <c r="D48" s="146" t="s">
        <v>65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6542.7603551000002</v>
      </c>
      <c r="I49" s="28"/>
      <c r="J49" s="178"/>
      <c r="K49" s="262"/>
      <c r="L49" s="179">
        <f>SUM(L40:L48)+L39</f>
        <v>7141.094107744294</v>
      </c>
      <c r="M49" s="28"/>
      <c r="N49" s="161">
        <f t="shared" si="2"/>
        <v>598.33375264429378</v>
      </c>
      <c r="O49" s="162">
        <f t="shared" ref="O49:O67" si="10">IF((H49)=0,"",(N49/H49))</f>
        <v>9.1449742948005133E-2</v>
      </c>
    </row>
    <row r="50" spans="2:19">
      <c r="B50" s="181" t="s">
        <v>31</v>
      </c>
      <c r="C50" s="28"/>
      <c r="D50" s="146" t="s">
        <v>65</v>
      </c>
      <c r="E50" s="28"/>
      <c r="F50" s="31">
        <v>1.786</v>
      </c>
      <c r="G50" s="100">
        <f>F18*(1+F76)</f>
        <v>119.48499999999999</v>
      </c>
      <c r="H50" s="16">
        <f>G50*F50</f>
        <v>213.40020999999999</v>
      </c>
      <c r="I50" s="28"/>
      <c r="J50" s="31">
        <v>1.6749743229237799</v>
      </c>
      <c r="K50" s="113">
        <f>F18*(1+J76)</f>
        <v>120.25550000000001</v>
      </c>
      <c r="L50" s="16">
        <f>K50*J50</f>
        <v>201.42487469036064</v>
      </c>
      <c r="M50" s="28"/>
      <c r="N50" s="149">
        <f t="shared" si="2"/>
        <v>-11.975335309639348</v>
      </c>
      <c r="O50" s="18">
        <f t="shared" si="10"/>
        <v>-5.6116792526302334E-2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1.2338</v>
      </c>
      <c r="G51" s="100">
        <f>G50</f>
        <v>119.48499999999999</v>
      </c>
      <c r="H51" s="16">
        <f>G51*F51</f>
        <v>147.420593</v>
      </c>
      <c r="I51" s="28"/>
      <c r="J51" s="31">
        <v>1.24180073804174</v>
      </c>
      <c r="K51" s="113">
        <f>K50</f>
        <v>120.25550000000001</v>
      </c>
      <c r="L51" s="16">
        <f>K51*J51</f>
        <v>149.33336865357848</v>
      </c>
      <c r="M51" s="28"/>
      <c r="N51" s="149">
        <f t="shared" si="2"/>
        <v>1.9127756535784783</v>
      </c>
      <c r="O51" s="18">
        <f t="shared" si="10"/>
        <v>1.2974955633087695E-2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6903.5811580999998</v>
      </c>
      <c r="I52" s="185"/>
      <c r="J52" s="186"/>
      <c r="K52" s="263"/>
      <c r="L52" s="179">
        <f>SUM(L49:L51)</f>
        <v>7491.8523510882333</v>
      </c>
      <c r="M52" s="185"/>
      <c r="N52" s="161">
        <f t="shared" si="2"/>
        <v>588.27119298823345</v>
      </c>
      <c r="O52" s="162">
        <f t="shared" si="10"/>
        <v>8.5212468647234266E-2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f>G51</f>
        <v>119.48499999999999</v>
      </c>
      <c r="H53" s="99">
        <f t="shared" ref="H53:H59" si="11">G53*F53</f>
        <v>0.43014599999999992</v>
      </c>
      <c r="I53" s="19"/>
      <c r="J53" s="31">
        <v>3.5999999999999999E-3</v>
      </c>
      <c r="K53" s="113">
        <f>K51</f>
        <v>120.25550000000001</v>
      </c>
      <c r="L53" s="16">
        <f t="shared" ref="L53:L59" si="12">K53*J53</f>
        <v>0.43291980000000002</v>
      </c>
      <c r="M53" s="28"/>
      <c r="N53" s="149">
        <f t="shared" si="2"/>
        <v>2.773800000000104E-3</v>
      </c>
      <c r="O53" s="18">
        <f t="shared" si="10"/>
        <v>6.4485081809434576E-3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119.48499999999999</v>
      </c>
      <c r="H54" s="99">
        <f t="shared" si="11"/>
        <v>0.15533049999999998</v>
      </c>
      <c r="I54" s="19"/>
      <c r="J54" s="31">
        <v>1.2999999999999999E-3</v>
      </c>
      <c r="K54" s="113">
        <f>K51</f>
        <v>120.25550000000001</v>
      </c>
      <c r="L54" s="16">
        <f t="shared" si="12"/>
        <v>0.15633215</v>
      </c>
      <c r="M54" s="28"/>
      <c r="N54" s="149">
        <f t="shared" si="2"/>
        <v>1.0016500000000206E-3</v>
      </c>
      <c r="O54" s="18">
        <f t="shared" si="10"/>
        <v>6.4485081809433475E-3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112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115</v>
      </c>
      <c r="H56" s="99">
        <f t="shared" si="11"/>
        <v>0.1265</v>
      </c>
      <c r="I56" s="19"/>
      <c r="J56" s="31">
        <v>1.1000000000000001E-3</v>
      </c>
      <c r="K56" s="113">
        <f>F18</f>
        <v>115</v>
      </c>
      <c r="L56" s="16">
        <f t="shared" si="12"/>
        <v>0.1265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73.600000000000009</v>
      </c>
      <c r="H57" s="99">
        <f t="shared" si="11"/>
        <v>6.1088000000000013</v>
      </c>
      <c r="I57" s="19"/>
      <c r="J57" s="102">
        <v>8.3000000000000004E-2</v>
      </c>
      <c r="K57" s="247">
        <f>G57</f>
        <v>73.600000000000009</v>
      </c>
      <c r="L57" s="16">
        <f t="shared" si="12"/>
        <v>6.1088000000000013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20.7</v>
      </c>
      <c r="H58" s="99">
        <f t="shared" si="11"/>
        <v>2.6496</v>
      </c>
      <c r="I58" s="19"/>
      <c r="J58" s="102">
        <v>0.128</v>
      </c>
      <c r="K58" s="247">
        <f>G58</f>
        <v>20.7</v>
      </c>
      <c r="L58" s="16">
        <f t="shared" si="12"/>
        <v>2.6496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20.7</v>
      </c>
      <c r="H59" s="99">
        <f t="shared" si="11"/>
        <v>3.6224999999999996</v>
      </c>
      <c r="I59" s="19"/>
      <c r="J59" s="102">
        <v>0.17499999999999999</v>
      </c>
      <c r="K59" s="247">
        <f>G59</f>
        <v>20.7</v>
      </c>
      <c r="L59" s="16">
        <f t="shared" si="12"/>
        <v>3.6224999999999996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115</v>
      </c>
      <c r="H60" s="99">
        <f>G60*F60</f>
        <v>11.385</v>
      </c>
      <c r="I60" s="250"/>
      <c r="J60" s="102">
        <v>9.9000000000000005E-2</v>
      </c>
      <c r="K60" s="249">
        <f>G60</f>
        <v>115</v>
      </c>
      <c r="L60" s="16">
        <f>K60*J60</f>
        <v>11.385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0"/>
      <c r="J61" s="102">
        <v>0.11600000000000001</v>
      </c>
      <c r="K61" s="249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64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6916.9240345999997</v>
      </c>
      <c r="I63" s="37"/>
      <c r="J63" s="38"/>
      <c r="K63" s="114"/>
      <c r="L63" s="36">
        <f>SUM(L53:L59,L52)</f>
        <v>7505.1990030382331</v>
      </c>
      <c r="M63" s="39"/>
      <c r="N63" s="40">
        <f>L63-H63</f>
        <v>588.27496843823337</v>
      </c>
      <c r="O63" s="41">
        <f>IF((H63)=0,"",(N63/H63))</f>
        <v>8.5048638021113218E-2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899.20012449800004</v>
      </c>
      <c r="I64" s="46"/>
      <c r="J64" s="47">
        <v>0.13</v>
      </c>
      <c r="K64" s="115"/>
      <c r="L64" s="48">
        <f>L63*J64</f>
        <v>975.67587039497027</v>
      </c>
      <c r="M64" s="49"/>
      <c r="N64" s="50">
        <f t="shared" si="2"/>
        <v>76.475745896970238</v>
      </c>
      <c r="O64" s="18">
        <f t="shared" si="10"/>
        <v>8.5048638021113093E-2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7816.1241590979998</v>
      </c>
      <c r="I65" s="46"/>
      <c r="J65" s="46"/>
      <c r="K65" s="115"/>
      <c r="L65" s="48">
        <f>L63+L64</f>
        <v>8480.8748734332039</v>
      </c>
      <c r="M65" s="49"/>
      <c r="N65" s="50">
        <f t="shared" si="2"/>
        <v>664.75071433520407</v>
      </c>
      <c r="O65" s="18">
        <f t="shared" si="10"/>
        <v>8.504863802111326E-2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-781.61</v>
      </c>
      <c r="I66" s="46"/>
      <c r="J66" s="46"/>
      <c r="K66" s="115"/>
      <c r="L66" s="53">
        <f>ROUND(-L65*0.1,2)</f>
        <v>-848.09</v>
      </c>
      <c r="M66" s="49"/>
      <c r="N66" s="54">
        <f t="shared" si="2"/>
        <v>-66.480000000000018</v>
      </c>
      <c r="O66" s="55">
        <f t="shared" si="10"/>
        <v>8.5055206560816804E-2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7034.5141590980002</v>
      </c>
      <c r="I67" s="210"/>
      <c r="J67" s="210"/>
      <c r="K67" s="265"/>
      <c r="L67" s="211">
        <f>L65+L66</f>
        <v>7632.7848734332038</v>
      </c>
      <c r="M67" s="212"/>
      <c r="N67" s="213">
        <f t="shared" si="2"/>
        <v>598.27071433520359</v>
      </c>
      <c r="O67" s="214">
        <f t="shared" si="10"/>
        <v>8.504790818587489E-2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66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6915.9281345999998</v>
      </c>
      <c r="I69" s="60"/>
      <c r="J69" s="61"/>
      <c r="K69" s="116"/>
      <c r="L69" s="59">
        <f>SUM(L60:L61,L52,L53:L56)</f>
        <v>7504.2031030382332</v>
      </c>
      <c r="M69" s="62"/>
      <c r="N69" s="63">
        <f>L69-H69</f>
        <v>588.27496843823337</v>
      </c>
      <c r="O69" s="41">
        <f>IF((H69)=0,"",(N69/H69))</f>
        <v>8.5060885103060396E-2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899.07065749800006</v>
      </c>
      <c r="I70" s="67"/>
      <c r="J70" s="68">
        <v>0.13</v>
      </c>
      <c r="K70" s="117"/>
      <c r="L70" s="70">
        <f>L69*J70</f>
        <v>975.5464033949703</v>
      </c>
      <c r="M70" s="71"/>
      <c r="N70" s="72">
        <f>L70-H70</f>
        <v>76.475745896970238</v>
      </c>
      <c r="O70" s="18">
        <f>IF((H70)=0,"",(N70/H70))</f>
        <v>8.5060885103060271E-2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7814.9987920980002</v>
      </c>
      <c r="I71" s="67"/>
      <c r="J71" s="67"/>
      <c r="K71" s="118"/>
      <c r="L71" s="70">
        <f>L69+L70</f>
        <v>8479.7495064332034</v>
      </c>
      <c r="M71" s="71"/>
      <c r="N71" s="72">
        <f>L71-H71</f>
        <v>664.75071433520316</v>
      </c>
      <c r="O71" s="18">
        <f>IF((H71)=0,"",(N71/H71))</f>
        <v>8.5060885103060313E-2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-781.5</v>
      </c>
      <c r="I72" s="67"/>
      <c r="J72" s="67"/>
      <c r="K72" s="118"/>
      <c r="L72" s="76">
        <f>ROUND(-L71*0.1,2)</f>
        <v>-847.97</v>
      </c>
      <c r="M72" s="71"/>
      <c r="N72" s="77">
        <f>L72-H72</f>
        <v>-66.470000000000027</v>
      </c>
      <c r="O72" s="55">
        <f>IF((H72)=0,"",(N72/H72))</f>
        <v>8.5054382597568812E-2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7033.4987920980002</v>
      </c>
      <c r="I73" s="60"/>
      <c r="J73" s="60"/>
      <c r="K73" s="267"/>
      <c r="L73" s="223">
        <f>SUM(L71:L72)</f>
        <v>7631.7795064332031</v>
      </c>
      <c r="M73" s="62"/>
      <c r="N73" s="63">
        <f>L73-H73</f>
        <v>598.2807143352029</v>
      </c>
      <c r="O73" s="41">
        <f>IF((H73)=0,"",(N73/H73))</f>
        <v>8.5061607603794526E-2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56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2">
    <pageSetUpPr fitToPage="1"/>
  </sheetPr>
  <dimension ref="A1:T92"/>
  <sheetViews>
    <sheetView showGridLines="0" tabSelected="1" topLeftCell="A52" workbookViewId="0">
      <selection activeCell="T59" sqref="T59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119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0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69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1800</v>
      </c>
      <c r="G18" s="235" t="s">
        <v>70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v>6.25</v>
      </c>
      <c r="G23" s="25">
        <v>1</v>
      </c>
      <c r="H23" s="16">
        <f>G23*F23</f>
        <v>6.25</v>
      </c>
      <c r="I23" s="28"/>
      <c r="J23" s="148">
        <v>10.85</v>
      </c>
      <c r="K23" s="120">
        <v>1</v>
      </c>
      <c r="L23" s="16">
        <f>K23*J23</f>
        <v>10.85</v>
      </c>
      <c r="M23" s="28"/>
      <c r="N23" s="149">
        <f>L23-H23</f>
        <v>4.5999999999999996</v>
      </c>
      <c r="O23" s="18">
        <f>IF((H23)=0,"",(N23/H23))</f>
        <v>0.73599999999999999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20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20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20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20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20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v>2E-3</v>
      </c>
      <c r="G29" s="25">
        <f t="shared" ref="G29:G38" si="4">$F$18</f>
        <v>1800</v>
      </c>
      <c r="H29" s="16">
        <f t="shared" si="0"/>
        <v>3.6</v>
      </c>
      <c r="I29" s="28"/>
      <c r="J29" s="31">
        <v>3.6781071515279398E-3</v>
      </c>
      <c r="K29" s="121">
        <f>$F$18</f>
        <v>1800</v>
      </c>
      <c r="L29" s="16">
        <f t="shared" si="1"/>
        <v>6.6205928727502918</v>
      </c>
      <c r="M29" s="28"/>
      <c r="N29" s="149">
        <f t="shared" si="2"/>
        <v>3.0205928727502918</v>
      </c>
      <c r="O29" s="18">
        <f t="shared" si="3"/>
        <v>0.83905357576396988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25">
        <f t="shared" si="4"/>
        <v>1800</v>
      </c>
      <c r="H30" s="16">
        <f t="shared" si="0"/>
        <v>0</v>
      </c>
      <c r="I30" s="28"/>
      <c r="J30" s="31"/>
      <c r="K30" s="121">
        <f t="shared" ref="K30:K38" si="5">$F$18</f>
        <v>1800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25">
        <f t="shared" si="4"/>
        <v>1800</v>
      </c>
      <c r="H31" s="16">
        <f t="shared" si="0"/>
        <v>0</v>
      </c>
      <c r="I31" s="28"/>
      <c r="J31" s="31"/>
      <c r="K31" s="121">
        <f t="shared" si="5"/>
        <v>1800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1800</v>
      </c>
      <c r="H32" s="16">
        <f>G32*F32</f>
        <v>0</v>
      </c>
      <c r="I32" s="28"/>
      <c r="J32" s="31"/>
      <c r="K32" s="121">
        <f t="shared" si="5"/>
        <v>1800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1800</v>
      </c>
      <c r="H33" s="16">
        <f>G33*F33</f>
        <v>0</v>
      </c>
      <c r="I33" s="28"/>
      <c r="J33" s="31"/>
      <c r="K33" s="121">
        <f t="shared" si="5"/>
        <v>1800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1800</v>
      </c>
      <c r="H34" s="16">
        <f>G34*F34</f>
        <v>0</v>
      </c>
      <c r="I34" s="28"/>
      <c r="J34" s="31"/>
      <c r="K34" s="121">
        <f t="shared" si="5"/>
        <v>1800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1800</v>
      </c>
      <c r="H35" s="16">
        <f t="shared" si="0"/>
        <v>0</v>
      </c>
      <c r="I35" s="28"/>
      <c r="J35" s="31"/>
      <c r="K35" s="121">
        <f t="shared" si="5"/>
        <v>1800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1800</v>
      </c>
      <c r="H36" s="16">
        <f t="shared" si="0"/>
        <v>0</v>
      </c>
      <c r="I36" s="28"/>
      <c r="J36" s="31"/>
      <c r="K36" s="121">
        <f t="shared" si="5"/>
        <v>1800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1800</v>
      </c>
      <c r="H37" s="16">
        <f t="shared" si="0"/>
        <v>0</v>
      </c>
      <c r="I37" s="28"/>
      <c r="J37" s="31"/>
      <c r="K37" s="121">
        <f t="shared" si="5"/>
        <v>1800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1800</v>
      </c>
      <c r="H38" s="16">
        <f t="shared" si="0"/>
        <v>0</v>
      </c>
      <c r="I38" s="28"/>
      <c r="J38" s="31"/>
      <c r="K38" s="121">
        <f t="shared" si="5"/>
        <v>1800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9.85</v>
      </c>
      <c r="I39" s="28"/>
      <c r="J39" s="159"/>
      <c r="K39" s="241"/>
      <c r="L39" s="158">
        <f>SUM(L23:L38)</f>
        <v>17.470592872750291</v>
      </c>
      <c r="M39" s="28"/>
      <c r="N39" s="161">
        <f t="shared" si="2"/>
        <v>7.6205928727502918</v>
      </c>
      <c r="O39" s="162">
        <f t="shared" si="3"/>
        <v>0.77366425104063874</v>
      </c>
    </row>
    <row r="40" spans="1:15" ht="51">
      <c r="A40" s="163"/>
      <c r="B40" s="164" t="s">
        <v>71</v>
      </c>
      <c r="C40" s="20"/>
      <c r="D40" s="242" t="s">
        <v>24</v>
      </c>
      <c r="E40" s="20"/>
      <c r="F40" s="166"/>
      <c r="G40" s="21">
        <f t="shared" ref="G40:G46" si="6">$F$18</f>
        <v>1800</v>
      </c>
      <c r="H40" s="22">
        <f t="shared" ref="H40:H48" si="7">G40*F40</f>
        <v>0</v>
      </c>
      <c r="I40" s="167"/>
      <c r="J40" s="166">
        <v>-8.2963951844851401E-4</v>
      </c>
      <c r="K40" s="122">
        <f t="shared" ref="K40:K46" si="8">$F$18</f>
        <v>1800</v>
      </c>
      <c r="L40" s="22">
        <f t="shared" ref="L40:L48" si="9">K40*J40</f>
        <v>-1.4933511332073253</v>
      </c>
      <c r="M40" s="167"/>
      <c r="N40" s="168">
        <f t="shared" si="2"/>
        <v>-1.4933511332073253</v>
      </c>
      <c r="O40" s="27" t="str">
        <f t="shared" si="3"/>
        <v/>
      </c>
    </row>
    <row r="41" spans="1:15" ht="51">
      <c r="A41" s="169"/>
      <c r="B41" s="164" t="s">
        <v>72</v>
      </c>
      <c r="C41" s="20"/>
      <c r="D41" s="242" t="s">
        <v>24</v>
      </c>
      <c r="E41" s="20"/>
      <c r="F41" s="166"/>
      <c r="G41" s="21">
        <f t="shared" si="6"/>
        <v>1800</v>
      </c>
      <c r="H41" s="22">
        <f t="shared" si="7"/>
        <v>0</v>
      </c>
      <c r="I41" s="167"/>
      <c r="J41" s="166">
        <v>-2.6878065725373301E-3</v>
      </c>
      <c r="K41" s="122">
        <f t="shared" si="8"/>
        <v>1800</v>
      </c>
      <c r="L41" s="22">
        <f t="shared" si="9"/>
        <v>-4.8380518305671938</v>
      </c>
      <c r="M41" s="167"/>
      <c r="N41" s="168">
        <f t="shared" si="2"/>
        <v>-4.8380518305671938</v>
      </c>
      <c r="O41" s="24" t="str">
        <f t="shared" si="3"/>
        <v/>
      </c>
    </row>
    <row r="42" spans="1:15" ht="38.25">
      <c r="A42" s="169"/>
      <c r="B42" s="164" t="s">
        <v>73</v>
      </c>
      <c r="C42" s="20"/>
      <c r="D42" s="242" t="s">
        <v>24</v>
      </c>
      <c r="E42" s="20"/>
      <c r="F42" s="166"/>
      <c r="G42" s="21">
        <f t="shared" si="6"/>
        <v>1800</v>
      </c>
      <c r="H42" s="22"/>
      <c r="I42" s="167"/>
      <c r="J42" s="166">
        <v>0</v>
      </c>
      <c r="K42" s="122">
        <f t="shared" si="8"/>
        <v>1800</v>
      </c>
      <c r="L42" s="22">
        <f t="shared" si="9"/>
        <v>0</v>
      </c>
      <c r="M42" s="167"/>
      <c r="N42" s="168">
        <f t="shared" si="2"/>
        <v>0</v>
      </c>
      <c r="O42" s="24" t="str">
        <f t="shared" si="3"/>
        <v/>
      </c>
    </row>
    <row r="43" spans="1:15" ht="25.5">
      <c r="A43" s="169"/>
      <c r="B43" s="164" t="s">
        <v>74</v>
      </c>
      <c r="C43" s="20"/>
      <c r="D43" s="242" t="s">
        <v>24</v>
      </c>
      <c r="E43" s="20"/>
      <c r="F43" s="166"/>
      <c r="G43" s="21">
        <f t="shared" si="6"/>
        <v>1800</v>
      </c>
      <c r="H43" s="22"/>
      <c r="I43" s="167"/>
      <c r="J43" s="166">
        <v>8.0305657896044999E-5</v>
      </c>
      <c r="K43" s="122">
        <f t="shared" si="8"/>
        <v>1800</v>
      </c>
      <c r="L43" s="22">
        <f t="shared" si="9"/>
        <v>0.14455018421288099</v>
      </c>
      <c r="M43" s="167"/>
      <c r="N43" s="168">
        <f t="shared" si="2"/>
        <v>0.14455018421288099</v>
      </c>
      <c r="O43" s="24" t="str">
        <f t="shared" si="3"/>
        <v/>
      </c>
    </row>
    <row r="44" spans="1:15" ht="25.5">
      <c r="A44" s="163"/>
      <c r="B44" s="164" t="s">
        <v>75</v>
      </c>
      <c r="C44" s="20"/>
      <c r="D44" s="242" t="s">
        <v>24</v>
      </c>
      <c r="E44" s="20"/>
      <c r="F44" s="166"/>
      <c r="G44" s="21">
        <f t="shared" si="6"/>
        <v>1800</v>
      </c>
      <c r="H44" s="22">
        <f t="shared" si="7"/>
        <v>0</v>
      </c>
      <c r="I44" s="167"/>
      <c r="J44" s="166">
        <v>-4.0468965554606601E-4</v>
      </c>
      <c r="K44" s="122">
        <f t="shared" si="8"/>
        <v>1800</v>
      </c>
      <c r="L44" s="22">
        <f t="shared" si="9"/>
        <v>-0.7284413799829188</v>
      </c>
      <c r="M44" s="167"/>
      <c r="N44" s="168">
        <f t="shared" si="2"/>
        <v>-0.7284413799829188</v>
      </c>
      <c r="O44" s="24" t="str">
        <f t="shared" si="3"/>
        <v/>
      </c>
    </row>
    <row r="45" spans="1:15" ht="25.5">
      <c r="A45" s="163"/>
      <c r="B45" s="164" t="s">
        <v>76</v>
      </c>
      <c r="C45" s="20"/>
      <c r="D45" s="242" t="s">
        <v>24</v>
      </c>
      <c r="E45" s="20"/>
      <c r="F45" s="166"/>
      <c r="G45" s="21">
        <f t="shared" si="6"/>
        <v>1800</v>
      </c>
      <c r="H45" s="22">
        <f t="shared" si="7"/>
        <v>0</v>
      </c>
      <c r="I45" s="167"/>
      <c r="J45" s="166">
        <v>3.1128798591894299E-4</v>
      </c>
      <c r="K45" s="122">
        <f t="shared" si="8"/>
        <v>1800</v>
      </c>
      <c r="L45" s="22">
        <f t="shared" si="9"/>
        <v>0.5603183746540974</v>
      </c>
      <c r="M45" s="167"/>
      <c r="N45" s="168">
        <f t="shared" si="2"/>
        <v>0.5603183746540974</v>
      </c>
      <c r="O45" s="24" t="str">
        <f t="shared" si="3"/>
        <v/>
      </c>
    </row>
    <row r="46" spans="1:15">
      <c r="A46" s="163"/>
      <c r="B46" s="151" t="s">
        <v>27</v>
      </c>
      <c r="C46" s="20"/>
      <c r="D46" s="146" t="s">
        <v>24</v>
      </c>
      <c r="E46" s="14"/>
      <c r="F46" s="172">
        <v>1E-3</v>
      </c>
      <c r="G46" s="25">
        <f t="shared" si="6"/>
        <v>1800</v>
      </c>
      <c r="H46" s="26">
        <f t="shared" si="7"/>
        <v>1.8</v>
      </c>
      <c r="I46" s="173"/>
      <c r="J46" s="172">
        <v>6.9999999999999999E-4</v>
      </c>
      <c r="K46" s="121">
        <f t="shared" si="8"/>
        <v>1800</v>
      </c>
      <c r="L46" s="26">
        <f t="shared" si="9"/>
        <v>1.26</v>
      </c>
      <c r="M46" s="173"/>
      <c r="N46" s="174">
        <f t="shared" si="2"/>
        <v>-0.54</v>
      </c>
      <c r="O46" s="27">
        <f t="shared" si="3"/>
        <v>-0.3</v>
      </c>
    </row>
    <row r="47" spans="1:15">
      <c r="A47" s="19"/>
      <c r="B47" s="170" t="s">
        <v>28</v>
      </c>
      <c r="C47" s="20"/>
      <c r="D47" s="146" t="s">
        <v>24</v>
      </c>
      <c r="E47" s="14"/>
      <c r="F47" s="172">
        <f>IF(ISBLANK(D16)=1, 0, IF(D16="TOU", 0.64*$F$57+0.18*$F$58+0.18*$F$59, IF(AND(D16="non-TOU", G61&gt;0), F61,F60)))</f>
        <v>0.10766000000000001</v>
      </c>
      <c r="G47" s="25">
        <f>$F$18*(1+$F$76)-$F$18</f>
        <v>70.199999999999818</v>
      </c>
      <c r="H47" s="26">
        <f t="shared" si="7"/>
        <v>7.557731999999981</v>
      </c>
      <c r="I47" s="173"/>
      <c r="J47" s="172">
        <f>0.64*$F$57+0.18*$F$58+0.18*$F$59</f>
        <v>0.10766000000000001</v>
      </c>
      <c r="K47" s="121">
        <f>$F$18*(1+$J$76)-$F$18</f>
        <v>82.260000000000218</v>
      </c>
      <c r="L47" s="26">
        <f t="shared" si="9"/>
        <v>8.8561116000000233</v>
      </c>
      <c r="M47" s="173"/>
      <c r="N47" s="174">
        <f t="shared" si="2"/>
        <v>1.2983796000000423</v>
      </c>
      <c r="O47" s="27">
        <f t="shared" si="3"/>
        <v>0.17179487179487782</v>
      </c>
    </row>
    <row r="48" spans="1:15">
      <c r="A48" s="19"/>
      <c r="B48" s="170" t="s">
        <v>29</v>
      </c>
      <c r="C48" s="20"/>
      <c r="D48" s="146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121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19.997731999999978</v>
      </c>
      <c r="I49" s="28"/>
      <c r="J49" s="178"/>
      <c r="K49" s="244"/>
      <c r="L49" s="179">
        <f>SUM(L40:L48)+L39</f>
        <v>22.021728687859856</v>
      </c>
      <c r="M49" s="28"/>
      <c r="N49" s="161">
        <f t="shared" si="2"/>
        <v>2.0239966878598779</v>
      </c>
      <c r="O49" s="162">
        <f t="shared" ref="O49:O67" si="10">IF((H49)=0,"",(N49/H49))</f>
        <v>0.1012113117557471</v>
      </c>
    </row>
    <row r="50" spans="2:19">
      <c r="B50" s="181" t="s">
        <v>31</v>
      </c>
      <c r="C50" s="28"/>
      <c r="D50" s="146" t="s">
        <v>24</v>
      </c>
      <c r="E50" s="28"/>
      <c r="F50" s="31">
        <v>5.7999999999999996E-3</v>
      </c>
      <c r="G50" s="100">
        <f>F18*(1+F76)</f>
        <v>1870.1999999999998</v>
      </c>
      <c r="H50" s="16">
        <f>G50*F50</f>
        <v>10.847159999999999</v>
      </c>
      <c r="I50" s="28"/>
      <c r="J50" s="31">
        <v>5.4394385425159796E-3</v>
      </c>
      <c r="K50" s="124">
        <f>F18*(1+J76)</f>
        <v>1882.2600000000002</v>
      </c>
      <c r="L50" s="16">
        <f>K50*J50</f>
        <v>10.23843759103613</v>
      </c>
      <c r="M50" s="28"/>
      <c r="N50" s="149">
        <f t="shared" si="2"/>
        <v>-0.6087224089638692</v>
      </c>
      <c r="O50" s="18">
        <f t="shared" si="10"/>
        <v>-5.6118136817735635E-2</v>
      </c>
    </row>
    <row r="51" spans="2:19" ht="25.5">
      <c r="B51" s="183" t="s">
        <v>32</v>
      </c>
      <c r="C51" s="28"/>
      <c r="D51" s="146" t="s">
        <v>24</v>
      </c>
      <c r="E51" s="28"/>
      <c r="F51" s="31">
        <v>4.0000000000000001E-3</v>
      </c>
      <c r="G51" s="100">
        <f>G50</f>
        <v>1870.1999999999998</v>
      </c>
      <c r="H51" s="16">
        <f>G51*F51</f>
        <v>7.4807999999999995</v>
      </c>
      <c r="I51" s="28"/>
      <c r="J51" s="31">
        <v>4.0259349604510001E-3</v>
      </c>
      <c r="K51" s="124">
        <f>K50</f>
        <v>1882.2600000000002</v>
      </c>
      <c r="L51" s="16">
        <f>K51*J51</f>
        <v>7.5778563386585001</v>
      </c>
      <c r="M51" s="28"/>
      <c r="N51" s="149">
        <f t="shared" si="2"/>
        <v>9.7056338658500607E-2</v>
      </c>
      <c r="O51" s="18">
        <f t="shared" si="10"/>
        <v>1.2974058744853573E-2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38.325691999999975</v>
      </c>
      <c r="I52" s="185"/>
      <c r="J52" s="186"/>
      <c r="K52" s="245"/>
      <c r="L52" s="179">
        <f>SUM(L49:L51)</f>
        <v>39.838022617554486</v>
      </c>
      <c r="M52" s="185"/>
      <c r="N52" s="161">
        <f t="shared" si="2"/>
        <v>1.512330617554511</v>
      </c>
      <c r="O52" s="162">
        <f t="shared" si="10"/>
        <v>3.9459968982543406E-2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f>G51</f>
        <v>1870.1999999999998</v>
      </c>
      <c r="H53" s="99">
        <f t="shared" ref="H53:H59" si="11">G53*F53</f>
        <v>6.7327199999999996</v>
      </c>
      <c r="I53" s="19"/>
      <c r="J53" s="31">
        <v>3.5999999999999999E-3</v>
      </c>
      <c r="K53" s="124">
        <f>K51</f>
        <v>1882.2600000000002</v>
      </c>
      <c r="L53" s="99">
        <f t="shared" ref="L53:L59" si="12">K53*J53</f>
        <v>6.7761360000000002</v>
      </c>
      <c r="M53" s="19"/>
      <c r="N53" s="246">
        <f t="shared" si="2"/>
        <v>4.3416000000000565E-2</v>
      </c>
      <c r="O53" s="123">
        <f t="shared" si="10"/>
        <v>6.4485081809432989E-3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1870.1999999999998</v>
      </c>
      <c r="H54" s="99">
        <f t="shared" si="11"/>
        <v>2.4312599999999995</v>
      </c>
      <c r="I54" s="19"/>
      <c r="J54" s="31">
        <v>1.2999999999999999E-3</v>
      </c>
      <c r="K54" s="124">
        <f>K51</f>
        <v>1882.2600000000002</v>
      </c>
      <c r="L54" s="99">
        <f t="shared" si="12"/>
        <v>2.4469380000000003</v>
      </c>
      <c r="M54" s="19"/>
      <c r="N54" s="246">
        <f t="shared" si="2"/>
        <v>1.5678000000000747E-2</v>
      </c>
      <c r="O54" s="123">
        <f t="shared" si="10"/>
        <v>6.4485081809435227E-3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120">
        <v>1</v>
      </c>
      <c r="L55" s="99">
        <f t="shared" si="12"/>
        <v>0.25</v>
      </c>
      <c r="M55" s="19"/>
      <c r="N55" s="246">
        <f t="shared" si="2"/>
        <v>0</v>
      </c>
      <c r="O55" s="123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1800</v>
      </c>
      <c r="H56" s="99">
        <f t="shared" si="11"/>
        <v>1.9800000000000002</v>
      </c>
      <c r="I56" s="19"/>
      <c r="J56" s="31">
        <v>1.1000000000000001E-3</v>
      </c>
      <c r="K56" s="124">
        <f>F18</f>
        <v>1800</v>
      </c>
      <c r="L56" s="99">
        <f t="shared" si="12"/>
        <v>1.9800000000000002</v>
      </c>
      <c r="M56" s="19"/>
      <c r="N56" s="246">
        <f t="shared" si="2"/>
        <v>0</v>
      </c>
      <c r="O56" s="123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1152</v>
      </c>
      <c r="H57" s="99">
        <f t="shared" si="11"/>
        <v>95.616</v>
      </c>
      <c r="I57" s="19"/>
      <c r="J57" s="102">
        <v>8.3000000000000004E-2</v>
      </c>
      <c r="K57" s="248">
        <f>G57</f>
        <v>1152</v>
      </c>
      <c r="L57" s="99">
        <f t="shared" si="12"/>
        <v>95.616</v>
      </c>
      <c r="M57" s="19"/>
      <c r="N57" s="246">
        <f t="shared" si="2"/>
        <v>0</v>
      </c>
      <c r="O57" s="123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324</v>
      </c>
      <c r="H58" s="99">
        <f t="shared" si="11"/>
        <v>41.472000000000001</v>
      </c>
      <c r="I58" s="19"/>
      <c r="J58" s="102">
        <v>0.128</v>
      </c>
      <c r="K58" s="248">
        <f>G58</f>
        <v>324</v>
      </c>
      <c r="L58" s="99">
        <f t="shared" si="12"/>
        <v>41.472000000000001</v>
      </c>
      <c r="M58" s="19"/>
      <c r="N58" s="246">
        <f t="shared" si="2"/>
        <v>0</v>
      </c>
      <c r="O58" s="123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324</v>
      </c>
      <c r="H59" s="99">
        <f t="shared" si="11"/>
        <v>56.699999999999996</v>
      </c>
      <c r="I59" s="19"/>
      <c r="J59" s="102">
        <v>0.17499999999999999</v>
      </c>
      <c r="K59" s="248">
        <f>G59</f>
        <v>324</v>
      </c>
      <c r="L59" s="99">
        <f t="shared" si="12"/>
        <v>56.699999999999996</v>
      </c>
      <c r="M59" s="19"/>
      <c r="N59" s="246">
        <f t="shared" si="2"/>
        <v>0</v>
      </c>
      <c r="O59" s="123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600</v>
      </c>
      <c r="H60" s="99">
        <f>G60*F60</f>
        <v>59.400000000000006</v>
      </c>
      <c r="I60" s="250"/>
      <c r="J60" s="102">
        <v>9.9000000000000005E-2</v>
      </c>
      <c r="K60" s="251">
        <f>G60</f>
        <v>600</v>
      </c>
      <c r="L60" s="99">
        <f>K60*J60</f>
        <v>59.400000000000006</v>
      </c>
      <c r="M60" s="250"/>
      <c r="N60" s="252">
        <f t="shared" si="2"/>
        <v>0</v>
      </c>
      <c r="O60" s="123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1200</v>
      </c>
      <c r="H61" s="99">
        <f>G61*F61</f>
        <v>139.20000000000002</v>
      </c>
      <c r="I61" s="250"/>
      <c r="J61" s="102">
        <v>0.11600000000000001</v>
      </c>
      <c r="K61" s="251">
        <f>G61</f>
        <v>1200</v>
      </c>
      <c r="L61" s="99">
        <f>K61*J61</f>
        <v>139.20000000000002</v>
      </c>
      <c r="M61" s="250"/>
      <c r="N61" s="252">
        <f t="shared" si="2"/>
        <v>0</v>
      </c>
      <c r="O61" s="123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54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243.50767199999996</v>
      </c>
      <c r="I63" s="37"/>
      <c r="J63" s="38"/>
      <c r="K63" s="125"/>
      <c r="L63" s="36">
        <f>SUM(L53:L59,L52)</f>
        <v>245.07909661755448</v>
      </c>
      <c r="M63" s="39"/>
      <c r="N63" s="40">
        <f>L63-H63</f>
        <v>1.571424617554527</v>
      </c>
      <c r="O63" s="41">
        <f>IF((H63)=0,"",(N63/H63))</f>
        <v>6.4532858642520601E-3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31.655997359999997</v>
      </c>
      <c r="I64" s="46"/>
      <c r="J64" s="47">
        <v>0.13</v>
      </c>
      <c r="K64" s="126"/>
      <c r="L64" s="48">
        <f>L63*J64</f>
        <v>31.860282560282084</v>
      </c>
      <c r="M64" s="49"/>
      <c r="N64" s="50">
        <f t="shared" si="2"/>
        <v>0.20428520028208652</v>
      </c>
      <c r="O64" s="18">
        <f t="shared" si="10"/>
        <v>6.4532858642519968E-3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275.16366935999997</v>
      </c>
      <c r="I65" s="46"/>
      <c r="J65" s="46"/>
      <c r="K65" s="126"/>
      <c r="L65" s="48">
        <f>L63+L64</f>
        <v>276.93937917783654</v>
      </c>
      <c r="M65" s="49"/>
      <c r="N65" s="50">
        <f t="shared" si="2"/>
        <v>1.7757098178365709</v>
      </c>
      <c r="O65" s="18">
        <f t="shared" si="10"/>
        <v>6.4532858642518979E-3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-27.52</v>
      </c>
      <c r="I66" s="46"/>
      <c r="J66" s="46"/>
      <c r="K66" s="126"/>
      <c r="L66" s="53">
        <f>ROUND(-L65*0.1,2)</f>
        <v>-27.69</v>
      </c>
      <c r="M66" s="49"/>
      <c r="N66" s="54">
        <f t="shared" si="2"/>
        <v>-0.17000000000000171</v>
      </c>
      <c r="O66" s="55">
        <f t="shared" si="10"/>
        <v>6.177325581395411E-3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247.64366935999996</v>
      </c>
      <c r="I67" s="210"/>
      <c r="J67" s="210"/>
      <c r="K67" s="238"/>
      <c r="L67" s="211">
        <f>L65+L66</f>
        <v>249.24937917783654</v>
      </c>
      <c r="M67" s="212"/>
      <c r="N67" s="213">
        <f t="shared" si="2"/>
        <v>1.6057098178365834</v>
      </c>
      <c r="O67" s="214">
        <f t="shared" si="10"/>
        <v>6.483952616217945E-3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57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248.319672</v>
      </c>
      <c r="I69" s="60"/>
      <c r="J69" s="61"/>
      <c r="K69" s="127"/>
      <c r="L69" s="59">
        <f>SUM(L60:L61,L52,L53:L56)</f>
        <v>249.8910966175545</v>
      </c>
      <c r="M69" s="62"/>
      <c r="N69" s="63">
        <f>L69-H69</f>
        <v>1.5714246175544986</v>
      </c>
      <c r="O69" s="41">
        <f>IF((H69)=0,"",(N69/H69))</f>
        <v>6.3282324952269537E-3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32.281557360000001</v>
      </c>
      <c r="I70" s="67"/>
      <c r="J70" s="68">
        <v>0.13</v>
      </c>
      <c r="K70" s="128"/>
      <c r="L70" s="70">
        <f>L69*J70</f>
        <v>32.485842560282087</v>
      </c>
      <c r="M70" s="71"/>
      <c r="N70" s="72">
        <f>L70-H70</f>
        <v>0.20428520028208652</v>
      </c>
      <c r="O70" s="18">
        <f>IF((H70)=0,"",(N70/H70))</f>
        <v>6.3282324952270057E-3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280.60122935999999</v>
      </c>
      <c r="I71" s="67"/>
      <c r="J71" s="67"/>
      <c r="K71" s="129"/>
      <c r="L71" s="70">
        <f>L69+L70</f>
        <v>282.37693917783656</v>
      </c>
      <c r="M71" s="71"/>
      <c r="N71" s="72">
        <f>L71-H71</f>
        <v>1.7757098178365709</v>
      </c>
      <c r="O71" s="18">
        <f>IF((H71)=0,"",(N71/H71))</f>
        <v>6.3282324952269086E-3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-28.06</v>
      </c>
      <c r="I72" s="67"/>
      <c r="J72" s="67"/>
      <c r="K72" s="129"/>
      <c r="L72" s="76">
        <f>ROUND(-L71*0.1,2)</f>
        <v>-28.24</v>
      </c>
      <c r="M72" s="71"/>
      <c r="N72" s="77">
        <f>L72-H72</f>
        <v>-0.17999999999999972</v>
      </c>
      <c r="O72" s="55">
        <f>IF((H72)=0,"",(N72/H72))</f>
        <v>6.4148253741981368E-3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252.54122935999999</v>
      </c>
      <c r="I73" s="60"/>
      <c r="J73" s="60"/>
      <c r="K73" s="258"/>
      <c r="L73" s="223">
        <f>SUM(L71:L72)</f>
        <v>254.13693917783655</v>
      </c>
      <c r="M73" s="62"/>
      <c r="N73" s="63">
        <f>L73-H73</f>
        <v>1.5957098178365641</v>
      </c>
      <c r="O73" s="41">
        <f>IF((H73)=0,"",(N73/H73))</f>
        <v>6.3186111110667955E-3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60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50:D51 D23:D38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 - Res 10 Pct</vt:lpstr>
      <vt:lpstr>Bill Impact - Residential</vt:lpstr>
      <vt:lpstr>Bill Impact - GS&lt;50</vt:lpstr>
      <vt:lpstr>Bill Impact - GS&gt;50</vt:lpstr>
      <vt:lpstr>Bill Impact - Sentinel</vt:lpstr>
      <vt:lpstr>Bill Impact - StreetLight</vt:lpstr>
      <vt:lpstr>Bill Impact - USL</vt:lpstr>
      <vt:lpstr>'Bill Impact - GS&lt;50'!Print_Area</vt:lpstr>
      <vt:lpstr>'Bill Impact - GS&gt;50'!Print_Area</vt:lpstr>
      <vt:lpstr>'Bill Impact - Res 10 Pct'!Print_Area</vt:lpstr>
      <vt:lpstr>'Bill Impact - Residential'!Print_Area</vt:lpstr>
      <vt:lpstr>'Bill Impact - Sentinel'!Print_Area</vt:lpstr>
      <vt:lpstr>'Bill Impact - StreetLight'!Print_Area</vt:lpstr>
      <vt:lpstr>'Bill Impact - USL'!Print_Area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2016-03-14T20:49:52.3592720Z</cp:lastPrinted>
  <dcterms:created xsi:type="dcterms:W3CDTF">2016-03-14T20:49:52.3592720Z</dcterms:created>
  <dcterms:modified xsi:type="dcterms:W3CDTF">2016-03-14T20:49:52.3592720Z</dcterms:modified>
</cp:coreProperties>
</file>