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640" windowHeight="143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 iterate="1"/>
</workbook>
</file>

<file path=xl/calcChain.xml><?xml version="1.0" encoding="utf-8"?>
<calcChain xmlns="http://schemas.openxmlformats.org/spreadsheetml/2006/main">
  <c r="C38" i="1" l="1"/>
  <c r="E38" i="1" s="1"/>
  <c r="H32" i="1" l="1"/>
  <c r="F32" i="1"/>
  <c r="F29" i="1" s="1"/>
  <c r="J29" i="1" s="1"/>
  <c r="E12" i="1"/>
  <c r="E11" i="1"/>
  <c r="F6" i="1"/>
  <c r="F8" i="1" s="1"/>
  <c r="E13" i="1" l="1"/>
  <c r="F16" i="1" s="1"/>
  <c r="D50" i="1"/>
  <c r="H42" i="1" s="1"/>
  <c r="C42" i="1"/>
  <c r="H43" i="1" s="1"/>
  <c r="F23" i="1"/>
  <c r="J23" i="1" s="1"/>
  <c r="F24" i="1"/>
  <c r="J24" i="1" s="1"/>
  <c r="F28" i="1"/>
  <c r="J28" i="1" s="1"/>
  <c r="J30" i="1" s="1"/>
  <c r="H41" i="1" s="1"/>
  <c r="F18" i="1"/>
  <c r="H44" i="1" l="1"/>
  <c r="H45" i="1" s="1"/>
  <c r="H46" i="1" s="1"/>
  <c r="D52" i="1" s="1"/>
  <c r="J25" i="1"/>
  <c r="J32" i="1" s="1"/>
  <c r="D51" i="1" s="1"/>
  <c r="F25" i="1"/>
  <c r="F30" i="1"/>
  <c r="D53" i="1" l="1"/>
</calcChain>
</file>

<file path=xl/sharedStrings.xml><?xml version="1.0" encoding="utf-8"?>
<sst xmlns="http://schemas.openxmlformats.org/spreadsheetml/2006/main" count="62" uniqueCount="60">
  <si>
    <t>Undertaking J2.2 - Revenue Requirement for 5,000 Sq. Ft. Mezzanine</t>
  </si>
  <si>
    <t>MEZZANINE ONLY - 5,000 Sq. Ft.</t>
  </si>
  <si>
    <t>Mezzanine</t>
  </si>
  <si>
    <t>Building value pre-renovation</t>
  </si>
  <si>
    <t>91,828 sq. ft.</t>
  </si>
  <si>
    <t>Renovations</t>
  </si>
  <si>
    <t>Land share of Mezzanine</t>
  </si>
  <si>
    <t>Cost</t>
  </si>
  <si>
    <t>A</t>
  </si>
  <si>
    <t>7 Acres</t>
  </si>
  <si>
    <t>Land Sq. Ft.</t>
  </si>
  <si>
    <t>B</t>
  </si>
  <si>
    <t>Building Foot Print = First floor + Warehouse</t>
  </si>
  <si>
    <t>sq. ft.</t>
  </si>
  <si>
    <t>C</t>
  </si>
  <si>
    <t>Land Value Allocated to Building Footprint</t>
  </si>
  <si>
    <t>D</t>
  </si>
  <si>
    <t>Total Building sq. ft.</t>
  </si>
  <si>
    <t>E</t>
  </si>
  <si>
    <t>F</t>
  </si>
  <si>
    <t>Land Value allocated to the Mezzanine</t>
  </si>
  <si>
    <t>Total Capital Cost Allocated to the Mezzanine</t>
  </si>
  <si>
    <t>Debt</t>
  </si>
  <si>
    <t xml:space="preserve">  Long-term Debt</t>
  </si>
  <si>
    <t xml:space="preserve">  Short-term Debt</t>
  </si>
  <si>
    <t>Total Debt</t>
  </si>
  <si>
    <t>Equity</t>
  </si>
  <si>
    <t xml:space="preserve">  Common Equity</t>
  </si>
  <si>
    <t xml:space="preserve">  Preferred Shares</t>
  </si>
  <si>
    <t>Total Equity</t>
  </si>
  <si>
    <t>Total</t>
  </si>
  <si>
    <t xml:space="preserve">OM&amp;A - Hydro, Gas, Property Taxes </t>
  </si>
  <si>
    <t>Amortization Expenses</t>
  </si>
  <si>
    <t>$282,549 / 50 yrs</t>
  </si>
  <si>
    <t>Regulated Return On Rate Base</t>
  </si>
  <si>
    <t>PILs (with gross up)</t>
  </si>
  <si>
    <t>Service Revenue Requirement for 5,000 Sq. Ft. Mezzanine</t>
  </si>
  <si>
    <t>5000/91828</t>
  </si>
  <si>
    <t>Building Capital Cost of Mezzanine</t>
  </si>
  <si>
    <t>REVENUE REQUIREMENT</t>
  </si>
  <si>
    <t>To calculate the revenue requirement related to the 5,000 square feet of this total project</t>
  </si>
  <si>
    <t>F / E * D</t>
  </si>
  <si>
    <t>OM&amp;A</t>
  </si>
  <si>
    <t>Hydro</t>
  </si>
  <si>
    <t>Gas</t>
  </si>
  <si>
    <t>Property Taxes</t>
  </si>
  <si>
    <t>5,000/91,828</t>
  </si>
  <si>
    <t>Total OM&amp;A Allocated to Mezzanine</t>
  </si>
  <si>
    <t>PILs data</t>
  </si>
  <si>
    <t>CCA on Mezzanine Capital before Land</t>
  </si>
  <si>
    <t>CCA Rate</t>
  </si>
  <si>
    <t>PILs Calculation</t>
  </si>
  <si>
    <t>Return</t>
  </si>
  <si>
    <t>Add back depreciation</t>
  </si>
  <si>
    <t>Less CCA</t>
  </si>
  <si>
    <t xml:space="preserve">Taxable </t>
  </si>
  <si>
    <t>PILs</t>
  </si>
  <si>
    <t>PILs Tax Rate</t>
  </si>
  <si>
    <t>PILs Grossed Up</t>
  </si>
  <si>
    <t>C / B *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</si>
</sst>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_-* #,##0_-;\-* #,##0_-;_-* &quot;-&quot;??_-;_-@_-"/>
    <numFmt numFmtId="166" formatCode="&quot;$&quot;#,##0_);[Red]\(&quot;$&quot;#,##0\);&quot;$&quot;\ \-"/>
    <numFmt numFmtId="167" formatCode="0.0%"/>
    <numFmt numFmtId="168" formatCode="_-&quot;$&quot;* #,##0_-;\-&quot;$&quot;* #,##0_-;_-&quot;$&quot;* &quot;-&quot;??_-;_-@_-"/>
    <numFmt numFmtId="169" formatCode="#,##0_ ;\-#,##0\ 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center"/>
    </xf>
    <xf numFmtId="169" fontId="3" fillId="0" borderId="0" xfId="0" applyNumberFormat="1" applyFont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168" fontId="7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 applyProtection="1">
      <alignment vertical="center"/>
    </xf>
    <xf numFmtId="10" fontId="3" fillId="0" borderId="0" xfId="3" applyNumberFormat="1" applyFont="1" applyFill="1" applyBorder="1" applyAlignment="1" applyProtection="1">
      <alignment vertical="center"/>
    </xf>
    <xf numFmtId="166" fontId="3" fillId="0" borderId="0" xfId="2" applyNumberFormat="1" applyFont="1" applyBorder="1" applyAlignment="1" applyProtection="1">
      <alignment vertical="center"/>
    </xf>
    <xf numFmtId="10" fontId="3" fillId="0" borderId="1" xfId="3" applyNumberFormat="1" applyFont="1" applyFill="1" applyBorder="1" applyAlignment="1" applyProtection="1">
      <alignment vertical="center"/>
    </xf>
    <xf numFmtId="10" fontId="3" fillId="0" borderId="2" xfId="3" applyNumberFormat="1" applyFont="1" applyBorder="1" applyAlignment="1" applyProtection="1">
      <alignment vertical="center"/>
    </xf>
    <xf numFmtId="10" fontId="3" fillId="0" borderId="0" xfId="3" applyNumberFormat="1" applyFont="1" applyBorder="1" applyAlignment="1" applyProtection="1">
      <alignment vertical="center"/>
    </xf>
    <xf numFmtId="166" fontId="3" fillId="0" borderId="2" xfId="2" applyNumberFormat="1" applyFont="1" applyBorder="1" applyAlignment="1" applyProtection="1">
      <alignment vertical="center"/>
    </xf>
    <xf numFmtId="167" fontId="3" fillId="0" borderId="0" xfId="3" applyNumberFormat="1" applyFont="1" applyBorder="1" applyAlignment="1" applyProtection="1">
      <alignment vertical="center"/>
    </xf>
    <xf numFmtId="166" fontId="3" fillId="0" borderId="0" xfId="0" applyNumberFormat="1" applyFont="1" applyBorder="1" applyAlignment="1" applyProtection="1">
      <alignment vertical="center"/>
    </xf>
    <xf numFmtId="9" fontId="3" fillId="0" borderId="0" xfId="0" applyNumberFormat="1" applyFont="1" applyBorder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6" xfId="4" applyFont="1" applyFill="1" applyBorder="1" applyAlignment="1">
      <alignment vertical="center"/>
    </xf>
    <xf numFmtId="0" fontId="3" fillId="0" borderId="6" xfId="4" applyFont="1" applyFill="1" applyBorder="1" applyAlignment="1">
      <alignment vertical="center"/>
    </xf>
    <xf numFmtId="0" fontId="7" fillId="0" borderId="6" xfId="4" applyFont="1" applyFill="1" applyBorder="1" applyAlignment="1">
      <alignment horizontal="left" vertical="center"/>
    </xf>
    <xf numFmtId="0" fontId="7" fillId="0" borderId="9" xfId="4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168" fontId="3" fillId="0" borderId="11" xfId="2" applyNumberFormat="1" applyFont="1" applyBorder="1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 applyProtection="1">
      <alignment vertical="center"/>
    </xf>
    <xf numFmtId="10" fontId="6" fillId="0" borderId="0" xfId="0" applyNumberFormat="1" applyFont="1" applyBorder="1" applyAlignment="1" applyProtection="1">
      <alignment vertical="center"/>
    </xf>
    <xf numFmtId="166" fontId="6" fillId="0" borderId="0" xfId="2" applyNumberFormat="1" applyFont="1" applyBorder="1" applyAlignment="1" applyProtection="1">
      <alignment vertical="center"/>
    </xf>
    <xf numFmtId="10" fontId="6" fillId="0" borderId="0" xfId="3" applyNumberFormat="1" applyFont="1" applyBorder="1" applyAlignment="1" applyProtection="1">
      <alignment vertical="center"/>
    </xf>
    <xf numFmtId="166" fontId="3" fillId="0" borderId="7" xfId="2" applyNumberFormat="1" applyFont="1" applyBorder="1" applyAlignment="1" applyProtection="1">
      <alignment vertical="center"/>
    </xf>
    <xf numFmtId="166" fontId="6" fillId="0" borderId="0" xfId="0" applyNumberFormat="1" applyFont="1" applyBorder="1" applyAlignment="1" applyProtection="1">
      <alignment vertical="center"/>
    </xf>
    <xf numFmtId="10" fontId="6" fillId="0" borderId="0" xfId="0" quotePrefix="1" applyNumberFormat="1" applyFont="1" applyBorder="1" applyAlignment="1" applyProtection="1">
      <alignment vertical="center"/>
    </xf>
    <xf numFmtId="166" fontId="2" fillId="0" borderId="0" xfId="2" applyNumberFormat="1" applyFont="1" applyBorder="1" applyAlignment="1" applyProtection="1">
      <alignment vertical="center"/>
    </xf>
    <xf numFmtId="167" fontId="6" fillId="0" borderId="0" xfId="3" applyNumberFormat="1" applyFont="1" applyBorder="1" applyAlignment="1" applyProtection="1">
      <alignment vertical="center"/>
    </xf>
    <xf numFmtId="166" fontId="6" fillId="0" borderId="0" xfId="3" applyNumberFormat="1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166" fontId="6" fillId="0" borderId="14" xfId="0" applyNumberFormat="1" applyFont="1" applyBorder="1" applyAlignment="1" applyProtection="1">
      <alignment vertical="center"/>
    </xf>
    <xf numFmtId="10" fontId="6" fillId="0" borderId="14" xfId="0" quotePrefix="1" applyNumberFormat="1" applyFont="1" applyBorder="1" applyAlignment="1" applyProtection="1">
      <alignment vertical="center"/>
    </xf>
    <xf numFmtId="166" fontId="2" fillId="0" borderId="14" xfId="2" applyNumberFormat="1" applyFont="1" applyBorder="1" applyAlignment="1" applyProtection="1">
      <alignment vertical="center"/>
    </xf>
    <xf numFmtId="166" fontId="7" fillId="0" borderId="14" xfId="2" applyNumberFormat="1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10" fontId="6" fillId="0" borderId="15" xfId="3" applyNumberFormat="1" applyFont="1" applyBorder="1" applyAlignment="1" applyProtection="1">
      <alignment vertical="center"/>
    </xf>
    <xf numFmtId="0" fontId="6" fillId="0" borderId="16" xfId="0" applyFont="1" applyBorder="1" applyAlignment="1" applyProtection="1">
      <alignment vertical="center"/>
    </xf>
    <xf numFmtId="166" fontId="6" fillId="0" borderId="17" xfId="3" applyNumberFormat="1" applyFont="1" applyBorder="1" applyAlignment="1" applyProtection="1">
      <alignment vertical="center"/>
    </xf>
    <xf numFmtId="166" fontId="6" fillId="0" borderId="18" xfId="3" applyNumberFormat="1" applyFont="1" applyBorder="1" applyAlignment="1" applyProtection="1">
      <alignment vertical="center"/>
    </xf>
    <xf numFmtId="0" fontId="6" fillId="0" borderId="19" xfId="0" applyFont="1" applyBorder="1" applyAlignment="1" applyProtection="1">
      <alignment vertical="center"/>
    </xf>
    <xf numFmtId="166" fontId="6" fillId="0" borderId="1" xfId="0" applyNumberFormat="1" applyFont="1" applyBorder="1" applyAlignment="1" applyProtection="1">
      <alignment vertical="center"/>
    </xf>
    <xf numFmtId="10" fontId="6" fillId="0" borderId="1" xfId="0" quotePrefix="1" applyNumberFormat="1" applyFont="1" applyBorder="1" applyAlignment="1" applyProtection="1">
      <alignment vertical="center"/>
    </xf>
    <xf numFmtId="166" fontId="2" fillId="0" borderId="1" xfId="2" applyNumberFormat="1" applyFont="1" applyBorder="1" applyAlignment="1" applyProtection="1">
      <alignment vertical="center"/>
    </xf>
    <xf numFmtId="166" fontId="6" fillId="0" borderId="1" xfId="2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10" fontId="6" fillId="0" borderId="14" xfId="0" applyNumberFormat="1" applyFont="1" applyBorder="1" applyAlignment="1" applyProtection="1">
      <alignment vertical="center"/>
    </xf>
    <xf numFmtId="9" fontId="6" fillId="0" borderId="17" xfId="0" applyNumberFormat="1" applyFont="1" applyBorder="1" applyAlignment="1" applyProtection="1">
      <alignment vertical="center"/>
    </xf>
    <xf numFmtId="166" fontId="6" fillId="0" borderId="12" xfId="0" applyNumberFormat="1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3" fillId="0" borderId="16" xfId="0" quotePrefix="1" applyFont="1" applyBorder="1" applyAlignment="1" applyProtection="1">
      <alignment vertical="center"/>
    </xf>
    <xf numFmtId="166" fontId="3" fillId="0" borderId="17" xfId="2" applyNumberFormat="1" applyFont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166" fontId="3" fillId="0" borderId="20" xfId="2" applyNumberFormat="1" applyFont="1" applyBorder="1" applyAlignment="1" applyProtection="1">
      <alignment vertical="center"/>
    </xf>
    <xf numFmtId="0" fontId="3" fillId="0" borderId="16" xfId="0" applyFont="1" applyBorder="1" applyAlignment="1" applyProtection="1">
      <alignment vertical="center"/>
    </xf>
    <xf numFmtId="166" fontId="3" fillId="0" borderId="17" xfId="0" applyNumberFormat="1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9" fontId="3" fillId="0" borderId="1" xfId="0" applyNumberFormat="1" applyFont="1" applyBorder="1" applyAlignment="1" applyProtection="1">
      <alignment vertical="center"/>
    </xf>
    <xf numFmtId="10" fontId="3" fillId="0" borderId="1" xfId="3" applyNumberFormat="1" applyFont="1" applyBorder="1" applyAlignment="1" applyProtection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7" xfId="0" quotePrefix="1" applyFont="1" applyBorder="1" applyAlignment="1">
      <alignment vertical="center"/>
    </xf>
    <xf numFmtId="9" fontId="3" fillId="0" borderId="17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0" fontId="3" fillId="0" borderId="2" xfId="0" applyNumberFormat="1" applyFont="1" applyBorder="1" applyAlignment="1" applyProtection="1">
      <alignment vertical="center"/>
    </xf>
    <xf numFmtId="166" fontId="2" fillId="0" borderId="20" xfId="2" applyNumberFormat="1" applyFont="1" applyBorder="1" applyAlignment="1" applyProtection="1">
      <alignment vertical="center"/>
    </xf>
    <xf numFmtId="166" fontId="6" fillId="0" borderId="20" xfId="3" applyNumberFormat="1" applyFont="1" applyBorder="1" applyAlignment="1" applyProtection="1">
      <alignment vertical="center"/>
    </xf>
    <xf numFmtId="9" fontId="7" fillId="0" borderId="15" xfId="0" applyNumberFormat="1" applyFont="1" applyBorder="1" applyAlignment="1" applyProtection="1">
      <alignment horizontal="center" vertical="center"/>
    </xf>
    <xf numFmtId="166" fontId="2" fillId="0" borderId="8" xfId="2" applyNumberFormat="1" applyFont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</cellXfs>
  <cellStyles count="5">
    <cellStyle name="Comma" xfId="1" builtinId="3"/>
    <cellStyle name="Currency" xfId="2" builtinId="4"/>
    <cellStyle name="Normal" xfId="0" builtinId="0"/>
    <cellStyle name="Normal_Service Revenue Requirement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2.3_should_be_J2.2_Mezzanine_SqFt_cost_breako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2.3_Mezzanine_Rev_Reqmt"/>
      <sheetName val="Capital_Cost_Mezzanine"/>
      <sheetName val="Cost_of_Capital_Mezzanine"/>
      <sheetName val="Sheet 3"/>
      <sheetName val="Sheet 4"/>
    </sheetNames>
    <sheetDataSet>
      <sheetData sheetId="0"/>
      <sheetData sheetId="1">
        <row r="129">
          <cell r="F129">
            <v>332662.87740897469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0"/>
  <sheetViews>
    <sheetView tabSelected="1" workbookViewId="0">
      <selection activeCell="A2" sqref="A2"/>
    </sheetView>
  </sheetViews>
  <sheetFormatPr defaultRowHeight="12.75" x14ac:dyDescent="0.2"/>
  <cols>
    <col min="1" max="1" width="9" style="12"/>
    <col min="2" max="2" width="34.875" style="12" bestFit="1" customWidth="1"/>
    <col min="3" max="3" width="13.25" style="12" customWidth="1"/>
    <col min="4" max="4" width="11.5" style="12" customWidth="1"/>
    <col min="5" max="5" width="10.25" style="13" customWidth="1"/>
    <col min="6" max="6" width="11" style="12" customWidth="1"/>
    <col min="7" max="16384" width="9" style="12"/>
  </cols>
  <sheetData>
    <row r="2" spans="2:7" s="102" customFormat="1" ht="18" customHeight="1" x14ac:dyDescent="0.2">
      <c r="B2" s="101" t="s">
        <v>0</v>
      </c>
      <c r="E2" s="103"/>
    </row>
    <row r="3" spans="2:7" s="102" customFormat="1" ht="18" customHeight="1" x14ac:dyDescent="0.2">
      <c r="B3" s="101" t="s">
        <v>40</v>
      </c>
      <c r="E3" s="103"/>
    </row>
    <row r="4" spans="2:7" s="1" customFormat="1" ht="18" customHeight="1" x14ac:dyDescent="0.2">
      <c r="E4" s="11"/>
    </row>
    <row r="5" spans="2:7" s="1" customFormat="1" ht="18" customHeight="1" x14ac:dyDescent="0.2">
      <c r="B5" s="77" t="s">
        <v>1</v>
      </c>
      <c r="C5" s="78"/>
      <c r="D5" s="79"/>
      <c r="E5" s="78"/>
      <c r="F5" s="80" t="s">
        <v>2</v>
      </c>
      <c r="G5" s="81"/>
    </row>
    <row r="6" spans="2:7" s="1" customFormat="1" ht="18" customHeight="1" x14ac:dyDescent="0.2">
      <c r="B6" s="82" t="s">
        <v>3</v>
      </c>
      <c r="C6" s="83" t="s">
        <v>4</v>
      </c>
      <c r="D6" s="11"/>
      <c r="E6" s="3">
        <v>3349354</v>
      </c>
      <c r="F6" s="3">
        <f>+E6*5000/91828</f>
        <v>182371.063292242</v>
      </c>
      <c r="G6" s="84" t="s">
        <v>37</v>
      </c>
    </row>
    <row r="7" spans="2:7" s="1" customFormat="1" ht="18" customHeight="1" x14ac:dyDescent="0.2">
      <c r="B7" s="82" t="s">
        <v>5</v>
      </c>
      <c r="C7" s="83"/>
      <c r="D7" s="11"/>
      <c r="E7" s="83"/>
      <c r="F7" s="2">
        <v>100178.12518917439</v>
      </c>
      <c r="G7" s="85">
        <v>1</v>
      </c>
    </row>
    <row r="8" spans="2:7" s="1" customFormat="1" ht="18" customHeight="1" x14ac:dyDescent="0.2">
      <c r="B8" s="86" t="s">
        <v>38</v>
      </c>
      <c r="C8" s="83"/>
      <c r="D8" s="11"/>
      <c r="E8" s="83"/>
      <c r="F8" s="4">
        <f>SUM(F6:F7)</f>
        <v>282549.18848141638</v>
      </c>
      <c r="G8" s="87"/>
    </row>
    <row r="9" spans="2:7" s="1" customFormat="1" ht="18" customHeight="1" x14ac:dyDescent="0.2">
      <c r="B9" s="82"/>
      <c r="C9" s="83"/>
      <c r="D9" s="11"/>
      <c r="E9" s="83"/>
      <c r="F9" s="3"/>
      <c r="G9" s="87"/>
    </row>
    <row r="10" spans="2:7" s="1" customFormat="1" ht="18" customHeight="1" x14ac:dyDescent="0.2">
      <c r="B10" s="82" t="s">
        <v>6</v>
      </c>
      <c r="C10" s="83" t="s">
        <v>7</v>
      </c>
      <c r="D10" s="83" t="s">
        <v>8</v>
      </c>
      <c r="E10" s="3">
        <v>4040000</v>
      </c>
      <c r="F10" s="3"/>
      <c r="G10" s="87"/>
    </row>
    <row r="11" spans="2:7" s="1" customFormat="1" ht="18" customHeight="1" x14ac:dyDescent="0.2">
      <c r="B11" s="88" t="s">
        <v>9</v>
      </c>
      <c r="C11" s="83" t="s">
        <v>10</v>
      </c>
      <c r="D11" s="83" t="s">
        <v>11</v>
      </c>
      <c r="E11" s="89">
        <f>43560*7</f>
        <v>304920</v>
      </c>
      <c r="F11" s="3"/>
      <c r="G11" s="87"/>
    </row>
    <row r="12" spans="2:7" s="1" customFormat="1" ht="18" customHeight="1" x14ac:dyDescent="0.2">
      <c r="B12" s="88" t="s">
        <v>12</v>
      </c>
      <c r="C12" s="83" t="s">
        <v>13</v>
      </c>
      <c r="D12" s="83" t="s">
        <v>14</v>
      </c>
      <c r="E12" s="89">
        <f>10437+59028</f>
        <v>69465</v>
      </c>
      <c r="F12" s="83"/>
      <c r="G12" s="87"/>
    </row>
    <row r="13" spans="2:7" s="1" customFormat="1" ht="18" customHeight="1" x14ac:dyDescent="0.2">
      <c r="B13" s="88" t="s">
        <v>15</v>
      </c>
      <c r="C13" s="83" t="s">
        <v>59</v>
      </c>
      <c r="D13" s="83" t="s">
        <v>16</v>
      </c>
      <c r="E13" s="3">
        <f>+E12/E11*E10</f>
        <v>920367.96536796528</v>
      </c>
      <c r="F13" s="83"/>
      <c r="G13" s="87"/>
    </row>
    <row r="14" spans="2:7" s="1" customFormat="1" ht="18" customHeight="1" x14ac:dyDescent="0.2">
      <c r="B14" s="88" t="s">
        <v>17</v>
      </c>
      <c r="C14" s="83"/>
      <c r="D14" s="83" t="s">
        <v>18</v>
      </c>
      <c r="E14" s="89">
        <v>91828</v>
      </c>
      <c r="F14" s="3"/>
      <c r="G14" s="87"/>
    </row>
    <row r="15" spans="2:7" s="1" customFormat="1" ht="18" customHeight="1" x14ac:dyDescent="0.2">
      <c r="B15" s="82"/>
      <c r="C15" s="83" t="s">
        <v>2</v>
      </c>
      <c r="D15" s="83" t="s">
        <v>19</v>
      </c>
      <c r="E15" s="89">
        <v>5000</v>
      </c>
      <c r="F15" s="83"/>
      <c r="G15" s="87"/>
    </row>
    <row r="16" spans="2:7" s="1" customFormat="1" ht="18" customHeight="1" x14ac:dyDescent="0.2">
      <c r="B16" s="90" t="s">
        <v>20</v>
      </c>
      <c r="C16" s="11"/>
      <c r="D16" s="91" t="s">
        <v>41</v>
      </c>
      <c r="E16" s="83"/>
      <c r="F16" s="4">
        <f>+E15/E14*E13</f>
        <v>50113.688927558331</v>
      </c>
      <c r="G16" s="87"/>
    </row>
    <row r="17" spans="2:10" s="1" customFormat="1" ht="18" customHeight="1" x14ac:dyDescent="0.2">
      <c r="B17" s="82"/>
      <c r="C17" s="83"/>
      <c r="D17" s="11"/>
      <c r="E17" s="83"/>
      <c r="F17" s="3"/>
      <c r="G17" s="87"/>
    </row>
    <row r="18" spans="2:10" s="1" customFormat="1" ht="18" customHeight="1" thickBot="1" x14ac:dyDescent="0.25">
      <c r="B18" s="92" t="s">
        <v>21</v>
      </c>
      <c r="C18" s="93"/>
      <c r="D18" s="94"/>
      <c r="E18" s="93"/>
      <c r="F18" s="5">
        <f>+F8+F16</f>
        <v>332662.87740897469</v>
      </c>
      <c r="G18" s="95"/>
    </row>
    <row r="19" spans="2:10" s="1" customFormat="1" ht="18" customHeight="1" thickTop="1" x14ac:dyDescent="0.2">
      <c r="E19" s="11"/>
    </row>
    <row r="20" spans="2:10" s="1" customFormat="1" ht="18" customHeight="1" x14ac:dyDescent="0.2">
      <c r="E20" s="11"/>
    </row>
    <row r="21" spans="2:10" s="1" customFormat="1" ht="18" customHeight="1" x14ac:dyDescent="0.2">
      <c r="E21" s="11"/>
    </row>
    <row r="22" spans="2:10" s="1" customFormat="1" ht="18" customHeight="1" x14ac:dyDescent="0.2">
      <c r="B22" s="64" t="s">
        <v>22</v>
      </c>
      <c r="C22" s="65"/>
      <c r="D22" s="65"/>
      <c r="E22" s="65"/>
      <c r="F22" s="65"/>
      <c r="G22" s="65"/>
      <c r="H22" s="65"/>
      <c r="I22" s="65"/>
      <c r="J22" s="66"/>
    </row>
    <row r="23" spans="2:10" s="1" customFormat="1" ht="18" customHeight="1" x14ac:dyDescent="0.2">
      <c r="B23" s="67" t="s">
        <v>23</v>
      </c>
      <c r="C23" s="14"/>
      <c r="D23" s="15">
        <v>0.56000000000000005</v>
      </c>
      <c r="E23" s="15"/>
      <c r="F23" s="16">
        <f>+$F$32*D23</f>
        <v>186291.21134902583</v>
      </c>
      <c r="G23" s="14"/>
      <c r="H23" s="15">
        <v>0.04</v>
      </c>
      <c r="I23" s="15"/>
      <c r="J23" s="68">
        <f>+F23*H23</f>
        <v>7451.6484539610337</v>
      </c>
    </row>
    <row r="24" spans="2:10" s="1" customFormat="1" ht="18" customHeight="1" x14ac:dyDescent="0.2">
      <c r="B24" s="67" t="s">
        <v>24</v>
      </c>
      <c r="C24" s="14"/>
      <c r="D24" s="17">
        <v>0.04</v>
      </c>
      <c r="E24" s="15"/>
      <c r="F24" s="16">
        <f>+$F$32*D24</f>
        <v>13306.515096358988</v>
      </c>
      <c r="G24" s="14"/>
      <c r="H24" s="17">
        <v>1.6500000000000001E-2</v>
      </c>
      <c r="I24" s="15"/>
      <c r="J24" s="68">
        <f>+F24*H24</f>
        <v>219.55749908992331</v>
      </c>
    </row>
    <row r="25" spans="2:10" s="1" customFormat="1" ht="18" customHeight="1" thickBot="1" x14ac:dyDescent="0.25">
      <c r="B25" s="69" t="s">
        <v>25</v>
      </c>
      <c r="C25" s="14"/>
      <c r="D25" s="18">
        <v>0.60000000000000009</v>
      </c>
      <c r="E25" s="19"/>
      <c r="F25" s="20">
        <f>+F23+F24</f>
        <v>199597.72644538482</v>
      </c>
      <c r="G25" s="14"/>
      <c r="H25" s="18">
        <v>3.8433333333333333E-2</v>
      </c>
      <c r="I25" s="19"/>
      <c r="J25" s="70">
        <f>+J23+J24</f>
        <v>7671.2059530509569</v>
      </c>
    </row>
    <row r="26" spans="2:10" s="1" customFormat="1" ht="18" customHeight="1" thickTop="1" x14ac:dyDescent="0.2">
      <c r="B26" s="71"/>
      <c r="C26" s="14"/>
      <c r="D26" s="21"/>
      <c r="E26" s="21"/>
      <c r="F26" s="22"/>
      <c r="G26" s="14"/>
      <c r="H26" s="19"/>
      <c r="I26" s="19"/>
      <c r="J26" s="72"/>
    </row>
    <row r="27" spans="2:10" s="1" customFormat="1" ht="18" customHeight="1" x14ac:dyDescent="0.2">
      <c r="B27" s="69" t="s">
        <v>26</v>
      </c>
      <c r="C27" s="14"/>
      <c r="D27" s="21"/>
      <c r="E27" s="21"/>
      <c r="F27" s="22"/>
      <c r="G27" s="14"/>
      <c r="H27" s="19"/>
      <c r="I27" s="19"/>
      <c r="J27" s="72"/>
    </row>
    <row r="28" spans="2:10" s="1" customFormat="1" ht="18" customHeight="1" x14ac:dyDescent="0.2">
      <c r="B28" s="67" t="s">
        <v>27</v>
      </c>
      <c r="C28" s="14"/>
      <c r="D28" s="19">
        <v>0.4</v>
      </c>
      <c r="E28" s="19"/>
      <c r="F28" s="16">
        <f>+$F$32*D28</f>
        <v>133065.15096358987</v>
      </c>
      <c r="G28" s="14"/>
      <c r="H28" s="15">
        <v>9.1899999999999996E-2</v>
      </c>
      <c r="I28" s="15"/>
      <c r="J28" s="68">
        <f>+F28*H28</f>
        <v>12228.687373553908</v>
      </c>
    </row>
    <row r="29" spans="2:10" s="1" customFormat="1" ht="18" customHeight="1" x14ac:dyDescent="0.2">
      <c r="B29" s="67" t="s">
        <v>28</v>
      </c>
      <c r="C29" s="14"/>
      <c r="D29" s="17">
        <v>0</v>
      </c>
      <c r="E29" s="15"/>
      <c r="F29" s="16">
        <f>+$F$32*D29</f>
        <v>0</v>
      </c>
      <c r="G29" s="14"/>
      <c r="H29" s="17">
        <v>0</v>
      </c>
      <c r="I29" s="15"/>
      <c r="J29" s="68">
        <f>+F29*H29</f>
        <v>0</v>
      </c>
    </row>
    <row r="30" spans="2:10" s="1" customFormat="1" ht="18" customHeight="1" thickBot="1" x14ac:dyDescent="0.25">
      <c r="B30" s="69" t="s">
        <v>29</v>
      </c>
      <c r="C30" s="14"/>
      <c r="D30" s="18">
        <v>0.4</v>
      </c>
      <c r="E30" s="19"/>
      <c r="F30" s="20">
        <f>+F28+F29</f>
        <v>133065.15096358987</v>
      </c>
      <c r="G30" s="14"/>
      <c r="H30" s="18">
        <v>9.1899999999999996E-2</v>
      </c>
      <c r="I30" s="19"/>
      <c r="J30" s="70">
        <f>+J28+J29</f>
        <v>12228.687373553908</v>
      </c>
    </row>
    <row r="31" spans="2:10" s="1" customFormat="1" ht="18" customHeight="1" thickTop="1" x14ac:dyDescent="0.2">
      <c r="B31" s="71"/>
      <c r="C31" s="14"/>
      <c r="D31" s="14"/>
      <c r="E31" s="14"/>
      <c r="F31" s="22"/>
      <c r="G31" s="14"/>
      <c r="H31" s="19"/>
      <c r="I31" s="19"/>
      <c r="J31" s="72"/>
    </row>
    <row r="32" spans="2:10" s="1" customFormat="1" ht="18" customHeight="1" thickBot="1" x14ac:dyDescent="0.25">
      <c r="B32" s="73" t="s">
        <v>30</v>
      </c>
      <c r="C32" s="74"/>
      <c r="D32" s="96">
        <v>1</v>
      </c>
      <c r="E32" s="75"/>
      <c r="F32" s="20">
        <f>+[1]Capital_Cost_Mezzanine!F129</f>
        <v>332662.87740897469</v>
      </c>
      <c r="G32" s="74"/>
      <c r="H32" s="18">
        <f>+(H23*D23)+(H24*D24)+(H28*D28)</f>
        <v>5.9820000000000005E-2</v>
      </c>
      <c r="I32" s="76"/>
      <c r="J32" s="70">
        <f>+J25+J30</f>
        <v>19899.893326604866</v>
      </c>
    </row>
    <row r="33" spans="2:10" s="1" customFormat="1" ht="18" customHeight="1" thickTop="1" x14ac:dyDescent="0.2">
      <c r="B33" s="6"/>
      <c r="C33" s="14"/>
      <c r="D33" s="32"/>
      <c r="E33" s="23"/>
      <c r="F33" s="16"/>
      <c r="G33" s="14"/>
      <c r="H33" s="19"/>
      <c r="I33" s="19"/>
      <c r="J33" s="16"/>
    </row>
    <row r="34" spans="2:10" s="34" customFormat="1" ht="18" customHeight="1" x14ac:dyDescent="0.2">
      <c r="B34" s="45" t="s">
        <v>42</v>
      </c>
      <c r="C34" s="50"/>
      <c r="D34" s="61"/>
      <c r="E34" s="99" t="s">
        <v>2</v>
      </c>
      <c r="F34" s="37"/>
      <c r="G34" s="35"/>
      <c r="H34" s="38"/>
      <c r="I34" s="38"/>
      <c r="J34" s="37"/>
    </row>
    <row r="35" spans="2:10" s="34" customFormat="1" ht="18" customHeight="1" x14ac:dyDescent="0.2">
      <c r="B35" s="52" t="s">
        <v>43</v>
      </c>
      <c r="C35" s="16">
        <v>138016</v>
      </c>
      <c r="D35" s="36"/>
      <c r="E35" s="62"/>
      <c r="F35" s="37"/>
      <c r="G35" s="35"/>
      <c r="H35" s="38"/>
      <c r="I35" s="38"/>
      <c r="J35" s="37"/>
    </row>
    <row r="36" spans="2:10" s="34" customFormat="1" ht="18" customHeight="1" x14ac:dyDescent="0.2">
      <c r="B36" s="52" t="s">
        <v>44</v>
      </c>
      <c r="C36" s="16">
        <v>2658</v>
      </c>
      <c r="D36" s="36"/>
      <c r="E36" s="62"/>
      <c r="F36" s="37"/>
      <c r="G36" s="35"/>
      <c r="H36" s="38"/>
      <c r="I36" s="38"/>
      <c r="J36" s="37"/>
    </row>
    <row r="37" spans="2:10" s="34" customFormat="1" ht="18" customHeight="1" x14ac:dyDescent="0.2">
      <c r="B37" s="52" t="s">
        <v>45</v>
      </c>
      <c r="C37" s="16">
        <v>119949</v>
      </c>
      <c r="D37" s="36"/>
      <c r="E37" s="62"/>
      <c r="F37" s="37"/>
      <c r="G37" s="35"/>
      <c r="H37" s="38"/>
      <c r="I37" s="38"/>
      <c r="J37" s="37"/>
    </row>
    <row r="38" spans="2:10" s="34" customFormat="1" ht="18" customHeight="1" thickBot="1" x14ac:dyDescent="0.25">
      <c r="B38" s="55" t="s">
        <v>47</v>
      </c>
      <c r="C38" s="63">
        <f>SUM(C35:C37)</f>
        <v>260623</v>
      </c>
      <c r="D38" s="57" t="s">
        <v>46</v>
      </c>
      <c r="E38" s="97">
        <f>+C38*5000/91828</f>
        <v>14190.824149496886</v>
      </c>
      <c r="F38" s="37"/>
      <c r="G38" s="35"/>
      <c r="H38" s="38"/>
      <c r="I38" s="38"/>
      <c r="J38" s="37"/>
    </row>
    <row r="39" spans="2:10" s="34" customFormat="1" ht="18" customHeight="1" thickTop="1" x14ac:dyDescent="0.2">
      <c r="B39" s="35"/>
      <c r="C39" s="40"/>
      <c r="D39" s="41"/>
      <c r="E39" s="42"/>
      <c r="F39" s="37"/>
      <c r="G39" s="35"/>
      <c r="H39" s="38"/>
      <c r="I39" s="38"/>
      <c r="J39" s="37"/>
    </row>
    <row r="40" spans="2:10" s="34" customFormat="1" ht="18" customHeight="1" x14ac:dyDescent="0.2">
      <c r="B40" s="45" t="s">
        <v>48</v>
      </c>
      <c r="C40" s="46"/>
      <c r="D40" s="47"/>
      <c r="E40" s="48"/>
      <c r="F40" s="49" t="s">
        <v>51</v>
      </c>
      <c r="G40" s="50"/>
      <c r="H40" s="51"/>
      <c r="I40" s="38"/>
      <c r="J40" s="37"/>
    </row>
    <row r="41" spans="2:10" s="34" customFormat="1" ht="18" customHeight="1" x14ac:dyDescent="0.2">
      <c r="B41" s="52" t="s">
        <v>50</v>
      </c>
      <c r="C41" s="43">
        <v>0.06</v>
      </c>
      <c r="D41" s="41"/>
      <c r="E41" s="42"/>
      <c r="F41" s="37" t="s">
        <v>52</v>
      </c>
      <c r="G41" s="35"/>
      <c r="H41" s="53">
        <f>+J30</f>
        <v>12228.687373553908</v>
      </c>
      <c r="I41" s="38"/>
      <c r="J41" s="37"/>
    </row>
    <row r="42" spans="2:10" s="34" customFormat="1" ht="18" customHeight="1" x14ac:dyDescent="0.2">
      <c r="B42" s="52" t="s">
        <v>49</v>
      </c>
      <c r="C42" s="16">
        <f>+F8*C41</f>
        <v>16952.951308884982</v>
      </c>
      <c r="D42" s="41"/>
      <c r="E42" s="42"/>
      <c r="F42" s="37" t="s">
        <v>53</v>
      </c>
      <c r="G42" s="35"/>
      <c r="H42" s="53">
        <f>+D50</f>
        <v>5650.9837696283275</v>
      </c>
      <c r="I42" s="38"/>
      <c r="J42" s="37"/>
    </row>
    <row r="43" spans="2:10" s="34" customFormat="1" ht="18" customHeight="1" x14ac:dyDescent="0.2">
      <c r="B43" s="52" t="s">
        <v>57</v>
      </c>
      <c r="C43" s="43">
        <v>0.26500000000000001</v>
      </c>
      <c r="D43" s="41"/>
      <c r="E43" s="42"/>
      <c r="F43" s="37" t="s">
        <v>54</v>
      </c>
      <c r="G43" s="35"/>
      <c r="H43" s="53">
        <f>-C42</f>
        <v>-16952.951308884982</v>
      </c>
      <c r="I43" s="38"/>
      <c r="J43" s="37"/>
    </row>
    <row r="44" spans="2:10" s="34" customFormat="1" ht="18" customHeight="1" x14ac:dyDescent="0.2">
      <c r="B44" s="52"/>
      <c r="C44" s="43"/>
      <c r="D44" s="41"/>
      <c r="E44" s="42"/>
      <c r="F44" s="37" t="s">
        <v>55</v>
      </c>
      <c r="G44" s="35"/>
      <c r="H44" s="54">
        <f>SUM(H41:H43)</f>
        <v>926.71983429725515</v>
      </c>
      <c r="I44" s="38"/>
      <c r="J44" s="37"/>
    </row>
    <row r="45" spans="2:10" s="34" customFormat="1" ht="18" customHeight="1" x14ac:dyDescent="0.2">
      <c r="B45" s="52"/>
      <c r="C45" s="43"/>
      <c r="D45" s="41"/>
      <c r="E45" s="42"/>
      <c r="F45" s="37" t="s">
        <v>56</v>
      </c>
      <c r="G45" s="35"/>
      <c r="H45" s="54">
        <f>+H44*C43</f>
        <v>245.58075608877263</v>
      </c>
      <c r="I45" s="38"/>
      <c r="J45" s="37"/>
    </row>
    <row r="46" spans="2:10" s="34" customFormat="1" ht="18" customHeight="1" thickBot="1" x14ac:dyDescent="0.25">
      <c r="B46" s="55"/>
      <c r="C46" s="56"/>
      <c r="D46" s="57"/>
      <c r="E46" s="58"/>
      <c r="F46" s="59" t="s">
        <v>58</v>
      </c>
      <c r="G46" s="60"/>
      <c r="H46" s="98">
        <f>+H45/(1-C43)</f>
        <v>334.12347767179949</v>
      </c>
      <c r="I46" s="38"/>
      <c r="J46" s="37"/>
    </row>
    <row r="47" spans="2:10" s="34" customFormat="1" ht="18" customHeight="1" thickTop="1" thickBot="1" x14ac:dyDescent="0.25">
      <c r="B47" s="35"/>
      <c r="C47" s="35"/>
      <c r="D47" s="35"/>
      <c r="E47" s="35"/>
      <c r="F47" s="35"/>
      <c r="G47" s="35"/>
      <c r="H47" s="44"/>
      <c r="I47" s="35"/>
      <c r="J47" s="35"/>
    </row>
    <row r="48" spans="2:10" s="1" customFormat="1" ht="18" customHeight="1" x14ac:dyDescent="0.2">
      <c r="B48" s="33" t="s">
        <v>39</v>
      </c>
      <c r="C48" s="24"/>
      <c r="D48" s="25"/>
      <c r="E48" s="11"/>
    </row>
    <row r="49" spans="2:5" s="1" customFormat="1" ht="18" customHeight="1" x14ac:dyDescent="0.2">
      <c r="B49" s="26" t="s">
        <v>31</v>
      </c>
      <c r="C49" s="11"/>
      <c r="D49" s="39">
        <v>14191</v>
      </c>
      <c r="E49" s="11"/>
    </row>
    <row r="50" spans="2:5" s="1" customFormat="1" ht="18" customHeight="1" x14ac:dyDescent="0.2">
      <c r="B50" s="26" t="s">
        <v>32</v>
      </c>
      <c r="C50" s="11" t="s">
        <v>33</v>
      </c>
      <c r="D50" s="39">
        <f>+F8/50</f>
        <v>5650.9837696283275</v>
      </c>
      <c r="E50" s="11"/>
    </row>
    <row r="51" spans="2:5" s="1" customFormat="1" ht="18" customHeight="1" x14ac:dyDescent="0.2">
      <c r="B51" s="27" t="s">
        <v>34</v>
      </c>
      <c r="C51" s="11"/>
      <c r="D51" s="39">
        <f>+J32</f>
        <v>19899.893326604866</v>
      </c>
      <c r="E51" s="11"/>
    </row>
    <row r="52" spans="2:5" s="1" customFormat="1" ht="18" customHeight="1" x14ac:dyDescent="0.2">
      <c r="B52" s="27" t="s">
        <v>35</v>
      </c>
      <c r="C52" s="11"/>
      <c r="D52" s="39">
        <f>+H46</f>
        <v>334.12347767179949</v>
      </c>
      <c r="E52" s="11"/>
    </row>
    <row r="53" spans="2:5" s="1" customFormat="1" ht="18" customHeight="1" thickBot="1" x14ac:dyDescent="0.25">
      <c r="B53" s="28" t="s">
        <v>36</v>
      </c>
      <c r="C53" s="11"/>
      <c r="D53" s="100">
        <f>+D49+D50+D51+D52</f>
        <v>40076.000573904988</v>
      </c>
      <c r="E53" s="11"/>
    </row>
    <row r="54" spans="2:5" s="1" customFormat="1" ht="18" customHeight="1" thickTop="1" thickBot="1" x14ac:dyDescent="0.25">
      <c r="B54" s="29"/>
      <c r="C54" s="30"/>
      <c r="D54" s="31"/>
      <c r="E54" s="11"/>
    </row>
    <row r="55" spans="2:5" s="1" customFormat="1" x14ac:dyDescent="0.2">
      <c r="B55" s="8"/>
      <c r="D55" s="7"/>
      <c r="E55" s="11"/>
    </row>
    <row r="56" spans="2:5" s="1" customFormat="1" x14ac:dyDescent="0.2">
      <c r="B56" s="9"/>
      <c r="D56" s="10"/>
      <c r="E56" s="11"/>
    </row>
    <row r="57" spans="2:5" s="1" customFormat="1" x14ac:dyDescent="0.2">
      <c r="B57" s="11"/>
      <c r="C57" s="11"/>
      <c r="E57" s="11"/>
    </row>
    <row r="58" spans="2:5" s="1" customFormat="1" x14ac:dyDescent="0.2">
      <c r="E58" s="11"/>
    </row>
    <row r="59" spans="2:5" s="1" customFormat="1" x14ac:dyDescent="0.2">
      <c r="E59" s="11"/>
    </row>
    <row r="60" spans="2:5" s="1" customFormat="1" x14ac:dyDescent="0.2">
      <c r="E60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McKenzie</dc:creator>
  <cp:lastModifiedBy>Cameron McKenzie</cp:lastModifiedBy>
  <dcterms:created xsi:type="dcterms:W3CDTF">2016-04-09T16:43:34Z</dcterms:created>
  <dcterms:modified xsi:type="dcterms:W3CDTF">2016-04-11T14:59:16Z</dcterms:modified>
</cp:coreProperties>
</file>