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565"/>
  </bookViews>
  <sheets>
    <sheet name="Sheet1" sheetId="1" r:id="rId1"/>
    <sheet name="Sheet3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K35" i="1" l="1"/>
  <c r="K38" i="1" l="1"/>
  <c r="I38" i="1"/>
  <c r="G24" i="1"/>
  <c r="J32" i="1"/>
  <c r="J35" i="1"/>
  <c r="J34" i="1"/>
  <c r="J33" i="1"/>
  <c r="J31" i="1"/>
  <c r="J30" i="1"/>
  <c r="J29" i="1"/>
  <c r="J28" i="1"/>
  <c r="J27" i="1"/>
  <c r="I35" i="1"/>
  <c r="I34" i="1"/>
  <c r="I33" i="1"/>
  <c r="I32" i="1"/>
  <c r="I31" i="1"/>
  <c r="I30" i="1"/>
  <c r="I29" i="1"/>
  <c r="I28" i="1"/>
  <c r="I27" i="1"/>
  <c r="G34" i="1"/>
  <c r="G28" i="1"/>
  <c r="G29" i="1"/>
  <c r="G30" i="1"/>
  <c r="G31" i="1"/>
  <c r="G32" i="1"/>
  <c r="G33" i="1"/>
  <c r="G27" i="1"/>
  <c r="E24" i="1"/>
  <c r="E19" i="1"/>
  <c r="G18" i="1" l="1"/>
  <c r="G19" i="1"/>
  <c r="G20" i="1"/>
  <c r="G21" i="1"/>
  <c r="G22" i="1"/>
  <c r="G23" i="1"/>
  <c r="G17" i="1"/>
  <c r="H24" i="1" l="1"/>
  <c r="M23" i="1" l="1"/>
  <c r="P23" i="1" s="1"/>
  <c r="J23" i="1"/>
  <c r="I23" i="1"/>
  <c r="L22" i="1"/>
  <c r="Q22" i="1" s="1"/>
  <c r="J22" i="1"/>
  <c r="I22" i="1"/>
  <c r="M21" i="1"/>
  <c r="P21" i="1" s="1"/>
  <c r="J21" i="1"/>
  <c r="I21" i="1"/>
  <c r="M20" i="1"/>
  <c r="P20" i="1" s="1"/>
  <c r="J20" i="1"/>
  <c r="I20" i="1"/>
  <c r="M19" i="1"/>
  <c r="P19" i="1" s="1"/>
  <c r="J19" i="1"/>
  <c r="I19" i="1"/>
  <c r="M18" i="1"/>
  <c r="P18" i="1" s="1"/>
  <c r="J18" i="1"/>
  <c r="I18" i="1"/>
  <c r="M17" i="1"/>
  <c r="P17" i="1" s="1"/>
  <c r="J17" i="1"/>
  <c r="I17" i="1"/>
  <c r="D13" i="1"/>
  <c r="M22" i="1" l="1"/>
  <c r="P22" i="1" s="1"/>
</calcChain>
</file>

<file path=xl/sharedStrings.xml><?xml version="1.0" encoding="utf-8"?>
<sst xmlns="http://schemas.openxmlformats.org/spreadsheetml/2006/main" count="38" uniqueCount="33">
  <si>
    <r>
      <rPr>
        <b/>
        <sz val="11"/>
        <color theme="1"/>
        <rFont val="Arial"/>
        <family val="2"/>
      </rPr>
      <t>Input required at cell C15 only.</t>
    </r>
    <r>
      <rPr>
        <sz val="11"/>
        <color theme="1"/>
        <rFont val="Arial"/>
        <family val="2"/>
      </rPr>
      <t xml:space="preserve">  This workshseet calculates rate riders related to the Deferral/Variance Account Disposition (if applicable), associated rate riders for the global adjustment account (1589) and Account 1568.  Rate Riders will not be generated for the microFIT class.</t>
    </r>
  </si>
  <si>
    <t>Default Rate Rider Recovery Period (in months)</t>
  </si>
  <si>
    <t>Proposed Rate Rider Recovery Period (in months)</t>
  </si>
  <si>
    <t>Total Metered kWh</t>
  </si>
  <si>
    <t>Metered kW 
or kVA</t>
  </si>
  <si>
    <r>
      <t xml:space="preserve">Total Metered </t>
    </r>
    <r>
      <rPr>
        <b/>
        <sz val="10"/>
        <color rgb="FFFF0000"/>
        <rFont val="Arial"/>
        <family val="2"/>
      </rPr>
      <t xml:space="preserve">kWh </t>
    </r>
    <r>
      <rPr>
        <b/>
        <sz val="10"/>
        <rFont val="Arial"/>
        <family val="2"/>
      </rPr>
      <t xml:space="preserve">less WMP consumption </t>
    </r>
  </si>
  <si>
    <r>
      <t xml:space="preserve">Total Metered </t>
    </r>
    <r>
      <rPr>
        <b/>
        <sz val="10"/>
        <color rgb="FFFF0000"/>
        <rFont val="Arial"/>
        <family val="2"/>
      </rPr>
      <t xml:space="preserve">kW </t>
    </r>
    <r>
      <rPr>
        <b/>
        <sz val="10"/>
        <rFont val="Arial"/>
        <family val="2"/>
      </rPr>
      <t xml:space="preserve">less WMP consumption </t>
    </r>
  </si>
  <si>
    <t>Allocation of Group 1 Account Balances to All Classes</t>
  </si>
  <si>
    <t>Allocation of Group 1 Account Balances to Non-WMP Classes Only (If Applicable)</t>
  </si>
  <si>
    <t>Deferral/Variance Account Rate Rider</t>
  </si>
  <si>
    <t>Deferral/Variance Account Rate Rider for Non-WMP 
(if applicable)</t>
  </si>
  <si>
    <t>Allocation of Balance in Account 1589</t>
  </si>
  <si>
    <t>Allocation of Balance in Account 1589 to Class A Customers (if applicable)</t>
  </si>
  <si>
    <t>Allocation of Balance in Account 1589 to Non-Class A Customers</t>
  </si>
  <si>
    <r>
      <t xml:space="preserve">Metered </t>
    </r>
    <r>
      <rPr>
        <b/>
        <sz val="10"/>
        <color rgb="FFFF0000"/>
        <rFont val="Arial"/>
        <family val="2"/>
      </rPr>
      <t>kWh</t>
    </r>
    <r>
      <rPr>
        <b/>
        <sz val="10"/>
        <rFont val="Arial"/>
        <family val="2"/>
      </rPr>
      <t xml:space="preserve"> or </t>
    </r>
    <r>
      <rPr>
        <b/>
        <sz val="10"/>
        <color rgb="FFFF0000"/>
        <rFont val="Arial"/>
        <family val="2"/>
      </rPr>
      <t>kW</t>
    </r>
    <r>
      <rPr>
        <b/>
        <sz val="10"/>
        <rFont val="Arial"/>
        <family val="2"/>
      </rPr>
      <t xml:space="preserve"> for Non-RPP Customers 
</t>
    </r>
    <r>
      <rPr>
        <b/>
        <i/>
        <sz val="10"/>
        <rFont val="Arial"/>
        <family val="2"/>
      </rPr>
      <t>(less WMP if applicable)</t>
    </r>
  </si>
  <si>
    <r>
      <t xml:space="preserve">Metered </t>
    </r>
    <r>
      <rPr>
        <b/>
        <sz val="10"/>
        <color rgb="FFFF0000"/>
        <rFont val="Arial"/>
        <family val="2"/>
      </rPr>
      <t>kWh</t>
    </r>
    <r>
      <rPr>
        <b/>
        <sz val="10"/>
        <rFont val="Arial"/>
        <family val="2"/>
      </rPr>
      <t xml:space="preserve"> or </t>
    </r>
    <r>
      <rPr>
        <b/>
        <sz val="10"/>
        <color rgb="FFFF0000"/>
        <rFont val="Arial"/>
        <family val="2"/>
      </rPr>
      <t>kW</t>
    </r>
    <r>
      <rPr>
        <b/>
        <sz val="10"/>
        <rFont val="Arial"/>
        <family val="2"/>
      </rPr>
      <t xml:space="preserve"> for Class A Customers</t>
    </r>
  </si>
  <si>
    <t>Global Adjustment Rate Rider</t>
  </si>
  <si>
    <t>Class A 
Rate Rider 
(if applicable)</t>
  </si>
  <si>
    <t>Account 1568 Rate Rider</t>
  </si>
  <si>
    <t>Rate Class</t>
  </si>
  <si>
    <t>Unit</t>
  </si>
  <si>
    <t>RESIDENTIAL SERVICE CLASSIFICATION</t>
  </si>
  <si>
    <t>kWh</t>
  </si>
  <si>
    <t>GENERAL SERVICE LESS THAN 50 KW SERVICE CLASSIFICATION</t>
  </si>
  <si>
    <t>GENERAL SERVICE 50 TO 4,999 KW SERVICE CLASSIFICATION</t>
  </si>
  <si>
    <t>kW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</si>
  <si>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</si>
  <si>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</si>
  <si>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</si>
  <si>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</si>
  <si>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Allocation Factors for Total kWh less WMP:</t>
  </si>
  <si>
    <t>Revenue Reconciliation:</t>
  </si>
  <si>
    <t>Total Approved for Recovery per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</si>
</sst>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 #,##0;[Red]\(#,##0\)"/>
    <numFmt numFmtId="165" formatCode="_ #,##0.0000;[Red]\(#,##0.0000\)"/>
    <numFmt numFmtId="166" formatCode="0.0%"/>
    <numFmt numFmtId="168" formatCode="_-&quot;$&quot;* #,##0_-;\-&quot;$&quot;* #,##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 applyProtection="1">
      <alignment horizontal="left" vertical="top" wrapText="1"/>
    </xf>
    <xf numFmtId="0" fontId="0" fillId="0" borderId="0" xfId="0" applyProtection="1"/>
    <xf numFmtId="0" fontId="5" fillId="2" borderId="2" xfId="2" applyFont="1" applyFill="1" applyBorder="1" applyAlignment="1" applyProtection="1">
      <alignment horizontal="center"/>
    </xf>
    <xf numFmtId="0" fontId="2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/>
    </xf>
    <xf numFmtId="0" fontId="5" fillId="3" borderId="2" xfId="2" applyFont="1" applyFill="1" applyBorder="1" applyAlignment="1" applyProtection="1">
      <alignment horizontal="center"/>
      <protection locked="0"/>
    </xf>
    <xf numFmtId="0" fontId="6" fillId="0" borderId="0" xfId="0" applyFont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7" fillId="0" borderId="0" xfId="0" applyFont="1" applyAlignment="1" applyProtection="1"/>
    <xf numFmtId="0" fontId="5" fillId="0" borderId="0" xfId="2" applyFont="1" applyAlignment="1" applyProtection="1"/>
    <xf numFmtId="0" fontId="5" fillId="0" borderId="0" xfId="2" applyFont="1" applyFill="1" applyAlignment="1" applyProtection="1">
      <alignment horizontal="center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center" vertical="top"/>
    </xf>
    <xf numFmtId="164" fontId="0" fillId="0" borderId="0" xfId="0" applyNumberFormat="1" applyAlignment="1" applyProtection="1">
      <alignment horizontal="right" vertical="top"/>
    </xf>
    <xf numFmtId="164" fontId="0" fillId="0" borderId="0" xfId="0" applyNumberFormat="1" applyAlignment="1" applyProtection="1">
      <alignment horizontal="center" vertical="center"/>
    </xf>
    <xf numFmtId="165" fontId="0" fillId="0" borderId="0" xfId="0" applyNumberFormat="1" applyAlignment="1" applyProtection="1">
      <alignment horizontal="center" vertical="center"/>
    </xf>
    <xf numFmtId="164" fontId="10" fillId="0" borderId="0" xfId="0" applyNumberFormat="1" applyFont="1" applyAlignment="1" applyProtection="1">
      <alignment horizontal="center"/>
    </xf>
    <xf numFmtId="164" fontId="10" fillId="0" borderId="0" xfId="0" applyNumberFormat="1" applyFont="1" applyProtection="1"/>
    <xf numFmtId="44" fontId="0" fillId="0" borderId="0" xfId="3" applyFont="1" applyProtection="1"/>
    <xf numFmtId="44" fontId="10" fillId="0" borderId="0" xfId="0" applyNumberFormat="1" applyFont="1" applyProtection="1"/>
    <xf numFmtId="0" fontId="10" fillId="0" borderId="0" xfId="0" applyFont="1" applyAlignment="1" applyProtection="1">
      <alignment horizontal="center" wrapText="1"/>
    </xf>
    <xf numFmtId="166" fontId="0" fillId="0" borderId="0" xfId="1" applyNumberFormat="1" applyFont="1" applyAlignment="1" applyProtection="1">
      <alignment horizontal="center"/>
    </xf>
    <xf numFmtId="166" fontId="0" fillId="0" borderId="0" xfId="0" applyNumberFormat="1" applyAlignment="1" applyProtection="1">
      <alignment horizontal="center"/>
    </xf>
    <xf numFmtId="0" fontId="10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top" wrapText="1"/>
    </xf>
    <xf numFmtId="0" fontId="5" fillId="0" borderId="0" xfId="2" applyFont="1" applyAlignment="1" applyProtection="1">
      <alignment horizontal="right" vertical="top" indent="2"/>
    </xf>
    <xf numFmtId="0" fontId="5" fillId="0" borderId="1" xfId="2" applyFont="1" applyBorder="1" applyAlignment="1" applyProtection="1">
      <alignment horizontal="right" vertical="top" indent="2"/>
    </xf>
    <xf numFmtId="0" fontId="5" fillId="0" borderId="0" xfId="2" applyFont="1" applyFill="1" applyAlignment="1" applyProtection="1">
      <alignment horizontal="right" wrapText="1"/>
    </xf>
    <xf numFmtId="0" fontId="5" fillId="0" borderId="3" xfId="2" applyFont="1" applyFill="1" applyBorder="1" applyAlignment="1" applyProtection="1">
      <alignment horizontal="right" wrapText="1"/>
    </xf>
    <xf numFmtId="0" fontId="5" fillId="0" borderId="0" xfId="2" applyFont="1" applyFill="1" applyAlignment="1" applyProtection="1">
      <alignment horizontal="center" wrapText="1"/>
    </xf>
    <xf numFmtId="0" fontId="5" fillId="4" borderId="0" xfId="2" applyFont="1" applyFill="1" applyAlignment="1" applyProtection="1">
      <alignment horizontal="center" wrapText="1"/>
    </xf>
    <xf numFmtId="168" fontId="10" fillId="0" borderId="0" xfId="3" applyNumberFormat="1" applyFont="1" applyAlignment="1" applyProtection="1">
      <alignment horizontal="center"/>
    </xf>
    <xf numFmtId="168" fontId="10" fillId="0" borderId="0" xfId="3" applyNumberFormat="1" applyFont="1" applyProtection="1"/>
  </cellXfs>
  <cellStyles count="4">
    <cellStyle name="Currency" xfId="3" builtinId="4"/>
    <cellStyle name="Normal" xfId="0" builtinId="0"/>
    <cellStyle name="Normal_Sheet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605595</xdr:colOff>
      <xdr:row>10</xdr:row>
      <xdr:rowOff>10766</xdr:rowOff>
    </xdr:to>
    <xdr:grpSp>
      <xdr:nvGrpSpPr>
        <xdr:cNvPr id="2" name="Group 1"/>
        <xdr:cNvGrpSpPr/>
      </xdr:nvGrpSpPr>
      <xdr:grpSpPr>
        <a:xfrm>
          <a:off x="0" y="0"/>
          <a:ext cx="14369220" cy="1915766"/>
          <a:chOff x="200024" y="4499942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'[1]1. Information Sheet'!AA1" fLocksText="0">
        <xdr:nvSpPr>
          <xdr:cNvPr id="4" name="TextBox 3"/>
          <xdr:cNvSpPr txBox="1"/>
        </xdr:nvSpPr>
        <xdr:spPr>
          <a:xfrm>
            <a:off x="314739" y="5814392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 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/>
          <xdr:cNvSpPr/>
        </xdr:nvSpPr>
        <xdr:spPr>
          <a:xfrm>
            <a:off x="337235" y="520150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Incentive Regulation Model for 2016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/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I_Final_2016_IRM_RateGen_201603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Sheet1"/>
      <sheetName val="2. Current Tariff Schedule"/>
      <sheetName val="2016 List"/>
      <sheetName val="3. 2015 Continuity Schedule"/>
      <sheetName val="4. Billing Det. for Def-Var"/>
      <sheetName val="2.1.5 RetailerConsumptionData"/>
      <sheetName val="2.1.5 DistributrConsumptionData"/>
      <sheetName val="2.1.5 TotalConsumptionData"/>
      <sheetName val="212_Total_Connection_RollUp"/>
      <sheetName val="5. Allocating Def-Var Balances"/>
      <sheetName val="6. Calculation of Def-Var RR"/>
      <sheetName val="7. STS - Tax Change"/>
      <sheetName val="8. Shared Tax - Rate Rider"/>
      <sheetName val="9. RTSR Current Rates"/>
      <sheetName val="10. RTSR - UTRs &amp; Sub-Tx"/>
      <sheetName val="11. RTSR - Historical Wholesale"/>
      <sheetName val="12. RTSR - Current Wholesale"/>
      <sheetName val="13. RTSR - Forecast Wholesale"/>
      <sheetName val="14. RTSR Rates to Forecast"/>
      <sheetName val="15. Rev2Cost_GDPIPI"/>
      <sheetName val="16. Additional Rates"/>
      <sheetName val="17. Final Tariff Schedule"/>
      <sheetName val="18. Bill Impacts"/>
      <sheetName val="18. HIDDEN"/>
      <sheetName val="18. Bill Impacts hidden"/>
      <sheetName val="2.1.7 Filing"/>
      <sheetName val="2015 Database"/>
      <sheetName val="lists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R38"/>
  <sheetViews>
    <sheetView tabSelected="1" topLeftCell="A10" workbookViewId="0">
      <selection activeCell="A19" sqref="A19:XFD19"/>
    </sheetView>
  </sheetViews>
  <sheetFormatPr defaultColWidth="9.140625" defaultRowHeight="15" x14ac:dyDescent="0.25"/>
  <cols>
    <col min="1" max="1" width="56.7109375" style="2" bestFit="1" customWidth="1"/>
    <col min="2" max="2" width="9.140625" style="2"/>
    <col min="3" max="3" width="14.140625" style="2" customWidth="1"/>
    <col min="4" max="6" width="14.42578125" style="2" customWidth="1"/>
    <col min="7" max="8" width="22.5703125" style="2" customWidth="1"/>
    <col min="9" max="9" width="16.7109375" style="2" customWidth="1"/>
    <col min="10" max="10" width="21.28515625" style="2" customWidth="1"/>
    <col min="11" max="13" width="18.140625" style="2" customWidth="1"/>
    <col min="14" max="15" width="15.140625" style="2" customWidth="1"/>
    <col min="16" max="17" width="14" style="2" customWidth="1"/>
    <col min="18" max="18" width="13.5703125" style="2" customWidth="1"/>
    <col min="19" max="19" width="20.42578125" style="2" customWidth="1"/>
    <col min="20" max="20" width="11.42578125" style="2" customWidth="1"/>
    <col min="21" max="16384" width="9.140625" style="2"/>
  </cols>
  <sheetData>
    <row r="11" spans="1:18" x14ac:dyDescent="0.25">
      <c r="A11" s="27" t="s">
        <v>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1"/>
      <c r="M11" s="1"/>
    </row>
    <row r="12" spans="1:18" x14ac:dyDescent="0.25">
      <c r="A12" s="28" t="s">
        <v>1</v>
      </c>
      <c r="B12" s="29"/>
      <c r="C12" s="3">
        <v>12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5"/>
      <c r="P12" s="5"/>
      <c r="Q12" s="5"/>
      <c r="R12" s="5"/>
    </row>
    <row r="13" spans="1:18" x14ac:dyDescent="0.25">
      <c r="A13" s="28" t="s">
        <v>2</v>
      </c>
      <c r="B13" s="29"/>
      <c r="C13" s="6">
        <v>12</v>
      </c>
      <c r="D13" s="7" t="str">
        <f>IF(C13&gt;0, "Rate Rider Recovery to be used below", "If no rate rider recovery period is proposed then the default recovery period of 12 months will be used")</f>
        <v>Rate Rider Recovery to be used below</v>
      </c>
      <c r="E13" s="7"/>
      <c r="F13" s="7"/>
      <c r="M13" s="8"/>
      <c r="N13" s="5"/>
      <c r="O13" s="5"/>
      <c r="P13" s="5"/>
      <c r="Q13" s="5"/>
      <c r="R13" s="5"/>
    </row>
    <row r="14" spans="1:18" x14ac:dyDescent="0.25">
      <c r="G14" s="8"/>
      <c r="H14" s="8"/>
    </row>
    <row r="15" spans="1:18" x14ac:dyDescent="0.25">
      <c r="A15" s="9"/>
      <c r="B15" s="10"/>
      <c r="C15" s="30" t="s">
        <v>3</v>
      </c>
      <c r="D15" s="31" t="s">
        <v>4</v>
      </c>
      <c r="E15" s="31" t="s">
        <v>5</v>
      </c>
      <c r="F15" s="31" t="s">
        <v>6</v>
      </c>
      <c r="G15" s="32" t="s">
        <v>7</v>
      </c>
      <c r="H15" s="32" t="s">
        <v>8</v>
      </c>
      <c r="I15" s="33" t="s">
        <v>9</v>
      </c>
      <c r="J15" s="33" t="s">
        <v>10</v>
      </c>
      <c r="K15" s="32" t="s">
        <v>11</v>
      </c>
      <c r="L15" s="32" t="s">
        <v>12</v>
      </c>
      <c r="M15" s="32" t="s">
        <v>13</v>
      </c>
      <c r="N15" s="32" t="s">
        <v>14</v>
      </c>
      <c r="O15" s="32" t="s">
        <v>15</v>
      </c>
      <c r="P15" s="33" t="s">
        <v>16</v>
      </c>
      <c r="Q15" s="33" t="s">
        <v>17</v>
      </c>
      <c r="R15" s="33" t="s">
        <v>18</v>
      </c>
    </row>
    <row r="16" spans="1:18" ht="50.25" customHeight="1" x14ac:dyDescent="0.25">
      <c r="A16" s="11" t="s">
        <v>19</v>
      </c>
      <c r="B16" s="12" t="s">
        <v>20</v>
      </c>
      <c r="C16" s="30"/>
      <c r="D16" s="31"/>
      <c r="E16" s="31"/>
      <c r="F16" s="31"/>
      <c r="G16" s="32"/>
      <c r="H16" s="32"/>
      <c r="I16" s="33"/>
      <c r="J16" s="33"/>
      <c r="K16" s="32"/>
      <c r="L16" s="32"/>
      <c r="M16" s="32"/>
      <c r="N16" s="32"/>
      <c r="O16" s="32"/>
      <c r="P16" s="33"/>
      <c r="Q16" s="33"/>
      <c r="R16" s="33"/>
    </row>
    <row r="17" spans="1:17" x14ac:dyDescent="0.25">
      <c r="A17" s="13" t="s">
        <v>21</v>
      </c>
      <c r="B17" s="14" t="s">
        <v>22</v>
      </c>
      <c r="C17" s="15">
        <v>287195436</v>
      </c>
      <c r="D17" s="15">
        <v>0</v>
      </c>
      <c r="E17" s="15">
        <v>287195436</v>
      </c>
      <c r="F17" s="15">
        <v>0</v>
      </c>
      <c r="G17" s="16">
        <f>$G$24*G27</f>
        <v>318174.46848355746</v>
      </c>
      <c r="H17" s="16">
        <v>129332.93507346153</v>
      </c>
      <c r="I17" s="17">
        <f>IF(ISERROR(G17/C17),0,IF(OR(ISBLANK(C13), OR(C13=0, C13="")), G17/C17/(C12/12), G17/C17/(C13/12)))</f>
        <v>1.1078674261507326E-3</v>
      </c>
      <c r="J17" s="17">
        <f>IF(ISERROR(H17/E17),0,IF(OR(ISBLANK(C13), OR(C13=0, C13="")), H17/E17/(C12/12), H17/E17/(C13/12)))</f>
        <v>4.5033074645887315E-4</v>
      </c>
      <c r="K17" s="16">
        <v>81282.892608601658</v>
      </c>
      <c r="M17" s="16">
        <f t="shared" ref="M17:M23" si="0">K17-L17</f>
        <v>81282.892608601658</v>
      </c>
      <c r="N17" s="16">
        <v>14289275</v>
      </c>
      <c r="O17" s="16"/>
      <c r="P17" s="17">
        <f>IF(ISERROR(M17/N17), 0, IF(OR(ISBLANK(C13), OR(C13=0, C13="")), M17/N17/(C12/12), M17/N17/(C13/12)))</f>
        <v>5.6883846527274236E-3</v>
      </c>
    </row>
    <row r="18" spans="1:17" x14ac:dyDescent="0.25">
      <c r="A18" s="13" t="s">
        <v>23</v>
      </c>
      <c r="B18" s="14" t="s">
        <v>22</v>
      </c>
      <c r="C18" s="15">
        <v>117175344</v>
      </c>
      <c r="D18" s="15">
        <v>0</v>
      </c>
      <c r="E18" s="15">
        <v>117175344</v>
      </c>
      <c r="F18" s="15">
        <v>0</v>
      </c>
      <c r="G18" s="16">
        <f t="shared" ref="G18:G23" si="1">$G$24*G28</f>
        <v>129814.74676560669</v>
      </c>
      <c r="H18" s="16">
        <v>52767.660130095246</v>
      </c>
      <c r="I18" s="17">
        <f>IF(ISERROR(G18/C18),0,IF(OR(ISBLANK(C13), OR(C13=0, C13="")), G18/C18/(C12/12), G18/C18/(C13/12)))</f>
        <v>1.1078674261507326E-3</v>
      </c>
      <c r="J18" s="17">
        <f>IF(ISERROR(H18/E18),0,IF(OR(ISBLANK(C13), OR(C13=0, C13="")), H18/E18/(C12/12), H18/E18/(C13/12)))</f>
        <v>4.5033074645887315E-4</v>
      </c>
      <c r="K18" s="16">
        <v>90356.014027702855</v>
      </c>
      <c r="M18" s="16">
        <f t="shared" si="0"/>
        <v>90356.014027702855</v>
      </c>
      <c r="N18" s="16">
        <v>15884301</v>
      </c>
      <c r="O18" s="16"/>
      <c r="P18" s="17">
        <f>IF(ISERROR(M18/N18), 0, IF(OR(ISBLANK(C13), OR(C13=0, C13="")), M18/N18/(C12/12), M18/N18/(C13/12)))</f>
        <v>5.6883846527274228E-3</v>
      </c>
    </row>
    <row r="19" spans="1:17" x14ac:dyDescent="0.25">
      <c r="A19" s="13" t="s">
        <v>24</v>
      </c>
      <c r="B19" s="14" t="s">
        <v>25</v>
      </c>
      <c r="C19" s="15">
        <v>326877923</v>
      </c>
      <c r="D19" s="15">
        <v>794143</v>
      </c>
      <c r="E19" s="15">
        <f>326877923-3688203</f>
        <v>323189720</v>
      </c>
      <c r="F19" s="15">
        <v>787793</v>
      </c>
      <c r="G19" s="16">
        <f t="shared" si="1"/>
        <v>358051.36325477593</v>
      </c>
      <c r="H19" s="16">
        <v>147203.17906551607</v>
      </c>
      <c r="I19" s="17">
        <f>IF(ISERROR(G19/D19),0,IF(OR(ISBLANK(C13), OR(C13=0, C13="")), G19/D19/(C12/12), G19/D19/(C13/12)))</f>
        <v>0.45086510018318604</v>
      </c>
      <c r="J19" s="17">
        <f>IF(ISERROR(H19/F19),0,IF(OR(ISBLANK(C13), OR(C13=0, C13="")), H19/F19/(C12/12), H19/F19/(C13/12)))</f>
        <v>0.18685514984966364</v>
      </c>
      <c r="K19" s="16">
        <v>1671866.8589948451</v>
      </c>
      <c r="M19" s="16">
        <f t="shared" si="0"/>
        <v>1671866.8589948451</v>
      </c>
      <c r="N19" s="16">
        <v>790833</v>
      </c>
      <c r="O19" s="16"/>
      <c r="P19" s="17">
        <f>IF(ISERROR(M19/N19), 0, IF(OR(ISBLANK(C13), OR(C13=0, C13="")), M19/N19/(C12/12), M19/N19/(C13/12)))</f>
        <v>2.1140580362666266</v>
      </c>
    </row>
    <row r="20" spans="1:17" x14ac:dyDescent="0.25">
      <c r="A20" s="13" t="s">
        <v>26</v>
      </c>
      <c r="B20" s="14" t="s">
        <v>25</v>
      </c>
      <c r="C20" s="15">
        <v>50533271</v>
      </c>
      <c r="D20" s="15">
        <v>114828</v>
      </c>
      <c r="E20" s="15">
        <v>50533271</v>
      </c>
      <c r="F20" s="15">
        <v>114828</v>
      </c>
      <c r="G20" s="16">
        <f t="shared" si="1"/>
        <v>55984.164877747455</v>
      </c>
      <c r="H20" s="16">
        <v>22756.685650438529</v>
      </c>
      <c r="I20" s="17">
        <f>IF(ISERROR(G20/D20),0,IF(OR(ISBLANK(C13), OR(C13=0, C13="")), G20/D20/(C12/12), G20/D20/(C13/12)))</f>
        <v>0.48754802729079538</v>
      </c>
      <c r="J20" s="17">
        <f>IF(ISERROR(H20/F20),0,IF(OR(ISBLANK(C13), OR(C13=0, C13="")), H20/F20/(C12/12), H20/F20/(C13/12)))</f>
        <v>0.19818063234087965</v>
      </c>
      <c r="K20" s="16">
        <v>0</v>
      </c>
      <c r="M20" s="16">
        <f t="shared" si="0"/>
        <v>0</v>
      </c>
      <c r="N20" s="16">
        <v>114828</v>
      </c>
      <c r="O20" s="16">
        <v>114828</v>
      </c>
      <c r="P20" s="17">
        <f>IF(ISERROR(M20/N20), 0, IF(OR(ISBLANK(C13), OR(C13=0, C13="")), M20/N20/(C12/12), M20/N20/(C13/12)))</f>
        <v>0</v>
      </c>
    </row>
    <row r="21" spans="1:17" x14ac:dyDescent="0.25">
      <c r="A21" s="13" t="s">
        <v>27</v>
      </c>
      <c r="B21" s="14" t="s">
        <v>22</v>
      </c>
      <c r="C21" s="15">
        <v>1812182</v>
      </c>
      <c r="D21" s="15">
        <v>0</v>
      </c>
      <c r="E21" s="15">
        <v>1812182</v>
      </c>
      <c r="F21" s="15">
        <v>0</v>
      </c>
      <c r="G21" s="16">
        <f t="shared" si="1"/>
        <v>2007.6574080566868</v>
      </c>
      <c r="H21" s="16">
        <v>816.08127277933363</v>
      </c>
      <c r="I21" s="17">
        <f>IF(ISERROR(G21/C21),0,IF(OR(ISBLANK(C13), OR(C13=0, C13="")), G21/C21/(C12/12), G21/C21/(C13/12)))</f>
        <v>1.1078674261507326E-3</v>
      </c>
      <c r="J21" s="17">
        <f>IF(ISERROR(H21/E21),0,IF(OR(ISBLANK(C13), OR(C13=0, C13="")), H21/E21/(C12/12), H21/E21/(C13/12)))</f>
        <v>4.5033074645887315E-4</v>
      </c>
      <c r="K21" s="16">
        <v>10096.07500797049</v>
      </c>
      <c r="M21" s="16">
        <f t="shared" si="0"/>
        <v>10096.07500797049</v>
      </c>
      <c r="N21" s="16">
        <v>1774858</v>
      </c>
      <c r="O21" s="16"/>
      <c r="P21" s="17">
        <f>IF(ISERROR(M21/N21), 0, IF(OR(ISBLANK(C13), OR(C13=0, C13="")), M21/N21/(C12/12), M21/N21/(C13/12)))</f>
        <v>5.6883846527274236E-3</v>
      </c>
    </row>
    <row r="22" spans="1:17" x14ac:dyDescent="0.25">
      <c r="A22" s="13" t="s">
        <v>28</v>
      </c>
      <c r="B22" s="14" t="s">
        <v>25</v>
      </c>
      <c r="C22" s="15">
        <v>705377</v>
      </c>
      <c r="D22" s="15">
        <v>1993</v>
      </c>
      <c r="E22" s="15">
        <v>705377</v>
      </c>
      <c r="F22" s="15">
        <v>1993</v>
      </c>
      <c r="G22" s="16">
        <f t="shared" si="1"/>
        <v>781.46420145592526</v>
      </c>
      <c r="H22" s="16">
        <v>317.65295094492058</v>
      </c>
      <c r="I22" s="17">
        <f>IF(ISERROR(G22/D22),0,IF(OR(ISBLANK(C13), OR(C13=0, C13="")), G22/D22/(C12/12), G22/D22/(C13/12)))</f>
        <v>0.39210446636022339</v>
      </c>
      <c r="J22" s="17">
        <f>IF(ISERROR(H22/F22),0,IF(OR(ISBLANK(C13), OR(C13=0, C13="")), H22/F22/(C12/12), H22/F22/(C13/12)))</f>
        <v>0.15938432059454119</v>
      </c>
      <c r="K22" s="16">
        <v>1966.0081269063464</v>
      </c>
      <c r="L22" s="16">
        <f>1966.00812690635*0</f>
        <v>0</v>
      </c>
      <c r="M22" s="16">
        <f t="shared" si="0"/>
        <v>1966.0081269063464</v>
      </c>
      <c r="N22" s="16">
        <v>976</v>
      </c>
      <c r="O22" s="16">
        <v>0</v>
      </c>
      <c r="P22" s="17">
        <f>IF(ISERROR(M22/N22), 0, IF(OR(ISBLANK(C13), OR(C13=0, C13="")), M22/N22/(C12/12), M22/N22/(C13/12)))</f>
        <v>2.0143525890433875</v>
      </c>
      <c r="Q22" s="17">
        <f>IF(ISERROR(L22/O22), 0, IF(OR(ISBLANK(C13), OR(C13=0, C13="")), L22/O22/(C12/12), L22/O22/(C13/12)))</f>
        <v>0</v>
      </c>
    </row>
    <row r="23" spans="1:17" x14ac:dyDescent="0.25">
      <c r="A23" s="13" t="s">
        <v>29</v>
      </c>
      <c r="B23" s="14" t="s">
        <v>25</v>
      </c>
      <c r="C23" s="15">
        <v>5901550</v>
      </c>
      <c r="D23" s="15">
        <v>17443</v>
      </c>
      <c r="E23" s="15">
        <v>5901550</v>
      </c>
      <c r="F23" s="15">
        <v>17443</v>
      </c>
      <c r="G23" s="16">
        <f t="shared" si="1"/>
        <v>6538.1350087998562</v>
      </c>
      <c r="H23" s="16">
        <v>2657.6494167643627</v>
      </c>
      <c r="I23" s="17">
        <f>IF(ISERROR(G23/D23),0,IF(OR(ISBLANK(C13), OR(C13=0, C13="")), G23/D23/(C12/12), G23/D23/(C13/12)))</f>
        <v>0.37482858503696936</v>
      </c>
      <c r="J23" s="17">
        <f>IF(ISERROR(H23/F23),0,IF(OR(ISBLANK(C13), OR(C13=0, C13="")), H23/F23/(C12/12), H23/F23/(C13/12)))</f>
        <v>0.1523619455807122</v>
      </c>
      <c r="K23" s="16">
        <v>33570.286447303522</v>
      </c>
      <c r="M23" s="16">
        <f t="shared" si="0"/>
        <v>33570.286447303522</v>
      </c>
      <c r="N23" s="16">
        <v>17443</v>
      </c>
      <c r="O23" s="16"/>
      <c r="P23" s="17">
        <f>IF(ISERROR(M23/N23), 0, IF(OR(ISBLANK(C13), OR(C13=0, C13="")), M23/N23/(C12/12), M23/N23/(C13/12)))</f>
        <v>1.9245706843606905</v>
      </c>
    </row>
    <row r="24" spans="1:17" x14ac:dyDescent="0.25">
      <c r="E24" s="19">
        <f>SUM(E17:E23)</f>
        <v>786512880</v>
      </c>
      <c r="G24" s="18">
        <f>1227204-355852</f>
        <v>871352</v>
      </c>
      <c r="H24" s="18">
        <f>SUM(H17:H23)</f>
        <v>355851.84355999995</v>
      </c>
    </row>
    <row r="26" spans="1:17" ht="36.75" customHeight="1" x14ac:dyDescent="0.25">
      <c r="G26" s="22" t="s">
        <v>30</v>
      </c>
      <c r="I26" s="26" t="s">
        <v>31</v>
      </c>
      <c r="J26" s="26"/>
    </row>
    <row r="27" spans="1:17" x14ac:dyDescent="0.25">
      <c r="G27" s="23">
        <f>E17/$E$24</f>
        <v>0.36515032786239943</v>
      </c>
      <c r="I27" s="20">
        <f>E17*I17</f>
        <v>318174.46848355746</v>
      </c>
      <c r="J27" s="20">
        <f>E17*J17</f>
        <v>129332.93507346153</v>
      </c>
    </row>
    <row r="28" spans="1:17" x14ac:dyDescent="0.25">
      <c r="G28" s="23">
        <f t="shared" ref="G28:G33" si="2">E18/$E$24</f>
        <v>0.14898083296487147</v>
      </c>
      <c r="I28" s="20">
        <f>E18*I18</f>
        <v>129814.74676560669</v>
      </c>
      <c r="J28" s="20">
        <f>E18*J18</f>
        <v>52767.660130095246</v>
      </c>
    </row>
    <row r="29" spans="1:17" x14ac:dyDescent="0.25">
      <c r="G29" s="23">
        <f t="shared" si="2"/>
        <v>0.41091472017597475</v>
      </c>
      <c r="I29" s="20">
        <f>F19*I19</f>
        <v>355188.36986861267</v>
      </c>
      <c r="J29" s="20">
        <f>F19*J19</f>
        <v>147203.17906551607</v>
      </c>
    </row>
    <row r="30" spans="1:17" x14ac:dyDescent="0.25">
      <c r="G30" s="23">
        <f t="shared" si="2"/>
        <v>6.4249769183690922E-2</v>
      </c>
      <c r="I30" s="20">
        <f>F20*I20</f>
        <v>55984.164877747455</v>
      </c>
      <c r="J30" s="20">
        <f>F20*J20</f>
        <v>22756.685650438529</v>
      </c>
    </row>
    <row r="31" spans="1:17" x14ac:dyDescent="0.25">
      <c r="G31" s="23">
        <f t="shared" si="2"/>
        <v>2.3040716129149722E-3</v>
      </c>
      <c r="I31" s="20">
        <f>E21*I21</f>
        <v>2007.6574080566868</v>
      </c>
      <c r="J31" s="20">
        <f>E21*J21</f>
        <v>816.08127277933363</v>
      </c>
    </row>
    <row r="32" spans="1:17" x14ac:dyDescent="0.25">
      <c r="G32" s="23">
        <f t="shared" si="2"/>
        <v>8.9684100278179801E-4</v>
      </c>
      <c r="I32" s="20">
        <f>F22*I22</f>
        <v>781.46420145592526</v>
      </c>
      <c r="J32" s="20">
        <f>F22*J22</f>
        <v>317.65295094492058</v>
      </c>
    </row>
    <row r="33" spans="7:11" x14ac:dyDescent="0.25">
      <c r="G33" s="23">
        <f t="shared" si="2"/>
        <v>7.5034371973666854E-3</v>
      </c>
      <c r="I33" s="20">
        <f>F22*I22</f>
        <v>781.46420145592526</v>
      </c>
      <c r="J33" s="20">
        <f>F22*J22</f>
        <v>317.65295094492058</v>
      </c>
    </row>
    <row r="34" spans="7:11" x14ac:dyDescent="0.25">
      <c r="G34" s="24">
        <f>SUM(G27:G33)</f>
        <v>1.0000000000000002</v>
      </c>
      <c r="I34" s="20">
        <f>F23*I23</f>
        <v>6538.1350087998562</v>
      </c>
      <c r="J34" s="20">
        <f>F23*J23</f>
        <v>2657.6494167643627</v>
      </c>
    </row>
    <row r="35" spans="7:11" x14ac:dyDescent="0.25">
      <c r="I35" s="21">
        <f>SUM(I27:I34)</f>
        <v>869270.47081529268</v>
      </c>
      <c r="J35" s="21">
        <f>SUM(J27:J34)</f>
        <v>356169.49651094485</v>
      </c>
      <c r="K35" s="21">
        <f>SUM(I35:J35)</f>
        <v>1225439.9673262376</v>
      </c>
    </row>
    <row r="38" spans="7:11" ht="30" x14ac:dyDescent="0.25">
      <c r="H38" s="25" t="s">
        <v>32</v>
      </c>
      <c r="I38" s="34">
        <f>1227204-355852</f>
        <v>871352</v>
      </c>
      <c r="J38" s="34">
        <v>355852</v>
      </c>
      <c r="K38" s="35">
        <f>SUM(I38:J38)</f>
        <v>1227204</v>
      </c>
    </row>
  </sheetData>
  <mergeCells count="20">
    <mergeCell ref="P15:P16"/>
    <mergeCell ref="Q15:Q16"/>
    <mergeCell ref="R15:R16"/>
    <mergeCell ref="J15:J16"/>
    <mergeCell ref="K15:K16"/>
    <mergeCell ref="L15:L16"/>
    <mergeCell ref="M15:M16"/>
    <mergeCell ref="N15:N16"/>
    <mergeCell ref="O15:O16"/>
    <mergeCell ref="I26:J26"/>
    <mergeCell ref="A11:K11"/>
    <mergeCell ref="A12:B12"/>
    <mergeCell ref="A13:B13"/>
    <mergeCell ref="C15:C16"/>
    <mergeCell ref="D15:D16"/>
    <mergeCell ref="E15:E16"/>
    <mergeCell ref="F15:F16"/>
    <mergeCell ref="G15:G16"/>
    <mergeCell ref="H15:H16"/>
    <mergeCell ref="I15:I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McOuat</dc:creator>
  <cp:lastModifiedBy>Martha McOuat</cp:lastModifiedBy>
  <cp:lastPrinted>2016-04-27T17:51:29Z</cp:lastPrinted>
  <dcterms:created xsi:type="dcterms:W3CDTF">2016-04-26T20:45:48Z</dcterms:created>
  <dcterms:modified xsi:type="dcterms:W3CDTF">2016-04-27T19:59:40Z</dcterms:modified>
</cp:coreProperties>
</file>